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082EBA0D-E0B2-40D5-BCFA-F97C04BD1139}"/>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27" i="43" l="1"/>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E11" i="29" s="1"/>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G1309" i="10"/>
  <c r="F1308" i="10"/>
  <c r="I4731" i="40" s="1"/>
  <c r="E1307" i="10"/>
  <c r="D1306" i="10"/>
  <c r="G4535" i="40" s="1"/>
  <c r="C1305" i="10"/>
  <c r="K4437" i="40" s="1"/>
  <c r="I1303" i="10"/>
  <c r="G5017" i="40" s="1"/>
  <c r="H1302" i="10"/>
  <c r="G1301" i="10"/>
  <c r="F1300" i="10"/>
  <c r="I4723" i="40" s="1"/>
  <c r="E1299" i="10"/>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I4830" i="40" s="1"/>
  <c r="F1309" i="10"/>
  <c r="I4732" i="40" s="1"/>
  <c r="E1308" i="10"/>
  <c r="G4634" i="40" s="1"/>
  <c r="D1307" i="10"/>
  <c r="C1306" i="10"/>
  <c r="K4438" i="40" s="1"/>
  <c r="I1304" i="10"/>
  <c r="H1303" i="10"/>
  <c r="G1302" i="10"/>
  <c r="I4822" i="40" s="1"/>
  <c r="F1301" i="10"/>
  <c r="I4724" i="40" s="1"/>
  <c r="E1300" i="10"/>
  <c r="G4626" i="40" s="1"/>
  <c r="D1299" i="10"/>
  <c r="G4528" i="40" s="1"/>
  <c r="C1298" i="10"/>
  <c r="I1296" i="10"/>
  <c r="G5010" i="40" s="1"/>
  <c r="H1295" i="10"/>
  <c r="G1294" i="10"/>
  <c r="I4814" i="40" s="1"/>
  <c r="F1293" i="10"/>
  <c r="E1292" i="10"/>
  <c r="G4618" i="40" s="1"/>
  <c r="D1291" i="10"/>
  <c r="G4520" i="40" s="1"/>
  <c r="C1290" i="10"/>
  <c r="K4422" i="40" s="1"/>
  <c r="I1288" i="10"/>
  <c r="H1287" i="10"/>
  <c r="K4904" i="40" s="1"/>
  <c r="G1286" i="10"/>
  <c r="F1285" i="10"/>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K4929" i="40" s="1"/>
  <c r="G1311" i="10"/>
  <c r="F1310" i="10"/>
  <c r="I4733" i="40" s="1"/>
  <c r="E1309" i="10"/>
  <c r="G4635" i="40" s="1"/>
  <c r="D1308" i="10"/>
  <c r="G4537" i="40" s="1"/>
  <c r="C1307" i="10"/>
  <c r="I1305" i="10"/>
  <c r="H1304" i="10"/>
  <c r="G1303" i="10"/>
  <c r="F1302" i="10"/>
  <c r="I4725" i="40" s="1"/>
  <c r="E1301" i="10"/>
  <c r="G4627" i="40" s="1"/>
  <c r="D1300" i="10"/>
  <c r="G4529" i="40" s="1"/>
  <c r="C1299" i="10"/>
  <c r="K4431" i="40" s="1"/>
  <c r="I1297" i="10"/>
  <c r="H1296" i="10"/>
  <c r="K4913" i="40" s="1"/>
  <c r="G1295" i="10"/>
  <c r="F1294" i="10"/>
  <c r="I4717" i="40" s="1"/>
  <c r="E1293" i="10"/>
  <c r="D1292" i="10"/>
  <c r="C1291" i="10"/>
  <c r="K4423" i="40" s="1"/>
  <c r="I1289" i="10"/>
  <c r="G5003" i="40" s="1"/>
  <c r="H1288" i="10"/>
  <c r="G1287" i="10"/>
  <c r="F1286" i="10"/>
  <c r="E1285" i="10"/>
  <c r="G4611" i="40" s="1"/>
  <c r="D1284" i="10"/>
  <c r="G4513" i="40" s="1"/>
  <c r="C1283" i="10"/>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K4930" i="40" s="1"/>
  <c r="G1312" i="10"/>
  <c r="I4832" i="40" s="1"/>
  <c r="F1311" i="10"/>
  <c r="I4734" i="40" s="1"/>
  <c r="E1310" i="10"/>
  <c r="G4636" i="40" s="1"/>
  <c r="D1309" i="10"/>
  <c r="C1308" i="10"/>
  <c r="K4440" i="40" s="1"/>
  <c r="I1306" i="10"/>
  <c r="H1305" i="10"/>
  <c r="K4922" i="40" s="1"/>
  <c r="G1304" i="10"/>
  <c r="F1303" i="10"/>
  <c r="I4726" i="40" s="1"/>
  <c r="E1302" i="10"/>
  <c r="G4628" i="40" s="1"/>
  <c r="D1301" i="10"/>
  <c r="G4530" i="40" s="1"/>
  <c r="C1300" i="10"/>
  <c r="I1298" i="10"/>
  <c r="G5012" i="40" s="1"/>
  <c r="H1297" i="10"/>
  <c r="K4914" i="40" s="1"/>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D1302" i="10"/>
  <c r="C1301" i="10"/>
  <c r="K4433" i="40" s="1"/>
  <c r="I1299" i="10"/>
  <c r="G5013" i="40" s="1"/>
  <c r="H1298" i="10"/>
  <c r="K4915" i="40" s="1"/>
  <c r="G1297" i="10"/>
  <c r="I4817" i="40" s="1"/>
  <c r="F1296" i="10"/>
  <c r="I4719" i="40" s="1"/>
  <c r="E1295" i="10"/>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I1308" i="10"/>
  <c r="G5022" i="40" s="1"/>
  <c r="H1307" i="10"/>
  <c r="K4924" i="40" s="1"/>
  <c r="G1306" i="10"/>
  <c r="I4826" i="40" s="1"/>
  <c r="F1305" i="10"/>
  <c r="I4728" i="40" s="1"/>
  <c r="E1304" i="10"/>
  <c r="G4630" i="40" s="1"/>
  <c r="D1303" i="10"/>
  <c r="G4532" i="40" s="1"/>
  <c r="C1302" i="10"/>
  <c r="K4434" i="40" s="1"/>
  <c r="I1300" i="10"/>
  <c r="H1299" i="10"/>
  <c r="K4916" i="40" s="1"/>
  <c r="G1298" i="10"/>
  <c r="I4818" i="40" s="1"/>
  <c r="F1297" i="10"/>
  <c r="I4720" i="40" s="1"/>
  <c r="E1296" i="10"/>
  <c r="G4622" i="40" s="1"/>
  <c r="D1295" i="10"/>
  <c r="G4524" i="40" s="1"/>
  <c r="C1294" i="10"/>
  <c r="I1292" i="10"/>
  <c r="G5006" i="40" s="1"/>
  <c r="H1291" i="10"/>
  <c r="G1290" i="10"/>
  <c r="F1289" i="10"/>
  <c r="I4712" i="40" s="1"/>
  <c r="E1288" i="10"/>
  <c r="G4614" i="40" s="1"/>
  <c r="D1287" i="10"/>
  <c r="G4516" i="40" s="1"/>
  <c r="C1286" i="10"/>
  <c r="K4418" i="40" s="1"/>
  <c r="I1284" i="10"/>
  <c r="G4998" i="40" s="1"/>
  <c r="H1283" i="10"/>
  <c r="K4900" i="40" s="1"/>
  <c r="G1282" i="10"/>
  <c r="F1281" i="10"/>
  <c r="I4704" i="40" s="1"/>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H1308" i="10"/>
  <c r="G1307" i="10"/>
  <c r="I4827" i="40" s="1"/>
  <c r="F1306" i="10"/>
  <c r="I4729" i="40" s="1"/>
  <c r="E1305" i="10"/>
  <c r="G4631" i="40" s="1"/>
  <c r="D1304" i="10"/>
  <c r="G4533" i="40" s="1"/>
  <c r="C1303" i="10"/>
  <c r="K4435" i="40" s="1"/>
  <c r="I1301" i="10"/>
  <c r="G5015" i="40" s="1"/>
  <c r="H1300" i="10"/>
  <c r="K4917" i="40" s="1"/>
  <c r="G1299" i="10"/>
  <c r="F1298" i="10"/>
  <c r="I4721" i="40" s="1"/>
  <c r="E1297" i="10"/>
  <c r="G4623" i="40" s="1"/>
  <c r="D1296" i="10"/>
  <c r="G4525" i="40" s="1"/>
  <c r="C1295" i="10"/>
  <c r="K4427" i="40" s="1"/>
  <c r="I1293" i="10"/>
  <c r="G5007" i="40" s="1"/>
  <c r="H1292" i="10"/>
  <c r="K4909" i="40" s="1"/>
  <c r="G1291" i="10"/>
  <c r="I4811" i="40" s="1"/>
  <c r="F1290" i="10"/>
  <c r="E1289" i="10"/>
  <c r="G4615" i="40" s="1"/>
  <c r="D1288" i="10"/>
  <c r="G4517" i="40" s="1"/>
  <c r="C1287" i="10"/>
  <c r="K4419" i="40" s="1"/>
  <c r="I1285" i="10"/>
  <c r="G4999" i="40" s="1"/>
  <c r="H1284" i="10"/>
  <c r="K4901" i="40" s="1"/>
  <c r="G1283" i="10"/>
  <c r="I4803" i="40" s="1"/>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C1289" i="10"/>
  <c r="K4421" i="40" s="1"/>
  <c r="H1285" i="10"/>
  <c r="K4902" i="40" s="1"/>
  <c r="I1282" i="10"/>
  <c r="E1280" i="10"/>
  <c r="G4606" i="40" s="1"/>
  <c r="H1278" i="10"/>
  <c r="K4895" i="40" s="1"/>
  <c r="E1277" i="10"/>
  <c r="D1276" i="10"/>
  <c r="G4505" i="40" s="1"/>
  <c r="C1275" i="10"/>
  <c r="I1273" i="10"/>
  <c r="H1272" i="10"/>
  <c r="K4889" i="40" s="1"/>
  <c r="G1271" i="10"/>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F1291" i="10"/>
  <c r="G1288" i="10"/>
  <c r="G1285" i="10"/>
  <c r="I4805" i="40" s="1"/>
  <c r="E1282" i="10"/>
  <c r="G4608" i="40" s="1"/>
  <c r="C1280" i="10"/>
  <c r="K4412" i="40" s="1"/>
  <c r="G1278" i="10"/>
  <c r="I4798" i="40" s="1"/>
  <c r="D1277" i="10"/>
  <c r="G4506" i="40" s="1"/>
  <c r="C1276" i="10"/>
  <c r="I1274" i="10"/>
  <c r="G4988" i="40" s="1"/>
  <c r="H1273" i="10"/>
  <c r="K4890" i="40" s="1"/>
  <c r="G1272" i="10"/>
  <c r="I4792" i="40" s="1"/>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D1285" i="10"/>
  <c r="D1282" i="10"/>
  <c r="G4511" i="40" s="1"/>
  <c r="I1279" i="10"/>
  <c r="G4993" i="40" s="1"/>
  <c r="E1278" i="10"/>
  <c r="G4604" i="40" s="1"/>
  <c r="C1277" i="10"/>
  <c r="K4409" i="40" s="1"/>
  <c r="I1275" i="10"/>
  <c r="H1274" i="10"/>
  <c r="G1273" i="10"/>
  <c r="F1272" i="10"/>
  <c r="I4695" i="40" s="1"/>
  <c r="E1271" i="10"/>
  <c r="G4597" i="40" s="1"/>
  <c r="D1270" i="10"/>
  <c r="G4499" i="40" s="1"/>
  <c r="C1269" i="10"/>
  <c r="K4401" i="40" s="1"/>
  <c r="I1267" i="10"/>
  <c r="G4981" i="40" s="1"/>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I1287" i="10"/>
  <c r="G5001" i="40" s="1"/>
  <c r="G1284" i="10"/>
  <c r="I4804" i="40" s="1"/>
  <c r="H1281" i="10"/>
  <c r="K4898" i="40" s="1"/>
  <c r="H1279" i="10"/>
  <c r="K4896" i="40" s="1"/>
  <c r="D1278" i="10"/>
  <c r="I1276" i="10"/>
  <c r="H1275" i="10"/>
  <c r="K4892" i="40" s="1"/>
  <c r="G1274" i="10"/>
  <c r="I4794" i="40" s="1"/>
  <c r="F1273" i="10"/>
  <c r="I4696" i="40" s="1"/>
  <c r="E1272" i="10"/>
  <c r="G4598" i="40" s="1"/>
  <c r="D1271" i="10"/>
  <c r="G4500" i="40" s="1"/>
  <c r="C1270" i="10"/>
  <c r="K4402" i="40" s="1"/>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I4710" i="40" s="1"/>
  <c r="F1284" i="10"/>
  <c r="I4707" i="40" s="1"/>
  <c r="D1281" i="10"/>
  <c r="F1279" i="10"/>
  <c r="C1278" i="10"/>
  <c r="K4410" i="40" s="1"/>
  <c r="H1276" i="10"/>
  <c r="K4893" i="40" s="1"/>
  <c r="G1275" i="10"/>
  <c r="I4795" i="40" s="1"/>
  <c r="F1274" i="10"/>
  <c r="I4697" i="40" s="1"/>
  <c r="E1273" i="10"/>
  <c r="G4599" i="40" s="1"/>
  <c r="D1272" i="10"/>
  <c r="G4501" i="40" s="1"/>
  <c r="C1271" i="10"/>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H1277" i="10"/>
  <c r="K4894" i="40" s="1"/>
  <c r="G1276" i="10"/>
  <c r="I4796" i="40" s="1"/>
  <c r="F1275" i="10"/>
  <c r="I4698" i="40" s="1"/>
  <c r="E1274" i="10"/>
  <c r="G4600" i="40" s="1"/>
  <c r="D1273" i="10"/>
  <c r="G4502" i="40" s="1"/>
  <c r="C1272" i="10"/>
  <c r="K4404" i="40" s="1"/>
  <c r="I1270" i="10"/>
  <c r="H1269" i="10"/>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G1292" i="10"/>
  <c r="H1289" i="10"/>
  <c r="H1286" i="10"/>
  <c r="K4903" i="40" s="1"/>
  <c r="F1283" i="10"/>
  <c r="I4706" i="40" s="1"/>
  <c r="G1280" i="10"/>
  <c r="I4800" i="40" s="1"/>
  <c r="D1279" i="10"/>
  <c r="G4508" i="40" s="1"/>
  <c r="G1277" i="10"/>
  <c r="I4797" i="40" s="1"/>
  <c r="F1276" i="10"/>
  <c r="E1275" i="10"/>
  <c r="G4601" i="40" s="1"/>
  <c r="D1274" i="10"/>
  <c r="G4503" i="40" s="1"/>
  <c r="C1273" i="10"/>
  <c r="K4405" i="40" s="1"/>
  <c r="I1271" i="10"/>
  <c r="G4985" i="40" s="1"/>
  <c r="H1270" i="10"/>
  <c r="K4887" i="40" s="1"/>
  <c r="G1269" i="10"/>
  <c r="I4789" i="40" s="1"/>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I4730" i="40" s="1"/>
  <c r="E1298" i="10"/>
  <c r="G4624" i="40" s="1"/>
  <c r="F1292" i="10"/>
  <c r="D1289" i="10"/>
  <c r="E1286" i="10"/>
  <c r="G4612" i="40" s="1"/>
  <c r="E1283" i="10"/>
  <c r="G4609" i="40" s="1"/>
  <c r="F1280" i="10"/>
  <c r="I4703" i="40" s="1"/>
  <c r="I1278" i="10"/>
  <c r="G4992" i="40" s="1"/>
  <c r="F1277" i="10"/>
  <c r="I4700" i="40" s="1"/>
  <c r="E1276" i="10"/>
  <c r="G4602" i="40" s="1"/>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AK29" i="8"/>
  <c r="AK28" i="8"/>
  <c r="J8477" i="40"/>
  <c r="AK39" i="8"/>
  <c r="K4448" i="40"/>
  <c r="G4984" i="40"/>
  <c r="K4403" i="40"/>
  <c r="I4791" i="40"/>
  <c r="I4793" i="40"/>
  <c r="G4987" i="40"/>
  <c r="K4891" i="40"/>
  <c r="K4407" i="40"/>
  <c r="G4989" i="40"/>
  <c r="K4408" i="40"/>
  <c r="I4699" i="40"/>
  <c r="G4990" i="40"/>
  <c r="G4603" i="40"/>
  <c r="G4507" i="40"/>
  <c r="I4701" i="40"/>
  <c r="G4605" i="40"/>
  <c r="I4702" i="40"/>
  <c r="G4510" i="40"/>
  <c r="I4802" i="40"/>
  <c r="K4899" i="40"/>
  <c r="G4996" i="40"/>
  <c r="K4415" i="40"/>
  <c r="G4997" i="40"/>
  <c r="G4610" i="40"/>
  <c r="G4514" i="40"/>
  <c r="I4708" i="40"/>
  <c r="G4515" i="40"/>
  <c r="I4709" i="40"/>
  <c r="I4806" i="40"/>
  <c r="I4807" i="40"/>
  <c r="K4420" i="40"/>
  <c r="I4808" i="40"/>
  <c r="K4905" i="40"/>
  <c r="G5002" i="40"/>
  <c r="G4518" i="40"/>
  <c r="K4906" i="40"/>
  <c r="I4713" i="40"/>
  <c r="I4810" i="40"/>
  <c r="K4907" i="40"/>
  <c r="G5004" i="40"/>
  <c r="G4617" i="40"/>
  <c r="I4714" i="40"/>
  <c r="K4908" i="40"/>
  <c r="G5005" i="40"/>
  <c r="K4424" i="40"/>
  <c r="G4521" i="40"/>
  <c r="I4715" i="40"/>
  <c r="I4812" i="40"/>
  <c r="K4425" i="40"/>
  <c r="G4619" i="40"/>
  <c r="I4716" i="40"/>
  <c r="K4426" i="40"/>
  <c r="G4621" i="40"/>
  <c r="I4815" i="40"/>
  <c r="K4912" i="40"/>
  <c r="K4428" i="40"/>
  <c r="K4429" i="40"/>
  <c r="G5011" i="40"/>
  <c r="K4430" i="40"/>
  <c r="G4625" i="40"/>
  <c r="I4722" i="40"/>
  <c r="I4819" i="40"/>
  <c r="K4432" i="40"/>
  <c r="G5014" i="40"/>
  <c r="I4821" i="40"/>
  <c r="G4531" i="40"/>
  <c r="K4919" i="40"/>
  <c r="G4629" i="40"/>
  <c r="I4823" i="40"/>
  <c r="K4920" i="40"/>
  <c r="I4824" i="40"/>
  <c r="K4921" i="40"/>
  <c r="G5018" i="40"/>
  <c r="G5019" i="40"/>
  <c r="G5020" i="40"/>
  <c r="K4439" i="40"/>
  <c r="G4536" i="40"/>
  <c r="G4633" i="40"/>
  <c r="K4925" i="40"/>
  <c r="G4538" i="40"/>
  <c r="I4829" i="40"/>
  <c r="G5023" i="40"/>
  <c r="K4442" i="40"/>
  <c r="K4927" i="40"/>
  <c r="G4637" i="40"/>
  <c r="I4831" i="40"/>
  <c r="K4444" i="40"/>
  <c r="G4638" i="40"/>
  <c r="G5027" i="40"/>
  <c r="K4446" i="40"/>
  <c r="G5028" i="40"/>
  <c r="G4545" i="40"/>
  <c r="G4642" i="40"/>
  <c r="G4496" i="40"/>
  <c r="G4593" i="40"/>
  <c r="K4884" i="40"/>
  <c r="K4400" i="40"/>
  <c r="I4788" i="40"/>
  <c r="G4982" i="40"/>
  <c r="K4886" i="40"/>
  <c r="J8467" i="40" l="1"/>
  <c r="AK23" i="8"/>
  <c r="AK27" i="8"/>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<sst xmlns="http://schemas.openxmlformats.org/spreadsheetml/2006/main" count="53903" uniqueCount="2353">
  <si>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</si>
  <si>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</si>
  <si>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</si>
  <si>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</si>
  <si>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</si>
  <si>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</si>
  <si>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</si>
  <si>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</si>
  <si>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</si>
  <si>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</si>
  <si>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</si>
  <si>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</si>
  <si>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</si>
  <si>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</si>
  <si>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</si>
  <si>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</si>
  <si>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</si>
  <si>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</si>
  <si>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</si>
  <si>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</si>
  <si>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</si>
  <si>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</si>
  <si>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</si>
  <si>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</si>
  <si>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</si>
  <si>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</si>
  <si>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</si>
  <si>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</si>
  <si>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</si>
  <si>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</si>
  <si>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</si>
  <si>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</si>
  <si>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</si>
  <si>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</si>
  <si>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</si>
  <si>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</si>
  <si>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</si>
  <si>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</si>
  <si>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</si>
  <si>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</si>
  <si>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</si>
  <si>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</si>
  <si>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</si>
  <si>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</si>
  <si>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</si>
  <si>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</si>
  <si>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</si>
  <si>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</si>
  <si>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</si>
  <si>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</si>
  <si>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</si>
  <si>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</si>
  <si>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</si>
  <si>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</si>
  <si>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</si>
  <si>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</si>
  <si>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</si>
  <si>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</si>
  <si>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</si>
  <si>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</si>
  <si>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</si>
  <si>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</si>
  <si>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</si>
  <si>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</si>
  <si>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</si>
  <si>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</si>
  <si>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</si>
  <si>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</si>
  <si>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</si>
  <si>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</si>
  <si>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</si>
  <si>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</si>
  <si>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</si>
  <si>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</si>
  <si>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</si>
  <si>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</si>
  <si>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</si>
  <si>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</si>
  <si>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</si>
  <si>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</si>
  <si>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</si>
  <si>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</si>
  <si>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</si>
  <si>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</si>
  <si>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</si>
  <si>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</si>
  <si>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</si>
  <si>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</si>
  <si>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</si>
  <si>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</si>
  <si>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</si>
  <si>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</si>
  <si>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</si>
  <si>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</si>
  <si>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</si>
  <si>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</si>
  <si>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</si>
  <si>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</si>
  <si>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</si>
  <si>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</si>
  <si>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</si>
  <si>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</si>
  <si>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</si>
  <si>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</si>
  <si>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</si>
  <si>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</si>
  <si>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</si>
  <si>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</si>
  <si>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</si>
  <si>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</si>
  <si>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</si>
  <si>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</si>
  <si>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</si>
  <si>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</si>
  <si>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</si>
  <si>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</si>
  <si>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</si>
  <si>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</si>
  <si>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</si>
  <si>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</si>
  <si>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</si>
  <si>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</si>
  <si>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</si>
  <si>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</si>
  <si>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</si>
  <si>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</si>
  <si>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</si>
  <si>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</si>
  <si>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</si>
  <si>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</si>
  <si>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</si>
  <si>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</si>
  <si>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</si>
  <si>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</si>
  <si>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</si>
  <si>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</si>
  <si>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</si>
  <si>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</si>
  <si>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</si>
  <si>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</si>
  <si>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</si>
  <si>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</si>
  <si>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</si>
  <si>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</si>
  <si>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</si>
  <si>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</si>
  <si>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</si>
  <si>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</si>
  <si>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</si>
  <si>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</si>
  <si>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</si>
  <si>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</si>
  <si>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</si>
  <si>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</si>
  <si>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</si>
  <si>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</si>
  <si>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</si>
  <si>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</si>
  <si>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</si>
  <si>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</si>
  <si>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</si>
  <si>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</si>
  <si>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</si>
  <si>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</si>
  <si>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</si>
  <si>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</si>
  <si>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</si>
  <si>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</si>
  <si>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</si>
  <si>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</si>
  <si>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</si>
  <si>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</si>
  <si>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</si>
  <si>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</si>
  <si>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</si>
  <si>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</si>
  <si>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</si>
  <si>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</si>
  <si>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</si>
  <si>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</si>
  <si>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</si>
  <si>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</si>
  <si>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</si>
  <si>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</si>
  <si>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</si>
  <si>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</si>
  <si>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</si>
  <si>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</si>
  <si>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</si>
  <si>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</si>
  <si>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</si>
  <si>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</si>
  <si>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</si>
  <si>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</si>
  <si>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</si>
  <si>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</si>
  <si>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</si>
  <si>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</si>
  <si>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</si>
  <si>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</si>
  <si>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</si>
  <si>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</si>
  <si>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</si>
  <si>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</si>
  <si>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</si>
  <si>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</si>
  <si>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</si>
  <si>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</si>
  <si>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</si>
  <si>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</si>
  <si>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</si>
  <si>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</si>
  <si>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</si>
  <si>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</si>
  <si>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</si>
  <si>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</si>
  <si>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</si>
  <si>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</si>
  <si>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</si>
  <si>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</si>
  <si>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</si>
  <si>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</si>
  <si>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</si>
  <si>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</si>
  <si>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</si>
  <si>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</si>
  <si>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</si>
  <si>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</si>
  <si>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</si>
  <si>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</si>
  <si>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</si>
  <si>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</si>
  <si>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</si>
  <si>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</si>
  <si>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</si>
  <si>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</si>
  <si>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</si>
  <si>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</si>
  <si>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</si>
  <si>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</si>
  <si>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</si>
  <si>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</si>
  <si>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</si>
  <si>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</si>
  <si>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</si>
  <si>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</si>
  <si>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</si>
  <si>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</si>
  <si>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</si>
  <si>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</si>
  <si>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</si>
  <si>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</si>
  <si>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</si>
  <si>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</si>
  <si>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</si>
  <si>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</si>
  <si>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</si>
  <si>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</si>
  <si>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</si>
  <si>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</si>
  <si>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</si>
  <si>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</si>
  <si>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</si>
  <si>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</si>
  <si>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</si>
  <si>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</si>
  <si>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</si>
  <si>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</si>
  <si>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</si>
  <si>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</si>
  <si>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</si>
  <si>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</si>
  <si>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</si>
  <si>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</si>
  <si>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</si>
  <si>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</si>
  <si>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</si>
  <si>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</si>
  <si>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</si>
  <si>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</si>
  <si>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</si>
  <si>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</si>
  <si>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</si>
  <si>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</si>
  <si>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</si>
  <si>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</si>
  <si>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</si>
  <si>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</si>
  <si>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</si>
  <si>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</si>
  <si>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</si>
  <si>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</si>
  <si>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</si>
  <si>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</si>
  <si>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</si>
  <si>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</si>
  <si>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</si>
  <si>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</si>
  <si>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</si>
  <si>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</si>
  <si>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</si>
  <si>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</si>
  <si>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</si>
  <si>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</si>
  <si>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</si>
  <si>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</si>
  <si>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</si>
  <si>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</si>
  <si>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</si>
  <si>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</si>
  <si>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</si>
  <si>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</si>
  <si>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</si>
  <si>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</si>
  <si>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</si>
  <si>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</si>
  <si>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</si>
  <si>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</si>
  <si>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</si>
  <si>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</si>
  <si>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</si>
  <si>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</si>
  <si>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</si>
  <si>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</si>
  <si>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</si>
  <si>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</si>
  <si>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</si>
  <si>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</si>
  <si>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</si>
  <si>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</si>
  <si>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</si>
  <si>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</si>
  <si>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</si>
  <si>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</si>
  <si>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</si>
  <si>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</si>
  <si>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</si>
  <si>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</si>
  <si>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</si>
  <si>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</si>
  <si>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</si>
  <si>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</si>
  <si>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</si>
  <si>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</si>
  <si>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</si>
  <si>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</si>
  <si>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</si>
  <si>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</si>
  <si>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</si>
  <si>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</si>
  <si>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</si>
  <si>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</si>
  <si>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</si>
  <si>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</si>
  <si>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</si>
  <si>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</si>
  <si>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</si>
  <si>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</si>
  <si>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</si>
  <si>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</si>
  <si>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</si>
  <si>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</si>
  <si>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</si>
  <si>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</si>
  <si>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</si>
  <si>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</si>
  <si>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</si>
  <si>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</si>
  <si>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</si>
  <si>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</si>
  <si>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</si>
  <si>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</si>
  <si>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</si>
  <si>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</si>
  <si>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</si>
  <si>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</si>
  <si>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</si>
  <si>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</si>
  <si>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</si>
  <si>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</si>
  <si>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</si>
  <si>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</si>
  <si>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</si>
  <si>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</si>
  <si>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</si>
  <si>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</si>
  <si>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</si>
  <si>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</si>
  <si>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</si>
  <si>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</si>
  <si>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</si>
  <si>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</si>
  <si>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</si>
  <si>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</si>
  <si>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</si>
  <si>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</si>
  <si>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</si>
  <si>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</si>
  <si>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</si>
  <si>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</si>
  <si>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</si>
  <si>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</si>
  <si>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</si>
  <si>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</si>
  <si>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</si>
  <si>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</si>
  <si>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</si>
  <si>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</si>
  <si>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</si>
  <si>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</si>
  <si>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</si>
  <si>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</si>
  <si>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</si>
  <si>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</si>
  <si>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</si>
  <si>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</si>
  <si>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</si>
  <si>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</si>
  <si>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</si>
  <si>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</si>
  <si>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</si>
  <si>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</si>
  <si>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</si>
  <si>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</si>
  <si>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</si>
  <si>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</si>
  <si>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</si>
  <si>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</si>
  <si>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</si>
  <si>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</si>
  <si>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</si>
  <si>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</si>
  <si>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</si>
  <si>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</si>
  <si>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</si>
  <si>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</si>
  <si>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</si>
  <si>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</si>
  <si>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</si>
  <si>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</si>
  <si>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</si>
  <si>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</si>
  <si>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</si>
  <si>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</si>
  <si>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</si>
  <si>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</si>
  <si>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</si>
  <si>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</si>
  <si>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</si>
  <si>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</si>
  <si>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</si>
  <si>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</si>
  <si>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</si>
  <si>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</si>
  <si>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</si>
  <si>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</si>
  <si>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</si>
  <si>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</si>
  <si>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</si>
  <si>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</si>
  <si>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</si>
  <si>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</si>
  <si>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</si>
  <si>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</si>
  <si>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</si>
  <si>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</si>
  <si>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</si>
  <si>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</si>
  <si>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</si>
  <si>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</si>
  <si>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</si>
  <si>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</si>
  <si>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</si>
  <si>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</si>
  <si>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</si>
  <si>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</si>
  <si>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</si>
  <si>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</si>
  <si>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</si>
  <si>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</si>
  <si>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</si>
  <si>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</si>
  <si>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</si>
  <si>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</si>
  <si>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</si>
  <si>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</si>
  <si>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</si>
  <si>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</si>
  <si>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</si>
  <si>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</si>
  <si>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</si>
  <si>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</si>
  <si>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</si>
  <si>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</si>
  <si>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</si>
  <si>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</si>
  <si>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</si>
  <si>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</si>
  <si>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</si>
  <si>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</si>
  <si>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</si>
  <si>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</si>
  <si>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</si>
  <si>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</si>
  <si>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</si>
  <si>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</si>
  <si>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</si>
  <si>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</si>
  <si>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</si>
  <si>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</si>
  <si>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</si>
  <si>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</si>
  <si>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</si>
  <si>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</si>
  <si>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</si>
  <si>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</si>
  <si>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</si>
  <si>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</si>
  <si>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</si>
  <si>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</si>
  <si>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</si>
  <si>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</si>
  <si>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</si>
  <si>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</si>
  <si>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</si>
  <si>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</si>
  <si>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</si>
  <si>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</si>
  <si>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</si>
  <si>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</si>
  <si>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</si>
  <si>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</si>
  <si>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</si>
  <si>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</si>
  <si>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</si>
  <si>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</si>
  <si>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</si>
  <si>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</si>
  <si>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</si>
  <si>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</si>
  <si>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</si>
  <si>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</si>
  <si>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</si>
  <si>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</si>
  <si>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</si>
  <si>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</si>
  <si>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</si>
  <si>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</si>
  <si>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</si>
  <si>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</si>
  <si>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</si>
  <si>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</si>
  <si>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</si>
  <si>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</si>
  <si>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</si>
  <si>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</si>
  <si>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</si>
  <si>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</si>
  <si>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</si>
  <si>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</si>
  <si>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</si>
  <si>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</si>
  <si>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</si>
  <si>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</si>
  <si>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</si>
  <si>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</si>
  <si>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</si>
  <si>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</si>
  <si>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</si>
  <si>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</si>
  <si>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</si>
  <si>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</si>
  <si>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</si>
  <si>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</si>
  <si>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</si>
  <si>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</si>
  <si>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</si>
  <si>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</si>
  <si>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</si>
  <si>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</si>
  <si>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</si>
  <si>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</si>
  <si>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</si>
  <si>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</si>
  <si>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</si>
  <si>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</si>
  <si>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</si>
  <si>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</si>
  <si>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</si>
  <si>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</si>
  <si>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</si>
  <si>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</si>
  <si>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</si>
  <si>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</si>
  <si>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</si>
  <si>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</si>
  <si>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</si>
  <si>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</si>
  <si>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</si>
  <si>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</si>
  <si>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</si>
  <si>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</si>
  <si>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</si>
  <si>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</si>
  <si>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</si>
  <si>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</si>
  <si>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</si>
  <si>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</si>
  <si>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</si>
  <si>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</si>
  <si>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</si>
  <si>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</si>
  <si>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</si>
  <si>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</si>
  <si>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</si>
  <si>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</si>
  <si>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</si>
  <si>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</si>
  <si>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</si>
  <si>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</si>
  <si>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</si>
  <si>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</si>
  <si>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</si>
  <si>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</si>
  <si>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</si>
  <si>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</si>
  <si>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</si>
  <si>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</si>
  <si>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</si>
  <si>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</si>
  <si>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</si>
  <si>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</si>
  <si>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</si>
  <si>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</si>
  <si>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</si>
  <si>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</si>
  <si>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</si>
  <si>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</si>
  <si>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</si>
  <si>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</si>
  <si>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</si>
  <si>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</si>
  <si>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</si>
  <si>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</si>
  <si>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</si>
  <si>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</si>
  <si>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</si>
  <si>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</si>
  <si>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</si>
  <si>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</si>
  <si>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</si>
  <si>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</si>
  <si>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</si>
  <si>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</si>
  <si>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</si>
  <si>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</si>
  <si>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</si>
  <si>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</si>
  <si>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</si>
  <si>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</si>
  <si>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</si>
  <si>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</si>
  <si>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</si>
  <si>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</si>
  <si>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</si>
  <si>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</si>
  <si>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</si>
  <si>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</si>
  <si>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</si>
  <si>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</si>
  <si>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</si>
  <si>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</si>
  <si>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</si>
  <si>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</si>
  <si>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</si>
  <si>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</si>
  <si>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</si>
  <si>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</si>
  <si>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</si>
  <si>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</si>
  <si>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</si>
  <si>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</si>
  <si>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</si>
  <si>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</si>
  <si>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</si>
  <si>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</si>
  <si>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</si>
  <si>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</si>
  <si>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</si>
  <si>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</si>
  <si>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</si>
  <si>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</si>
  <si>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</si>
  <si>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</si>
  <si>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</si>
  <si>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</si>
  <si>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</si>
  <si>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</si>
  <si>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</si>
  <si>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</si>
  <si>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</si>
  <si>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</si>
  <si>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</si>
  <si>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</si>
  <si>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</si>
  <si>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</si>
  <si>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</si>
  <si>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</si>
  <si>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</si>
  <si>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</si>
  <si>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</si>
  <si>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</si>
  <si>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</si>
  <si>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</si>
  <si>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</si>
  <si>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</si>
  <si>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</si>
  <si>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</si>
  <si>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</si>
  <si>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</si>
  <si>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</si>
  <si>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</si>
  <si>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</si>
  <si>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</si>
  <si>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</si>
  <si>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</si>
  <si>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</si>
  <si>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</si>
  <si>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</si>
  <si>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</si>
  <si>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</si>
  <si>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</si>
  <si>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</si>
  <si>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</si>
  <si>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</si>
  <si>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</si>
  <si>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</si>
  <si>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</si>
  <si>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</si>
  <si>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</si>
  <si>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</si>
  <si>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</si>
  <si>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</si>
  <si>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</si>
  <si>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</si>
  <si>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</si>
  <si>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</si>
  <si>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</si>
  <si>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</si>
  <si>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</si>
  <si>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</si>
  <si>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</si>
  <si>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</si>
  <si>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</si>
  <si>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</si>
  <si>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</si>
  <si>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</si>
  <si>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</si>
  <si>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</si>
  <si>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</si>
  <si>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</si>
  <si>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</si>
  <si>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</si>
  <si>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</si>
  <si>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</si>
  <si>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</si>
  <si>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</si>
  <si>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</si>
  <si>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</si>
  <si>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</si>
  <si>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</si>
  <si>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</si>
  <si>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</si>
  <si>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</si>
  <si>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</si>
  <si>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</si>
  <si>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</si>
  <si>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</si>
  <si>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</si>
  <si>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</si>
  <si>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</si>
  <si>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</si>
  <si>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</si>
  <si>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</si>
  <si>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</si>
  <si>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</si>
  <si>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</si>
  <si>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</si>
  <si>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</si>
  <si>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</si>
  <si>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</si>
  <si>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</si>
  <si>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</si>
  <si>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</si>
  <si>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</si>
  <si>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</si>
  <si>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</si>
  <si>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</si>
  <si>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</si>
  <si>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</si>
  <si>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</si>
  <si>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</si>
  <si>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</si>
  <si>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</si>
  <si>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</si>
  <si>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</si>
  <si>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</si>
  <si>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</si>
  <si>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</si>
  <si>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</si>
  <si>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</si>
  <si>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</si>
  <si>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</si>
  <si>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</si>
  <si>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</si>
  <si>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</si>
  <si>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</si>
  <si>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</si>
  <si>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</si>
  <si>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</si>
  <si>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</si>
  <si>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</si>
  <si>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</si>
  <si>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</si>
  <si>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</si>
  <si>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</si>
  <si>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</si>
  <si>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</si>
  <si>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</si>
  <si>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</si>
  <si>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</si>
  <si>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</si>
  <si>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</si>
  <si>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</si>
  <si>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</si>
  <si>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</si>
  <si>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</si>
  <si>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</si>
  <si>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</si>
  <si>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</si>
  <si>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</si>
  <si>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</si>
  <si>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</si>
  <si>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</si>
  <si>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</si>
  <si>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</si>
  <si>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</si>
  <si>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</si>
  <si>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</si>
  <si>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</si>
  <si>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</si>
  <si>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</si>
  <si>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</si>
  <si>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</si>
  <si>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</si>
  <si>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</si>
  <si>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</si>
  <si>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</si>
  <si>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</si>
  <si>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</si>
  <si>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</si>
  <si>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</si>
  <si>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</si>
  <si>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</si>
  <si>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</si>
  <si>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</si>
  <si>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</si>
  <si>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</si>
  <si>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</si>
  <si>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</si>
  <si>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</si>
  <si>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</si>
  <si>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</si>
  <si>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</si>
  <si>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</si>
  <si>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</si>
  <si>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</si>
  <si>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</si>
  <si>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</si>
  <si>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</si>
  <si>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</si>
  <si>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</si>
  <si>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</si>
  <si>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</si>
  <si>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</si>
  <si>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</si>
  <si>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</si>
  <si>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</si>
  <si>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</si>
  <si>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</si>
  <si>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</si>
  <si>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</si>
  <si>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</si>
  <si>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</si>
  <si>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</si>
  <si>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</si>
  <si>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</si>
  <si>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</si>
  <si>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</si>
  <si>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</si>
  <si>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</si>
  <si>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</si>
  <si>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</si>
  <si>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</si>
  <si>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</si>
  <si>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</si>
  <si>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</si>
  <si>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</si>
  <si>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</si>
  <si>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</si>
  <si>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</si>
  <si>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</si>
  <si>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</si>
  <si>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</si>
  <si>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</si>
  <si>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</si>
  <si>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</si>
  <si>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</si>
  <si>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</si>
  <si>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</si>
  <si>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</si>
  <si>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</si>
  <si>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</si>
  <si>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</si>
  <si>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</si>
  <si>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</si>
  <si>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</si>
  <si>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</si>
  <si>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</si>
  <si>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</si>
  <si>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</si>
  <si>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</si>
  <si>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</si>
  <si>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</si>
  <si>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</si>
  <si>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</si>
  <si>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</si>
  <si>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</si>
  <si>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</si>
  <si>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</si>
  <si>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</si>
  <si>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</si>
  <si>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</si>
  <si>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</si>
  <si>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</si>
  <si>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</si>
  <si>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</si>
  <si>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</si>
  <si>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</si>
  <si>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</si>
  <si>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</si>
  <si>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</si>
  <si>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</si>
  <si>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</si>
  <si>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</si>
  <si>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</si>
  <si>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</si>
  <si>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</si>
  <si>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</si>
  <si>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</si>
  <si>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</si>
  <si>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</si>
  <si>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</si>
  <si>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</si>
  <si>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</si>
  <si>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</si>
  <si>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</si>
  <si>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</si>
  <si>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</si>
  <si>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</si>
  <si>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</si>
  <si>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</si>
  <si>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</si>
  <si>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</si>
  <si>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</si>
  <si>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</si>
  <si>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</si>
  <si>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</si>
  <si>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</si>
  <si>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</si>
  <si>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</si>
  <si>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</si>
  <si>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</si>
  <si>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</si>
  <si>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</si>
  <si>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</si>
  <si>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</si>
  <si>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</si>
  <si>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</si>
  <si>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</si>
  <si>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</si>
  <si>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</si>
  <si>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</si>
  <si>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</si>
  <si>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</si>
  <si>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</si>
  <si>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</si>
  <si>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</si>
  <si>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</si>
  <si>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</si>
  <si>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</si>
  <si>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</si>
  <si>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</si>
  <si>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</si>
  <si>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</si>
  <si>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</si>
  <si>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</si>
  <si>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</si>
  <si>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</si>
  <si>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</si>
  <si>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</si>
  <si>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</si>
  <si>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</si>
  <si>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</si>
  <si>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</si>
  <si>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</si>
  <si>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</si>
  <si>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</si>
  <si>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</si>
  <si>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</si>
  <si>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</si>
  <si>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</si>
  <si>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</si>
  <si>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</si>
  <si>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</si>
  <si>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</si>
  <si>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</si>
  <si>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</si>
  <si>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</si>
  <si>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</si>
  <si>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</si>
  <si>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</si>
  <si>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</si>
  <si>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</si>
  <si>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</si>
  <si>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</si>
  <si>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</si>
  <si>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</si>
  <si>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</si>
  <si>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</si>
  <si>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</si>
  <si>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</si>
  <si>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</si>
  <si>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</si>
  <si>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</si>
  <si>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</si>
  <si>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</si>
  <si>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</si>
  <si>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</si>
  <si>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</si>
  <si>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</si>
  <si>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</si>
  <si>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</si>
  <si>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</si>
  <si>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</si>
  <si>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</si>
  <si>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</si>
  <si>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</si>
  <si>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</si>
  <si>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</si>
  <si>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</si>
  <si>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</si>
  <si>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</si>
  <si>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</si>
  <si>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</si>
  <si>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</si>
  <si>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</si>
  <si>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</si>
  <si>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</si>
  <si>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</si>
  <si>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</si>
  <si>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</si>
  <si>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</si>
  <si>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</si>
  <si>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</si>
  <si>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</si>
  <si>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</si>
  <si>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</si>
  <si>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</si>
  <si>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</si>
  <si>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</si>
  <si>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</si>
  <si>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</si>
  <si>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</si>
  <si>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</si>
  <si>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</si>
  <si>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</si>
  <si>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</si>
  <si>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</si>
  <si>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</si>
  <si>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</si>
  <si>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</si>
  <si>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</si>
  <si>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</si>
  <si>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</si>
  <si>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</si>
  <si>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</si>
  <si>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</si>
  <si>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</si>
  <si>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</si>
  <si>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</si>
  <si>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</si>
  <si>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</si>
  <si>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</si>
  <si>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</si>
  <si>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</si>
  <si>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</si>
  <si>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</si>
  <si>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</si>
  <si>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</si>
  <si>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</si>
  <si>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</si>
  <si>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</si>
  <si>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</si>
  <si>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</si>
  <si>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</si>
  <si>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</si>
  <si>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</si>
  <si>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</si>
  <si>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</si>
  <si>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</si>
  <si>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</si>
  <si>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</si>
  <si>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</si>
  <si>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</si>
  <si>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</si>
  <si>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</si>
  <si>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</si>
  <si>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</si>
  <si>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</si>
  <si>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</si>
  <si>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</si>
  <si>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</si>
  <si>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</si>
  <si>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</si>
  <si>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</si>
  <si>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</si>
  <si>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</si>
  <si>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</si>
  <si>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</si>
  <si>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</si>
  <si>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</si>
  <si>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</si>
  <si>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</si>
  <si>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</si>
  <si>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</si>
  <si>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</si>
  <si>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</si>
  <si>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</si>
  <si>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</si>
  <si>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</si>
  <si>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</si>
  <si>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</si>
  <si>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</si>
  <si>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</si>
  <si>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</si>
  <si>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</si>
  <si>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</si>
  <si>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</si>
  <si>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</si>
  <si>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</si>
  <si>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</si>
  <si>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</si>
  <si>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</si>
  <si>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</si>
  <si>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</si>
  <si>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</si>
  <si>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</si>
  <si>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</si>
  <si>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</si>
  <si>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</si>
  <si>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</si>
  <si>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</si>
  <si>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</si>
  <si>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</si>
  <si>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</si>
  <si>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</si>
  <si>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</si>
  <si>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</si>
  <si>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</si>
  <si>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</si>
  <si>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</si>
  <si>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</si>
  <si>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</si>
  <si>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</si>
  <si>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</si>
  <si>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</si>
  <si>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</si>
  <si>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</si>
  <si>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</si>
  <si>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</si>
  <si>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</si>
  <si>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</si>
  <si>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</si>
  <si>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</si>
  <si>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</si>
  <si>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</si>
  <si>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</si>
  <si>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</si>
  <si>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</si>
  <si>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</si>
  <si>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</si>
  <si>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</si>
  <si>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</si>
  <si>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</si>
  <si>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</si>
  <si>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</si>
  <si>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</si>
  <si>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</si>
  <si>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</si>
  <si>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</si>
  <si>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</si>
  <si>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</si>
  <si>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</si>
  <si>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</si>
  <si>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</si>
  <si>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</si>
  <si>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</si>
  <si>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</si>
  <si>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</si>
  <si>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</si>
  <si>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</si>
  <si>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</si>
  <si>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</si>
  <si>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</si>
  <si>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</si>
  <si>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</si>
  <si>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</si>
  <si>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</si>
  <si>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</si>
  <si>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</si>
  <si>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</si>
  <si>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</si>
  <si>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</si>
  <si>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</si>
  <si>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</si>
  <si>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</si>
  <si>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</si>
  <si>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</si>
  <si>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</si>
  <si>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</si>
  <si>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</si>
  <si>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</si>
  <si>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</si>
  <si>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</si>
  <si>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</si>
  <si>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</si>
  <si>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</si>
  <si>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</si>
  <si>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</si>
  <si>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</si>
  <si>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</si>
  <si>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</si>
  <si>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</si>
  <si>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</si>
  <si>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</si>
  <si>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</si>
  <si>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</si>
  <si>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</si>
  <si>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</si>
  <si>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</si>
  <si>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</si>
  <si>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</si>
  <si>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</si>
  <si>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</si>
  <si>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</si>
  <si>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</si>
  <si>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</si>
  <si>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</si>
  <si>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</si>
  <si>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</si>
  <si>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</si>
  <si>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</si>
  <si>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</si>
  <si>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</si>
  <si>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</si>
  <si>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</si>
  <si>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</si>
  <si>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</si>
  <si>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</si>
  <si>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</si>
  <si>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</si>
  <si>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</si>
  <si>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</si>
  <si>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</si>
  <si>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</si>
  <si>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</si>
  <si>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</si>
  <si>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</si>
  <si>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</si>
  <si>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</si>
  <si>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</si>
  <si>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</si>
  <si>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</si>
  <si>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</si>
  <si>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</si>
  <si>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</si>
  <si>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</si>
  <si>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</si>
  <si>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</si>
  <si>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</si>
  <si>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</si>
  <si>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</si>
  <si>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</si>
  <si>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</si>
  <si>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</si>
  <si>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</si>
  <si>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</si>
  <si>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</si>
  <si>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</si>
  <si>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</si>
  <si>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</si>
  <si>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</si>
  <si>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</si>
  <si>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</si>
  <si>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</si>
  <si>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</si>
  <si>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</si>
  <si>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</si>
  <si>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</si>
  <si>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</si>
  <si>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</si>
  <si>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</si>
  <si>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</si>
  <si>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</si>
  <si>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</si>
  <si>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</si>
  <si>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</si>
  <si>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</si>
  <si>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</si>
  <si>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</si>
  <si>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</si>
  <si>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</si>
  <si>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</si>
  <si>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</si>
  <si>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</si>
  <si>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</si>
  <si>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</si>
  <si>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</si>
  <si>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</si>
  <si>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</si>
  <si>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</si>
  <si>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</si>
  <si>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</si>
  <si>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</si>
  <si>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</si>
  <si>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</si>
  <si>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</si>
  <si>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</si>
  <si>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</si>
  <si>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</si>
  <si>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</si>
  <si>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</si>
  <si>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</si>
  <si>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</si>
  <si>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</si>
  <si>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</si>
  <si>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</si>
  <si>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</si>
  <si>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</si>
  <si>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</si>
  <si>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</si>
  <si>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</si>
  <si>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</si>
  <si>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</si>
  <si>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</si>
  <si>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</si>
  <si>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</si>
  <si>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</si>
  <si>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</si>
  <si>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</si>
  <si>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</si>
  <si>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</si>
  <si>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</si>
  <si>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</si>
  <si>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</si>
  <si>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</si>
  <si>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</si>
  <si>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</si>
  <si>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</si>
  <si>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</si>
  <si>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</si>
  <si>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</si>
  <si>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</si>
  <si>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</si>
  <si>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</si>
  <si>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</si>
  <si>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</si>
  <si>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</si>
  <si>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</si>
  <si>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</si>
  <si>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</si>
  <si>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</si>
  <si>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</si>
  <si>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</si>
  <si>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</si>
  <si>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</si>
  <si>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</si>
  <si>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</si>
  <si>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</si>
  <si>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</si>
  <si>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</si>
  <si>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</si>
  <si>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</si>
  <si>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</si>
  <si>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</si>
  <si>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</si>
  <si>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</si>
  <si>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</si>
  <si>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</si>
  <si>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</si>
  <si>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</si>
  <si>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</si>
  <si>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</si>
  <si>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</si>
  <si>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</si>
  <si>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</si>
  <si>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</si>
  <si>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</si>
  <si>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</si>
  <si>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</si>
  <si>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</si>
  <si>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</si>
  <si>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</si>
  <si>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</si>
  <si>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</si>
  <si>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</si>
  <si>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</si>
  <si>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</si>
  <si>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</si>
  <si>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</si>
  <si>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</si>
  <si>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</si>
  <si>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</si>
  <si>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</si>
  <si>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</si>
  <si>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</si>
  <si>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</si>
  <si>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</si>
  <si>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</si>
  <si>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</si>
  <si>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</si>
  <si>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</si>
  <si>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</si>
  <si>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</si>
  <si>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</si>
  <si>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</si>
  <si>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</si>
  <si>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</si>
  <si>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</si>
  <si>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</si>
  <si>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</si>
  <si>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</si>
  <si>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</si>
  <si>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</si>
  <si>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</si>
  <si>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</si>
  <si>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</si>
  <si>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</si>
  <si>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</si>
  <si>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</si>
  <si>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</si>
  <si>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</si>
  <si>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</si>
  <si>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</si>
  <si>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</si>
  <si>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</si>
  <si>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</si>
  <si>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</si>
  <si>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</si>
  <si>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</si>
  <si>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</si>
  <si>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</si>
  <si>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</si>
  <si>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</si>
  <si>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</si>
  <si>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</si>
  <si>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</si>
  <si>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</si>
  <si>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</si>
  <si>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</si>
  <si>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</si>
  <si>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</si>
  <si>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</si>
  <si>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</si>
  <si>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</si>
  <si>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</si>
  <si>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</si>
  <si>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</si>
  <si>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</si>
  <si>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</si>
  <si>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</si>
  <si>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</si>
  <si>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</si>
  <si>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</si>
  <si>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</si>
  <si>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</si>
  <si>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</si>
  <si>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</si>
  <si>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</si>
  <si>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</si>
  <si>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</si>
  <si>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</si>
  <si>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</si>
  <si>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</si>
  <si>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</si>
  <si>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</si>
  <si>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</si>
  <si>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</si>
  <si>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</si>
  <si>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</si>
  <si>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</si>
  <si>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</si>
  <si>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</si>
  <si>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</si>
  <si>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</si>
  <si>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</si>
  <si>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</si>
  <si>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</si>
  <si>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</si>
  <si>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</si>
  <si>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</si>
  <si>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</si>
  <si>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</si>
  <si>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</si>
  <si>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</si>
  <si>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</si>
  <si>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</si>
  <si>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</si>
  <si>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</si>
  <si>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</si>
  <si>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</si>
  <si>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</si>
  <si>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</si>
  <si>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</si>
  <si>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</si>
  <si>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</si>
  <si>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</si>
  <si>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</si>
  <si>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</si>
  <si>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</si>
  <si>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</si>
  <si>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</si>
  <si>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</si>
  <si>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</si>
  <si>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</si>
  <si>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</si>
  <si>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</si>
  <si>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</si>
  <si>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</si>
  <si>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</si>
  <si>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</si>
  <si>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</si>
  <si>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</si>
  <si>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</si>
  <si>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</si>
  <si>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</si>
  <si>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</si>
  <si>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</si>
  <si>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</si>
  <si>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</si>
  <si>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</si>
  <si>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</si>
  <si>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</si>
  <si>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</si>
  <si>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</si>
  <si>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</si>
  <si>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</si>
  <si>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</si>
  <si>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</si>
  <si>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</si>
  <si>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</si>
  <si>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</si>
  <si>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</si>
  <si>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</si>
  <si>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</si>
  <si>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</si>
  <si>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</si>
  <si>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</si>
  <si>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</si>
  <si>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</si>
  <si>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</si>
  <si>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</si>
  <si>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</si>
  <si>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</si>
  <si>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</si>
  <si>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</si>
  <si>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</si>
  <si>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</si>
  <si>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</si>
  <si>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</si>
  <si>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</si>
  <si>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</si>
  <si>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</si>
  <si>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</si>
  <si>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</si>
  <si>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</si>
  <si>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</si>
  <si>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</si>
  <si>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</si>
  <si>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</si>
  <si>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</si>
  <si>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</si>
  <si>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</si>
  <si>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</si>
  <si>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</si>
  <si>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</si>
  <si>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</si>
  <si>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</si>
  <si>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</si>
  <si>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</si>
  <si>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</si>
  <si>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</si>
  <si>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</si>
  <si>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</si>
  <si>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</si>
  <si>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</si>
  <si>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</si>
  <si>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</si>
  <si>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</si>
  <si>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</si>
  <si>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</si>
  <si>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</si>
  <si>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</si>
  <si>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</si>
  <si>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</si>
  <si>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</si>
  <si>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</si>
  <si>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</si>
  <si>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</si>
  <si>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</si>
  <si>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</si>
  <si>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</si>
  <si>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</si>
  <si>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</si>
  <si>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</si>
  <si>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</si>
  <si>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</si>
  <si>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</si>
  <si>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</si>
  <si>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</si>
  <si>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</si>
  <si>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</si>
  <si>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</si>
  <si>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</si>
  <si>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</si>
  <si>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</si>
  <si>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</si>
  <si>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</si>
  <si>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</si>
  <si>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</si>
  <si>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</si>
  <si>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</si>
  <si>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</si>
  <si>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</si>
  <si>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</si>
  <si>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</si>
  <si>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</si>
  <si>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</si>
  <si>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</si>
  <si>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</si>
  <si>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</si>
  <si>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</si>
  <si>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</si>
  <si>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</si>
  <si>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</si>
  <si>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</si>
  <si>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</si>
  <si>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</si>
  <si>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</si>
  <si>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</si>
  <si>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</si>
  <si>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</si>
  <si>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</si>
  <si>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</si>
  <si>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</si>
  <si>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</si>
  <si>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</si>
  <si>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</si>
  <si>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</si>
  <si>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</si>
  <si>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</si>
  <si>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</si>
  <si>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</si>
  <si>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</si>
  <si>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</si>
  <si>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</si>
  <si>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</si>
  <si>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</si>
  <si>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</si>
  <si>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</si>
  <si>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</si>
  <si>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</si>
  <si>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</si>
  <si>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</si>
  <si>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</si>
  <si>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</si>
  <si>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</si>
  <si>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</si>
  <si>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</si>
  <si>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</si>
  <si>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</si>
  <si>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</si>
  <si>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</si>
  <si>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</si>
  <si>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</si>
  <si>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</si>
  <si>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</si>
  <si>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</si>
  <si>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</si>
  <si>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</si>
  <si>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</si>
  <si>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</si>
  <si>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</si>
  <si>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</si>
  <si>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</si>
  <si>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</si>
  <si>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</si>
  <si>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</si>
  <si>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</si>
  <si>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</si>
  <si>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</si>
  <si>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</si>
  <si>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</si>
  <si>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</si>
  <si>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</si>
  <si>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</si>
  <si>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</si>
  <si>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</si>
  <si>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</si>
  <si>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</si>
  <si>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</si>
  <si>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</si>
  <si>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</si>
  <si>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</si>
  <si>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</si>
  <si>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</si>
  <si>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</si>
  <si>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</si>
  <si>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</si>
  <si>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</si>
  <si>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</si>
  <si>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</si>
  <si>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</si>
  <si>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</si>
  <si>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</si>
  <si>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</si>
  <si>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</si>
  <si>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</si>
  <si>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</si>
  <si>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</si>
  <si>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</si>
  <si>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</si>
  <si>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</si>
  <si>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</si>
  <si>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</si>
  <si>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</si>
  <si>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</si>
  <si>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</si>
  <si>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</si>
  <si>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</si>
  <si>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</si>
  <si>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</si>
  <si>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</si>
  <si>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</si>
  <si>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</si>
  <si>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</si>
  <si>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</si>
  <si>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</si>
  <si>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</si>
  <si>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</si>
  <si>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</si>
  <si>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</si>
  <si>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</si>
  <si>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</si>
  <si>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</si>
  <si>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</si>
  <si>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</si>
  <si>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</si>
  <si>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</si>
  <si>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</si>
  <si>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</si>
  <si>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</si>
  <si>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</si>
  <si>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</si>
  <si>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</si>
  <si>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</si>
  <si>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</si>
  <si>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</si>
  <si>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</si>
  <si>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</si>
  <si>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</si>
  <si>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</si>
  <si>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</si>
  <si>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</si>
  <si>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</si>
  <si>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</si>
  <si>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</si>
  <si>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</si>
  <si>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</si>
  <si>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</si>
  <si>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</si>
  <si>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</si>
  <si>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</si>
  <si>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</si>
  <si>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</si>
  <si>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</si>
  <si>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</si>
  <si>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</si>
  <si>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</si>
  <si>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</si>
  <si>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</si>
  <si>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</si>
  <si>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</si>
  <si>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</si>
  <si>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</si>
  <si>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</si>
  <si>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</si>
  <si>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</si>
  <si>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</si>
  <si>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</si>
  <si>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</si>
  <si>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</si>
  <si>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</si>
  <si>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</si>
  <si>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</si>
  <si>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</si>
  <si>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</si>
  <si>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</si>
  <si>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</si>
  <si>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</si>
  <si>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</si>
  <si>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</si>
  <si>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</si>
  <si>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</si>
  <si>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</si>
  <si>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</si>
  <si>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</si>
  <si>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</si>
  <si>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</si>
  <si>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</si>
  <si>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</si>
  <si>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</si>
  <si>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</si>
  <si>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</si>
  <si>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</si>
  <si>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</si>
  <si>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</si>
  <si>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</si>
  <si>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</si>
  <si>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</si>
  <si>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</si>
  <si>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</si>
  <si>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</si>
  <si>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</si>
  <si>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</si>
  <si>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</si>
  <si>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</si>
  <si>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</si>
  <si>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</si>
  <si>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</si>
  <si>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</si>
  <si>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</si>
  <si>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</si>
  <si>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</si>
  <si>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</si>
  <si>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</si>
  <si>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</si>
  <si>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</si>
  <si>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</si>
  <si>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</si>
  <si>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</si>
  <si>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</si>
  <si>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</si>
  <si>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</si>
  <si>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</si>
  <si>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</si>
  <si>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</si>
  <si>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</si>
  <si>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</si>
  <si>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</si>
  <si>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</si>
  <si>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</si>
  <si>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</si>
  <si>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</si>
  <si>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</si>
  <si>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</si>
  <si>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</si>
  <si>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</si>
  <si>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</si>
  <si>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</si>
  <si>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</si>
  <si>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</si>
  <si>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</si>
  <si>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</si>
  <si>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</si>
  <si>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</si>
  <si>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</si>
  <si>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</si>
  <si>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</si>
  <si>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</si>
  <si>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</si>
  <si>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</si>
  <si>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</si>
  <si>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</si>
  <si>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</si>
  <si>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</si>
  <si>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</si>
  <si>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</si>
  <si>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</si>
  <si>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</si>
  <si>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</si>
  <si>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</si>
  <si>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</si>
  <si>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</si>
  <si>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</si>
  <si>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</si>
  <si>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</si>
  <si>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</si>
  <si>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</si>
  <si>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</si>
  <si>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</si>
  <si>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</si>
  <si>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</si>
  <si>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</si>
  <si>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</si>
  <si>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</si>
  <si>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</si>
  <si>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</si>
  <si>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</si>
  <si>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</si>
  <si>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</si>
  <si>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</si>
  <si>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</si>
  <si>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</si>
  <si>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</si>
  <si>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</si>
  <si>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</si>
  <si>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</si>
  <si>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</si>
  <si>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</si>
  <si>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</si>
  <si>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</si>
  <si>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</si>
  <si>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</si>
  <si>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</si>
  <si>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</si>
  <si>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</si>
  <si>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</si>
  <si>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</si>
  <si>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</si>
  <si>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</si>
  <si>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</si>
  <si>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</si>
  <si>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</si>
  <si>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</si>
  <si>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</si>
  <si>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</si>
  <si>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</si>
  <si>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</si>
  <si>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</si>
  <si>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</si>
  <si>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</si>
  <si>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</si>
  <si>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</si>
  <si>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</si>
  <si>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</si>
  <si>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</si>
  <si>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</si>
  <si>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</si>
  <si>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</si>
  <si>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</si>
  <si>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</si>
  <si>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</si>
  <si>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</si>
  <si>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</si>
  <si>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</si>
  <si>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</si>
  <si>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</si>
  <si>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</si>
  <si>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</si>
  <si>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</si>
  <si>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</si>
  <si>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</si>
  <si>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</si>
  <si>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</si>
  <si>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</si>
  <si>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</si>
  <si>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</si>
  <si>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</si>
  <si>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</si>
  <si>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</si>
  <si>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</si>
  <si>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</si>
  <si>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</si>
  <si>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</si>
  <si>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</si>
  <si>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</si>
  <si>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</si>
  <si>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</si>
  <si>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</si>
  <si>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</si>
  <si>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</si>
  <si>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</si>
  <si>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</si>
  <si>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</si>
  <si>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</si>
  <si>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</si>
  <si>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</si>
  <si>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</si>
  <si>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</si>
  <si>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</si>
  <si>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</si>
  <si>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</si>
  <si>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</si>
  <si>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</si>
  <si>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</si>
  <si>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</si>
  <si>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</si>
  <si>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</si>
  <si>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</si>
  <si>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</si>
  <si>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</si>
  <si>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</si>
  <si>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</si>
  <si>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</si>
  <si>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</si>
  <si>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</si>
  <si>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</si>
  <si>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</si>
  <si>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</si>
  <si>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</si>
  <si>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</si>
  <si>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</si>
  <si>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</si>
  <si>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</si>
  <si>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</si>
  <si>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</si>
  <si>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</si>
  <si>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</si>
  <si>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</si>
  <si>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</si>
  <si>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</si>
  <si>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</si>
  <si>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</si>
  <si>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</si>
  <si>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</si>
  <si>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</si>
  <si>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</si>
  <si>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</si>
  <si>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</si>
  <si>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</si>
  <si>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</si>
  <si>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</si>
  <si>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</si>
  <si>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</si>
  <si>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</si>
  <si>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</si>
  <si>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</si>
  <si>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</si>
  <si>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</si>
  <si>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</si>
  <si>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</si>
  <si>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</si>
  <si>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</si>
  <si>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</si>
  <si>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</si>
  <si>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</si>
  <si>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</si>
  <si>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</si>
  <si>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</si>
  <si>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</si>
  <si>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</si>
  <si>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</si>
  <si>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</si>
  <si>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</si>
  <si>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</si>
  <si>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</si>
  <si>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</si>
  <si>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</si>
  <si>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</si>
  <si>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</si>
  <si>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</si>
  <si>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</si>
  <si>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</si>
  <si>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</si>
  <si>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</si>
  <si>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</si>
  <si>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</si>
  <si>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</si>
  <si>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</si>
  <si>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</si>
  <si>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</si>
  <si>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</si>
  <si>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</si>
  <si>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</si>
  <si>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</si>
  <si>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</si>
  <si>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</si>
  <si>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</si>
  <si>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</si>
  <si>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</si>
  <si>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</si>
  <si>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</si>
  <si>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</si>
  <si>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</si>
  <si>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</si>
  <si>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</si>
  <si>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</si>
  <si>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</si>
  <si>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</si>
  <si>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</si>
  <si>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</si>
  <si>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</si>
  <si>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</si>
  <si>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</si>
  <si>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</si>
  <si>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</si>
  <si>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</si>
  <si>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</si>
  <si>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</si>
  <si>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</si>
  <si>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</si>
  <si>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</si>
  <si>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</si>
  <si>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</si>
  <si>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</si>
  <si>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</si>
  <si>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</si>
  <si>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</si>
  <si>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</si>
  <si>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</si>
  <si>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</si>
  <si>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</si>
  <si>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</si>
  <si>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</si>
  <si>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</si>
  <si>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</si>
  <si>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</si>
  <si>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</si>
  <si>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</si>
  <si>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</si>
  <si>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</si>
  <si>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</si>
  <si>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</si>
  <si>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</si>
  <si>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</si>
  <si>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</si>
  <si>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</si>
  <si>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</si>
  <si>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</si>
  <si>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</si>
  <si>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</si>
  <si>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</si>
  <si>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</si>
  <si>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</si>
  <si>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</si>
  <si>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</si>
  <si>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</si>
  <si>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</si>
  <si>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</si>
  <si>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</si>
  <si>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</si>
  <si>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</si>
  <si>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</si>
  <si>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</si>
  <si>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</si>
  <si>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</si>
  <si>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</si>
  <si>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</si>
  <si>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</si>
  <si>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</si>
  <si>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</si>
  <si>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</si>
  <si>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</si>
  <si>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</si>
  <si>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</si>
  <si>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</si>
  <si>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</si>
  <si>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</si>
  <si>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</si>
  <si>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</si>
  <si>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</si>
  <si>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</si>
  <si>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</si>
  <si>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</si>
  <si>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</si>
  <si>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</si>
  <si>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</si>
  <si>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</si>
  <si>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</si>
  <si>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</si>
  <si>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</si>
  <si>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</si>
  <si>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</si>
  <si>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</si>
  <si>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</si>
  <si>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</si>
  <si>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</si>
  <si>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</si>
  <si>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</si>
  <si>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</si>
  <si>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</si>
  <si>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</si>
  <si>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</si>
  <si>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</si>
  <si>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</si>
  <si>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</si>
  <si>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</si>
  <si>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</si>
  <si>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</si>
  <si>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</si>
  <si>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</si>
  <si>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</si>
  <si>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</si>
  <si>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</si>
  <si>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</si>
  <si>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</si>
  <si>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</si>
  <si>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</si>
  <si>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</si>
  <si>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</si>
  <si>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</si>
  <si>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</si>
  <si>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</si>
  <si>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</si>
  <si>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</si>
  <si>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</si>
  <si>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</si>
  <si>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</si>
  <si>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</si>
  <si>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</si>
  <si>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</si>
  <si>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</si>
  <si>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</si>
  <si>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</si>
  <si>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</si>
  <si>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</si>
  <si>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</si>
  <si>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</si>
  <si>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</si>
  <si>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</si>
  <si>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</si>
  <si>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</si>
  <si>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</si>
  <si>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</si>
  <si>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</si>
  <si>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</si>
  <si>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</si>
  <si>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</si>
  <si>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</si>
  <si>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</si>
  <si>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</si>
  <si>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</si>
  <si>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</si>
  <si>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</si>
  <si>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</si>
  <si>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</si>
  <si>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</si>
  <si>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</si>
  <si>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</si>
  <si>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</si>
  <si>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</si>
  <si>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</si>
  <si>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</si>
  <si>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</si>
  <si>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</si>
  <si>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</si>
  <si>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</si>
  <si>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</si>
  <si>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</si>
  <si>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</si>
  <si>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</si>
  <si>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</si>
  <si>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</si>
  <si>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</si>
  <si>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</si>
  <si>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XI</t>
  </si>
  <si>
    <t>Department for Business, Energy and Industrial Strategy</t>
  </si>
  <si>
    <t/>
  </si>
  <si>
    <t>Hannah Lewis</t>
  </si>
  <si>
    <t>Senior Policy Advisor</t>
  </si>
  <si>
    <t>1 Victoria Street, London, SW1H 0ET</t>
  </si>
  <si>
    <t>44 (0) 207 215 0590</t>
  </si>
  <si>
    <t>hannah.lewis@beis.gov.uk</t>
  </si>
  <si>
    <t>Department for Business Energy and Industrial Strateg</t>
  </si>
  <si>
    <t>Department for Business Energy and Industrial StrategyDepartment of Agriculture, Environment and Rural Affairs</t>
  </si>
  <si>
    <t>BEIS</t>
  </si>
  <si>
    <t>DAERA</t>
  </si>
  <si>
    <t>1</t>
  </si>
  <si>
    <t xml:space="preserve">44(0)300 060 4000 </t>
  </si>
  <si>
    <t>44 (0) 28 9056 9299</t>
  </si>
  <si>
    <t xml:space="preserve">  eu.ets@beis.gov.uk</t>
  </si>
  <si>
    <t>emissions.trading@daera-ni.gov.uk</t>
  </si>
  <si>
    <t xml:space="preserve">https://www.gov.uk/government/organisations/department-for-business-energy-and-industrial-strategy </t>
  </si>
  <si>
    <t xml:space="preserve">  https://www.daera-ni.gov.uk/topics/pollution/emissions-trading</t>
  </si>
  <si>
    <t>We are using NL and Belguim accredited Verifiers</t>
  </si>
  <si>
    <t>Environment Agency</t>
  </si>
  <si>
    <t>EA</t>
  </si>
  <si>
    <t>Not Applicable</t>
  </si>
  <si>
    <t>Department of Agriculture, Environment and Rural Affairs</t>
  </si>
  <si>
    <t>yes</t>
  </si>
  <si>
    <t>Training opportunities are organised on an adhoc basis. When one competent authority arranges training, these opportunities are opened to all competent authorities to attend.</t>
  </si>
  <si>
    <t>All EU &amp; UK regulators use the same internet based IT system, ETSWAP.</t>
  </si>
  <si>
    <t>Regular meetings with EU &amp; UK regulators, DAERA and BEIS, including training.</t>
  </si>
  <si>
    <t>we are in the process of setting up meetings with ROI authorities</t>
  </si>
  <si>
    <t>planning annual meeting</t>
  </si>
  <si>
    <t>It is possible but not done in practice</t>
  </si>
  <si>
    <t>ETS and IED inspectors are in the same Unit / same person</t>
  </si>
  <si>
    <t>Under regulation 14 of the Greenhouse Gas Emissions Trading Scheme Regulations 2012 a permit can be revoked in any circumstance, and in particular in case an operator fails to pay permit fees. Under the same provision a permit must also be revoked when an operator fails to surrender the permit following a cease in operation.</t>
  </si>
  <si>
    <t>Permits do not expire, but must be reviewed every five years.</t>
  </si>
  <si>
    <t>Under regulation 11(2)(c) of the Greenhouse Gas Emissions Trading Scheme Regulations 2012 the permit can be updated in any case of increase in capacity regularly notified to the Competent Authority by 31 December.</t>
  </si>
  <si>
    <t>Under regulation 11(2)(c) of the Greenhouse Gas Emissions Trading Scheme Regulations 2012 the permit can be updated in any case of decrease in capacity regularly notified to the Competent Authority by 31 December.</t>
  </si>
  <si>
    <t>Under regulation 11(2)(b) of the Greenhouse Gas Emissions Trading Scheme Regulations 2012 a permit can be updated in all cases of changes to the monitoring plan set out in Article 69 of Commission Regulation (EU) No 601/2012.</t>
  </si>
  <si>
    <t>Under regulation 11(3)(a) of the Greenhouse Gas Emissions Trading Scheme Regulations 2012 the permit can be updated anytime the operator is allowed to request such a change on the basis of a specific provision of the permit itself.</t>
  </si>
  <si>
    <t>Under regulation 11(6) of the Greenhouse Gas Emissions Trading Scheme Regulations 2012 a permit can be consolidated permit after any permit update, or when the same operator holds more permits for the same sites.</t>
  </si>
  <si>
    <t>WE use the same system for EU and UK ETS management so collect all relevant data for UK use</t>
  </si>
  <si>
    <t>Web based form within the ETSWAP application.
 We don’t ask for additional information beyond that
 requested in the Commission’s template. Additional
 elements are included purely for the functionality 
within the web form.</t>
  </si>
  <si>
    <t>Web based form within the ETSWAP application.
 We don’t ask for additional information beyond that
 requested in the Commission’s template. Additional
 elements are included purely for the functionality
 within the web form.</t>
  </si>
  <si>
    <t>Web based form within the ETSWAP application. 
We don’t ask for additional information beyond that
 requested in the Commission’s template. Additional
 elements are included purely for the functionality
 within the web form.</t>
  </si>
  <si>
    <t>The web based forms in ETSWAP were designed using the latest available drafts of the Commission's templates for monitoring plans, emission reports, tonne kilometre reports and verification report opinion statements. Whilst the forms do contain additional elements to improve the user experience (e.g. showing/hiding individual fields or sections and performing calculations to minimise the risk of errors), we have deliberately avoided adding extra information requirements to any of the template forms. Data within the forms is stored in extensible markup language (XML) format. Whilst the schema for this XML is currently bespoke to ETSWAP it could be modified to better align with the Commission's Reporting Language now that this has been completed. Functionality was built into ETSWAP to enable upload of XML files for Phase II aviation emission reports and monitoring plans, however, we found that very few operators were in a position to be able to use this functionality and no operators actually uploaded their emission reports via XML in practice.</t>
  </si>
  <si>
    <t>natural gas</t>
  </si>
  <si>
    <t>propane gas</t>
  </si>
  <si>
    <t>bio-methane</t>
  </si>
  <si>
    <t xml:space="preserve">gas/diesel oil </t>
  </si>
  <si>
    <t>wood/wood waste</t>
  </si>
  <si>
    <t>urea</t>
  </si>
  <si>
    <t>kerosene(other than jet kerosene)</t>
  </si>
  <si>
    <t>petrol</t>
  </si>
  <si>
    <t>propane</t>
  </si>
  <si>
    <t>LPG</t>
  </si>
  <si>
    <t>acetylene</t>
  </si>
  <si>
    <t>liquid urea</t>
  </si>
  <si>
    <t>EC voluntary schemes</t>
  </si>
  <si>
    <t>n/a</t>
  </si>
  <si>
    <t>0</t>
  </si>
  <si>
    <t>No free allocation for NI installations</t>
  </si>
  <si>
    <t>Maximum fixed penalty of €4,238 plus a daily penalty of €424 up to a maximum of €38137</t>
  </si>
  <si>
    <t>revocation</t>
  </si>
  <si>
    <t>change detail account</t>
  </si>
  <si>
    <t>verifier change</t>
  </si>
  <si>
    <t>maintain</t>
  </si>
  <si>
    <t>External trading platform (per hour)</t>
  </si>
  <si>
    <t>Civil Penalty is: Estimated amount of cost avoided + (Estimated reportable emission * Carbon Price).</t>
  </si>
  <si>
    <t>If operator does not submit the supporting documents they are not granted an EU ETS permit.</t>
  </si>
  <si>
    <t>fixed penalty</t>
  </si>
  <si>
    <t>Failure to notify planned or effective changes to capacity, activity levels and operation of an installation by 31 December of the reporting period in accordance with Article 24 of Decision 2011/278/EU</t>
  </si>
  <si>
    <t>The Greenhouse Gas Emissions Trading Scheme Regulations 2012</t>
  </si>
  <si>
    <t>Article 40(1) of the Commission Regulation 389/2013 on a system of registries provides that an allowance shall be a fungible, dematerialised instrument that is tradable on the market. This is directly applicable in member states. The UK has not implemented any further measures defining the legal status of allowances.</t>
  </si>
  <si>
    <t>HM Treasury is in the process of determining what is the accounting treatment of emission allowances in the annual financial report of the companies following the Member State’s accounting norm.</t>
  </si>
  <si>
    <t>20</t>
  </si>
  <si>
    <t>Not aware of any</t>
  </si>
  <si>
    <t>This is the second year that the UK are reporting under the Northern Ireland Protocol which stipulates only emissions from the agreed list of electricity generators supplying the Island of Ireland single electricity market are required to participate in the EU scheme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</si>
</sst>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427"/>
  <sheetViews>
    <sheetView topLeftCell="A402" workbookViewId="0">
      <selection activeCell="A427" sqref="A427"/>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1</v>
      </c>
      <c r="E11" t="s">
        <v>1447</v>
      </c>
      <c r="F11" t="s">
        <v>1752</v>
      </c>
      <c r="G11" t="s">
        <v>1741</v>
      </c>
      <c r="H11" t="s">
        <v>2287</v>
      </c>
      <c r="I11" t="s">
        <v>2279</v>
      </c>
      <c r="J11" t="s">
        <v>2279</v>
      </c>
      <c r="K11" t="s">
        <v>2279</v>
      </c>
      <c r="L11" t="s">
        <v>2279</v>
      </c>
      <c r="M11" t="s">
        <v>2279</v>
      </c>
      <c r="N11" t="s">
        <v>2279</v>
      </c>
      <c r="O11" s="190" t="str">
        <f>"["&amp;$C11&amp;"]["&amp;$D11&amp;"]["&amp;$F11&amp;"]"</f>
        <v>[S02_CompetentAuthority][1][CAAbbreviation]</v>
      </c>
    </row>
    <row r="12" spans="1:18" x14ac:dyDescent="0.3">
      <c r="A12" t="s">
        <v>2277</v>
      </c>
      <c r="B12" t="s">
        <v>1749</v>
      </c>
      <c r="C12" t="s">
        <v>1750</v>
      </c>
      <c r="D12">
        <v>2</v>
      </c>
      <c r="E12" t="s">
        <v>1447</v>
      </c>
      <c r="F12" t="s">
        <v>1752</v>
      </c>
      <c r="G12" t="s">
        <v>1741</v>
      </c>
      <c r="H12" t="s">
        <v>2288</v>
      </c>
      <c r="I12" t="s">
        <v>2279</v>
      </c>
      <c r="J12" t="s">
        <v>2279</v>
      </c>
      <c r="K12" t="s">
        <v>2279</v>
      </c>
      <c r="L12" t="s">
        <v>2279</v>
      </c>
      <c r="M12" t="s">
        <v>2279</v>
      </c>
      <c r="N12" t="s">
        <v>2279</v>
      </c>
      <c r="O12" s="190" t="str">
        <f>"["&amp;$C12&amp;"]["&amp;$D12&amp;"]["&amp;$F12&amp;"]"</f>
        <v>[S02_CompetentAuthority][2][CAAbbreviation]</v>
      </c>
    </row>
    <row r="13" spans="1:18" x14ac:dyDescent="0.3">
      <c r="A13" t="s">
        <v>2277</v>
      </c>
      <c r="B13" t="s">
        <v>1749</v>
      </c>
      <c r="C13" t="s">
        <v>1750</v>
      </c>
      <c r="D13">
        <v>1</v>
      </c>
      <c r="E13" t="s">
        <v>1447</v>
      </c>
      <c r="F13" t="s">
        <v>1753</v>
      </c>
      <c r="G13" t="s">
        <v>1741</v>
      </c>
      <c r="H13" t="s">
        <v>1422</v>
      </c>
      <c r="I13" t="s">
        <v>2279</v>
      </c>
      <c r="J13" t="s">
        <v>2279</v>
      </c>
      <c r="K13" t="s">
        <v>2279</v>
      </c>
      <c r="L13" t="s">
        <v>2279</v>
      </c>
      <c r="M13" t="s">
        <v>2279</v>
      </c>
      <c r="N13" t="s">
        <v>2279</v>
      </c>
      <c r="O13" s="190" t="str">
        <f>"["&amp;$C13&amp;"]["&amp;$D13&amp;"]["&amp;$F13&amp;"]"</f>
        <v>[S02_CompetentAuthority][1][CAType]</v>
      </c>
    </row>
    <row r="14" spans="1:18" x14ac:dyDescent="0.3">
      <c r="A14" t="s">
        <v>2277</v>
      </c>
      <c r="B14" t="s">
        <v>1749</v>
      </c>
      <c r="C14" t="s">
        <v>1750</v>
      </c>
      <c r="D14">
        <v>2</v>
      </c>
      <c r="E14" t="s">
        <v>1447</v>
      </c>
      <c r="F14" t="s">
        <v>1753</v>
      </c>
      <c r="G14" t="s">
        <v>1741</v>
      </c>
      <c r="H14" t="s">
        <v>1422</v>
      </c>
      <c r="I14" t="s">
        <v>2279</v>
      </c>
      <c r="J14" t="s">
        <v>2279</v>
      </c>
      <c r="K14" t="s">
        <v>2279</v>
      </c>
      <c r="L14" t="s">
        <v>2279</v>
      </c>
      <c r="M14" t="s">
        <v>2279</v>
      </c>
      <c r="N14" t="s">
        <v>2279</v>
      </c>
      <c r="O14" s="190" t="str">
        <f>"["&amp;$C14&amp;"]["&amp;$D14&amp;"]["&amp;$F14&amp;"]"</f>
        <v>[S02_CompetentAuthority][2][CAType]</v>
      </c>
    </row>
    <row r="15" spans="1:18" x14ac:dyDescent="0.3">
      <c r="A15" t="s">
        <v>2277</v>
      </c>
      <c r="B15" t="s">
        <v>1749</v>
      </c>
      <c r="C15" t="s">
        <v>1750</v>
      </c>
      <c r="D15">
        <v>1</v>
      </c>
      <c r="E15" t="s">
        <v>1447</v>
      </c>
      <c r="F15" t="s">
        <v>1754</v>
      </c>
      <c r="G15" t="s">
        <v>1741</v>
      </c>
      <c r="H15" t="s">
        <v>2289</v>
      </c>
      <c r="I15" t="s">
        <v>2279</v>
      </c>
      <c r="J15" t="s">
        <v>2279</v>
      </c>
      <c r="K15" t="s">
        <v>2279</v>
      </c>
      <c r="L15" t="s">
        <v>2279</v>
      </c>
      <c r="M15" t="s">
        <v>2279</v>
      </c>
      <c r="N15" t="s">
        <v>2279</v>
      </c>
      <c r="O15" s="190" t="str">
        <f>"["&amp;$C15&amp;"]["&amp;$D15&amp;"]["&amp;$F15&amp;"]"</f>
        <v>[S02_CompetentAuthority][1][CANumber]</v>
      </c>
    </row>
    <row r="16" spans="1:18" x14ac:dyDescent="0.3">
      <c r="A16" t="s">
        <v>2277</v>
      </c>
      <c r="B16" t="s">
        <v>1749</v>
      </c>
      <c r="C16" t="s">
        <v>1750</v>
      </c>
      <c r="D16">
        <v>2</v>
      </c>
      <c r="E16" t="s">
        <v>1447</v>
      </c>
      <c r="F16" t="s">
        <v>1754</v>
      </c>
      <c r="G16" t="s">
        <v>1741</v>
      </c>
      <c r="H16" t="s">
        <v>2289</v>
      </c>
      <c r="I16" t="s">
        <v>2279</v>
      </c>
      <c r="J16" t="s">
        <v>2279</v>
      </c>
      <c r="K16" t="s">
        <v>2279</v>
      </c>
      <c r="L16" t="s">
        <v>2279</v>
      </c>
      <c r="M16" t="s">
        <v>2279</v>
      </c>
      <c r="N16" t="s">
        <v>2279</v>
      </c>
      <c r="O16" s="190" t="str">
        <f>"["&amp;$C16&amp;"]["&amp;$D16&amp;"]["&amp;$F16&amp;"]"</f>
        <v>[S02_CompetentAuthority][2][CANumber]</v>
      </c>
    </row>
    <row r="17" spans="1:15" x14ac:dyDescent="0.3">
      <c r="A17" t="s">
        <v>2277</v>
      </c>
      <c r="B17" t="s">
        <v>1749</v>
      </c>
      <c r="C17" t="s">
        <v>1750</v>
      </c>
      <c r="D17">
        <v>1</v>
      </c>
      <c r="E17" t="s">
        <v>1447</v>
      </c>
      <c r="F17" t="s">
        <v>1755</v>
      </c>
      <c r="G17" t="s">
        <v>1741</v>
      </c>
      <c r="H17" t="s">
        <v>2290</v>
      </c>
      <c r="I17" t="s">
        <v>2279</v>
      </c>
      <c r="J17" t="s">
        <v>2279</v>
      </c>
      <c r="K17" t="s">
        <v>2279</v>
      </c>
      <c r="L17" t="s">
        <v>2279</v>
      </c>
      <c r="M17" t="s">
        <v>2279</v>
      </c>
      <c r="N17" t="s">
        <v>2279</v>
      </c>
      <c r="O17" s="190" t="str">
        <f>"["&amp;$C17&amp;"]["&amp;$D17&amp;"]["&amp;$F17&amp;"]"</f>
        <v>[S02_CompetentAuthority][1][CATelephone]</v>
      </c>
    </row>
    <row r="18" spans="1:15" x14ac:dyDescent="0.3">
      <c r="A18" t="s">
        <v>2277</v>
      </c>
      <c r="B18" t="s">
        <v>1749</v>
      </c>
      <c r="C18" t="s">
        <v>1750</v>
      </c>
      <c r="D18">
        <v>2</v>
      </c>
      <c r="E18" t="s">
        <v>1447</v>
      </c>
      <c r="F18" t="s">
        <v>1755</v>
      </c>
      <c r="G18" t="s">
        <v>1741</v>
      </c>
      <c r="H18" t="s">
        <v>2291</v>
      </c>
      <c r="I18" t="s">
        <v>2279</v>
      </c>
      <c r="J18" t="s">
        <v>2279</v>
      </c>
      <c r="K18" t="s">
        <v>2279</v>
      </c>
      <c r="L18" t="s">
        <v>2279</v>
      </c>
      <c r="M18" t="s">
        <v>2279</v>
      </c>
      <c r="N18" t="s">
        <v>2279</v>
      </c>
      <c r="O18" s="190" t="str">
        <f>"["&amp;$C18&amp;"]["&amp;$D18&amp;"]["&amp;$F18&amp;"]"</f>
        <v>[S02_CompetentAuthority][2][CATelephone]</v>
      </c>
    </row>
    <row r="19" spans="1:15" x14ac:dyDescent="0.3">
      <c r="A19" t="s">
        <v>2277</v>
      </c>
      <c r="B19" t="s">
        <v>1749</v>
      </c>
      <c r="C19" t="s">
        <v>1750</v>
      </c>
      <c r="D19">
        <v>1</v>
      </c>
      <c r="E19" t="s">
        <v>1447</v>
      </c>
      <c r="F19" t="s">
        <v>1756</v>
      </c>
      <c r="G19" t="s">
        <v>1741</v>
      </c>
      <c r="H19" t="s">
        <v>2292</v>
      </c>
      <c r="I19" t="s">
        <v>2279</v>
      </c>
      <c r="J19" t="s">
        <v>2279</v>
      </c>
      <c r="K19" t="s">
        <v>2279</v>
      </c>
      <c r="L19" t="s">
        <v>2279</v>
      </c>
      <c r="M19" t="s">
        <v>2279</v>
      </c>
      <c r="N19" t="s">
        <v>2279</v>
      </c>
      <c r="O19" s="190" t="str">
        <f>"["&amp;$C19&amp;"]["&amp;$D19&amp;"]["&amp;$F19&amp;"]"</f>
        <v>[S02_CompetentAuthority][1][CAEmail]</v>
      </c>
    </row>
    <row r="20" spans="1:15" x14ac:dyDescent="0.3">
      <c r="A20" t="s">
        <v>2277</v>
      </c>
      <c r="B20" t="s">
        <v>1749</v>
      </c>
      <c r="C20" t="s">
        <v>1750</v>
      </c>
      <c r="D20">
        <v>2</v>
      </c>
      <c r="E20" t="s">
        <v>1447</v>
      </c>
      <c r="F20" t="s">
        <v>1756</v>
      </c>
      <c r="G20" t="s">
        <v>1741</v>
      </c>
      <c r="H20" t="s">
        <v>2293</v>
      </c>
      <c r="I20" t="s">
        <v>2279</v>
      </c>
      <c r="J20" t="s">
        <v>2279</v>
      </c>
      <c r="K20" t="s">
        <v>2279</v>
      </c>
      <c r="L20" t="s">
        <v>2279</v>
      </c>
      <c r="M20" t="s">
        <v>2279</v>
      </c>
      <c r="N20" t="s">
        <v>2279</v>
      </c>
      <c r="O20" s="190" t="str">
        <f>"["&amp;$C20&amp;"]["&amp;$D20&amp;"]["&amp;$F20&amp;"]"</f>
        <v>[S02_CompetentAuthority][2][CAEmail]</v>
      </c>
    </row>
    <row r="21" spans="1:15" x14ac:dyDescent="0.3">
      <c r="A21" t="s">
        <v>2277</v>
      </c>
      <c r="B21" t="s">
        <v>1749</v>
      </c>
      <c r="C21" t="s">
        <v>1750</v>
      </c>
      <c r="D21">
        <v>1</v>
      </c>
      <c r="E21" t="s">
        <v>1447</v>
      </c>
      <c r="F21" t="s">
        <v>1757</v>
      </c>
      <c r="G21" t="s">
        <v>1741</v>
      </c>
      <c r="H21" t="s">
        <v>2294</v>
      </c>
      <c r="I21" t="s">
        <v>2279</v>
      </c>
      <c r="J21" t="s">
        <v>2279</v>
      </c>
      <c r="K21" t="s">
        <v>2279</v>
      </c>
      <c r="L21" t="s">
        <v>2279</v>
      </c>
      <c r="M21" t="s">
        <v>2279</v>
      </c>
      <c r="N21" t="s">
        <v>2279</v>
      </c>
      <c r="O21" s="190" t="str">
        <f>"["&amp;$C21&amp;"]["&amp;$D21&amp;"]["&amp;$F21&amp;"]"</f>
        <v>[S02_CompetentAuthority][1][CAWebsite]</v>
      </c>
    </row>
    <row r="22" spans="1:15" x14ac:dyDescent="0.3">
      <c r="A22" t="s">
        <v>2277</v>
      </c>
      <c r="B22" t="s">
        <v>1749</v>
      </c>
      <c r="C22" t="s">
        <v>1750</v>
      </c>
      <c r="D22">
        <v>2</v>
      </c>
      <c r="E22" t="s">
        <v>1447</v>
      </c>
      <c r="F22" t="s">
        <v>1757</v>
      </c>
      <c r="G22" t="s">
        <v>1741</v>
      </c>
      <c r="H22" t="s">
        <v>2295</v>
      </c>
      <c r="I22" t="s">
        <v>2279</v>
      </c>
      <c r="J22" t="s">
        <v>2279</v>
      </c>
      <c r="K22" t="s">
        <v>2279</v>
      </c>
      <c r="L22" t="s">
        <v>2279</v>
      </c>
      <c r="M22" t="s">
        <v>2279</v>
      </c>
      <c r="N22" t="s">
        <v>2279</v>
      </c>
      <c r="O22" s="190" t="str">
        <f>"["&amp;$C22&amp;"]["&amp;$D22&amp;"]["&amp;$F22&amp;"]"</f>
        <v>[S02_CompetentAuthority][2][CAWebsite]</v>
      </c>
    </row>
    <row r="23" spans="1:15" x14ac:dyDescent="0.3">
      <c r="A23" t="s">
        <v>2277</v>
      </c>
      <c r="B23" t="s">
        <v>1749</v>
      </c>
      <c r="C23" t="s">
        <v>1758</v>
      </c>
      <c r="D23">
        <v>0</v>
      </c>
      <c r="E23" t="s">
        <v>1447</v>
      </c>
      <c r="F23" t="s">
        <v>1758</v>
      </c>
      <c r="G23" t="s">
        <v>1759</v>
      </c>
      <c r="H23" t="s">
        <v>2279</v>
      </c>
      <c r="I23" t="s">
        <v>2279</v>
      </c>
      <c r="J23" t="s">
        <v>2279</v>
      </c>
      <c r="K23" t="s">
        <v>2279</v>
      </c>
      <c r="L23" t="s">
        <v>1447</v>
      </c>
      <c r="M23" t="s">
        <v>2279</v>
      </c>
      <c r="N23" t="s">
        <v>2279</v>
      </c>
      <c r="O23" s="190" t="str">
        <f>"["&amp;$C23&amp;"]["&amp;$D23&amp;"]["&amp;$F23&amp;"]"</f>
        <v>[S02_AccreditationBodyYesNo][0][S02_AccreditationBodyYesNo]</v>
      </c>
    </row>
    <row r="24" spans="1:15" x14ac:dyDescent="0.3">
      <c r="A24" t="s">
        <v>2277</v>
      </c>
      <c r="B24" t="s">
        <v>1749</v>
      </c>
      <c r="C24" t="s">
        <v>1760</v>
      </c>
      <c r="D24">
        <v>1</v>
      </c>
      <c r="E24" t="s">
        <v>1447</v>
      </c>
      <c r="F24" t="s">
        <v>1761</v>
      </c>
      <c r="G24" t="s">
        <v>1741</v>
      </c>
      <c r="H24" t="s">
        <v>2296</v>
      </c>
      <c r="I24" t="s">
        <v>2279</v>
      </c>
      <c r="J24" t="s">
        <v>2279</v>
      </c>
      <c r="K24" t="s">
        <v>2279</v>
      </c>
      <c r="L24" t="s">
        <v>2279</v>
      </c>
      <c r="M24" t="s">
        <v>2279</v>
      </c>
      <c r="N24" t="s">
        <v>2279</v>
      </c>
      <c r="O24" s="190" t="str">
        <f>"["&amp;$C24&amp;"]["&amp;$D24&amp;"]["&amp;$F24&amp;"]"</f>
        <v>[S02_AccreditationBody][1][AccBodyName]</v>
      </c>
    </row>
    <row r="25" spans="1:15" x14ac:dyDescent="0.3">
      <c r="A25" t="s">
        <v>2277</v>
      </c>
      <c r="B25" t="s">
        <v>1749</v>
      </c>
      <c r="C25" t="s">
        <v>1766</v>
      </c>
      <c r="D25">
        <v>0</v>
      </c>
      <c r="E25" t="s">
        <v>1447</v>
      </c>
      <c r="F25" t="s">
        <v>1766</v>
      </c>
      <c r="G25" t="s">
        <v>1759</v>
      </c>
      <c r="H25" t="s">
        <v>2279</v>
      </c>
      <c r="I25" t="s">
        <v>2279</v>
      </c>
      <c r="J25" t="s">
        <v>2279</v>
      </c>
      <c r="K25" t="s">
        <v>2279</v>
      </c>
      <c r="L25" t="s">
        <v>1447</v>
      </c>
      <c r="M25" t="s">
        <v>2279</v>
      </c>
      <c r="N25" t="s">
        <v>2279</v>
      </c>
      <c r="O25" s="190" t="str">
        <f>"["&amp;$C25&amp;"]["&amp;$D25&amp;"]["&amp;$F25&amp;"]"</f>
        <v>[CertificationBodySetUp][0][CertificationBodySetUp]</v>
      </c>
    </row>
    <row r="26" spans="1:15" x14ac:dyDescent="0.3">
      <c r="A26" t="s">
        <v>2277</v>
      </c>
      <c r="B26" t="s">
        <v>1749</v>
      </c>
      <c r="C26" t="s">
        <v>1773</v>
      </c>
      <c r="D26">
        <v>1</v>
      </c>
      <c r="E26" t="s">
        <v>1447</v>
      </c>
      <c r="F26" t="s">
        <v>1774</v>
      </c>
      <c r="G26" t="s">
        <v>1741</v>
      </c>
      <c r="H26" t="s">
        <v>2297</v>
      </c>
      <c r="I26" t="s">
        <v>2279</v>
      </c>
      <c r="J26" t="s">
        <v>2279</v>
      </c>
      <c r="K26" t="s">
        <v>2279</v>
      </c>
      <c r="L26" t="s">
        <v>2279</v>
      </c>
      <c r="M26" t="s">
        <v>2279</v>
      </c>
      <c r="N26" t="s">
        <v>2279</v>
      </c>
      <c r="O26" s="190" t="str">
        <f>"["&amp;$C26&amp;"]["&amp;$D26&amp;"]["&amp;$F26&amp;"]"</f>
        <v>[S02_RegistryAdministrator][1][RegAdminName]</v>
      </c>
    </row>
    <row r="27" spans="1:15" x14ac:dyDescent="0.3">
      <c r="A27" t="s">
        <v>2277</v>
      </c>
      <c r="B27" t="s">
        <v>1749</v>
      </c>
      <c r="C27" t="s">
        <v>1773</v>
      </c>
      <c r="D27">
        <v>1</v>
      </c>
      <c r="E27" t="s">
        <v>1447</v>
      </c>
      <c r="F27" t="s">
        <v>1775</v>
      </c>
      <c r="G27" t="s">
        <v>1741</v>
      </c>
      <c r="H27" t="s">
        <v>2298</v>
      </c>
      <c r="I27" t="s">
        <v>2279</v>
      </c>
      <c r="J27" t="s">
        <v>2279</v>
      </c>
      <c r="K27" t="s">
        <v>2279</v>
      </c>
      <c r="L27" t="s">
        <v>2279</v>
      </c>
      <c r="M27" t="s">
        <v>2279</v>
      </c>
      <c r="N27" t="s">
        <v>2279</v>
      </c>
      <c r="O27" s="190" t="str">
        <f>"["&amp;$C27&amp;"]["&amp;$D27&amp;"]["&amp;$F27&amp;"]"</f>
        <v>[S02_RegistryAdministrator][1][RegAdminAbbreviation]</v>
      </c>
    </row>
    <row r="28" spans="1:15" x14ac:dyDescent="0.3">
      <c r="A28" t="s">
        <v>2277</v>
      </c>
      <c r="B28" t="s">
        <v>1779</v>
      </c>
      <c r="C28" t="s">
        <v>1780</v>
      </c>
      <c r="D28">
        <v>1</v>
      </c>
      <c r="E28" t="s">
        <v>1447</v>
      </c>
      <c r="F28" t="s">
        <v>1781</v>
      </c>
      <c r="G28" t="s">
        <v>1741</v>
      </c>
      <c r="H28" t="s">
        <v>2288</v>
      </c>
      <c r="I28" t="s">
        <v>2279</v>
      </c>
      <c r="J28" t="s">
        <v>2279</v>
      </c>
      <c r="K28" t="s">
        <v>2279</v>
      </c>
      <c r="L28" t="s">
        <v>2279</v>
      </c>
      <c r="M28" t="s">
        <v>2279</v>
      </c>
      <c r="N28" t="s">
        <v>2279</v>
      </c>
      <c r="O28" s="190" t="str">
        <f>"["&amp;$C28&amp;"]["&amp;$D28&amp;"]["&amp;$F28&amp;"]"</f>
        <v>[S02_CompetentAuthorityRoles][1][CAForInstallationTask]</v>
      </c>
    </row>
    <row r="29" spans="1:15" x14ac:dyDescent="0.3">
      <c r="A29" t="s">
        <v>2277</v>
      </c>
      <c r="B29" t="s">
        <v>1779</v>
      </c>
      <c r="C29" t="s">
        <v>1780</v>
      </c>
      <c r="D29">
        <v>2</v>
      </c>
      <c r="E29" t="s">
        <v>1447</v>
      </c>
      <c r="F29" t="s">
        <v>1781</v>
      </c>
      <c r="G29" t="s">
        <v>1741</v>
      </c>
      <c r="H29" t="s">
        <v>2288</v>
      </c>
      <c r="I29" t="s">
        <v>2279</v>
      </c>
      <c r="J29" t="s">
        <v>2279</v>
      </c>
      <c r="K29" t="s">
        <v>2279</v>
      </c>
      <c r="L29" t="s">
        <v>2279</v>
      </c>
      <c r="M29" t="s">
        <v>2279</v>
      </c>
      <c r="N29" t="s">
        <v>2279</v>
      </c>
      <c r="O29" s="190" t="str">
        <f>"["&amp;$C29&amp;"]["&amp;$D29&amp;"]["&amp;$F29&amp;"]"</f>
        <v>[S02_CompetentAuthorityRoles][2][CAForInstallationTask]</v>
      </c>
    </row>
    <row r="30" spans="1:15" x14ac:dyDescent="0.3">
      <c r="A30" t="s">
        <v>2277</v>
      </c>
      <c r="B30" t="s">
        <v>1779</v>
      </c>
      <c r="C30" t="s">
        <v>1780</v>
      </c>
      <c r="D30">
        <v>3</v>
      </c>
      <c r="E30" t="s">
        <v>1447</v>
      </c>
      <c r="F30" t="s">
        <v>1781</v>
      </c>
      <c r="G30" t="s">
        <v>1741</v>
      </c>
      <c r="H30" t="s">
        <v>2299</v>
      </c>
      <c r="I30" t="s">
        <v>2279</v>
      </c>
      <c r="J30" t="s">
        <v>2279</v>
      </c>
      <c r="K30" t="s">
        <v>2279</v>
      </c>
      <c r="L30" t="s">
        <v>2279</v>
      </c>
      <c r="M30" t="s">
        <v>2279</v>
      </c>
      <c r="N30" t="s">
        <v>2279</v>
      </c>
      <c r="O30" s="190" t="str">
        <f>"["&amp;$C30&amp;"]["&amp;$D30&amp;"]["&amp;$F30&amp;"]"</f>
        <v>[S02_CompetentAuthorityRoles][3][CAForInstallationTask]</v>
      </c>
    </row>
    <row r="31" spans="1:15" x14ac:dyDescent="0.3">
      <c r="A31" t="s">
        <v>2277</v>
      </c>
      <c r="B31" t="s">
        <v>1779</v>
      </c>
      <c r="C31" t="s">
        <v>1780</v>
      </c>
      <c r="D31">
        <v>4</v>
      </c>
      <c r="E31" t="s">
        <v>1447</v>
      </c>
      <c r="F31" t="s">
        <v>1781</v>
      </c>
      <c r="G31" t="s">
        <v>1741</v>
      </c>
      <c r="H31" t="s">
        <v>2288</v>
      </c>
      <c r="I31" t="s">
        <v>2279</v>
      </c>
      <c r="J31" t="s">
        <v>2279</v>
      </c>
      <c r="K31" t="s">
        <v>2279</v>
      </c>
      <c r="L31" t="s">
        <v>2279</v>
      </c>
      <c r="M31" t="s">
        <v>2279</v>
      </c>
      <c r="N31" t="s">
        <v>2279</v>
      </c>
      <c r="O31" s="190" t="str">
        <f>"["&amp;$C31&amp;"]["&amp;$D31&amp;"]["&amp;$F31&amp;"]"</f>
        <v>[S02_CompetentAuthorityRoles][4][CAForInstallationTask]</v>
      </c>
    </row>
    <row r="32" spans="1:15" x14ac:dyDescent="0.3">
      <c r="A32" t="s">
        <v>2277</v>
      </c>
      <c r="B32" t="s">
        <v>1779</v>
      </c>
      <c r="C32" t="s">
        <v>1780</v>
      </c>
      <c r="D32">
        <v>6</v>
      </c>
      <c r="E32" t="s">
        <v>1447</v>
      </c>
      <c r="F32" t="s">
        <v>1781</v>
      </c>
      <c r="G32" t="s">
        <v>1741</v>
      </c>
      <c r="H32" t="s">
        <v>2287</v>
      </c>
      <c r="I32" t="s">
        <v>2279</v>
      </c>
      <c r="J32" t="s">
        <v>2279</v>
      </c>
      <c r="K32" t="s">
        <v>2279</v>
      </c>
      <c r="L32" t="s">
        <v>2279</v>
      </c>
      <c r="M32" t="s">
        <v>2279</v>
      </c>
      <c r="N32" t="s">
        <v>2279</v>
      </c>
      <c r="O32" s="190" t="str">
        <f>"["&amp;$C32&amp;"]["&amp;$D32&amp;"]["&amp;$F32&amp;"]"</f>
        <v>[S02_CompetentAuthorityRoles][6][CAForInstallationTask]</v>
      </c>
    </row>
    <row r="33" spans="1:15" x14ac:dyDescent="0.3">
      <c r="A33" t="s">
        <v>2277</v>
      </c>
      <c r="B33" t="s">
        <v>1779</v>
      </c>
      <c r="C33" t="s">
        <v>1780</v>
      </c>
      <c r="D33">
        <v>7</v>
      </c>
      <c r="E33" t="s">
        <v>1447</v>
      </c>
      <c r="F33" t="s">
        <v>1781</v>
      </c>
      <c r="G33" t="s">
        <v>1741</v>
      </c>
      <c r="H33" t="s">
        <v>2287</v>
      </c>
      <c r="I33" t="s">
        <v>2279</v>
      </c>
      <c r="J33" t="s">
        <v>2279</v>
      </c>
      <c r="K33" t="s">
        <v>2279</v>
      </c>
      <c r="L33" t="s">
        <v>2279</v>
      </c>
      <c r="M33" t="s">
        <v>2279</v>
      </c>
      <c r="N33" t="s">
        <v>2279</v>
      </c>
      <c r="O33" s="190" t="str">
        <f>"["&amp;$C33&amp;"]["&amp;$D33&amp;"]["&amp;$F33&amp;"]"</f>
        <v>[S02_CompetentAuthorityRoles][7][CAForInstallationTask]</v>
      </c>
    </row>
    <row r="34" spans="1:15" x14ac:dyDescent="0.3">
      <c r="A34" t="s">
        <v>2277</v>
      </c>
      <c r="B34" t="s">
        <v>1779</v>
      </c>
      <c r="C34" t="s">
        <v>1780</v>
      </c>
      <c r="D34">
        <v>8</v>
      </c>
      <c r="E34" t="s">
        <v>1447</v>
      </c>
      <c r="F34" t="s">
        <v>1781</v>
      </c>
      <c r="G34" t="s">
        <v>1741</v>
      </c>
      <c r="H34" t="s">
        <v>2288</v>
      </c>
      <c r="I34" t="s">
        <v>2279</v>
      </c>
      <c r="J34" t="s">
        <v>2279</v>
      </c>
      <c r="K34" t="s">
        <v>2279</v>
      </c>
      <c r="L34" t="s">
        <v>2279</v>
      </c>
      <c r="M34" t="s">
        <v>2279</v>
      </c>
      <c r="N34" t="s">
        <v>2279</v>
      </c>
      <c r="O34" s="190" t="str">
        <f>"["&amp;$C34&amp;"]["&amp;$D34&amp;"]["&amp;$F34&amp;"]"</f>
        <v>[S02_CompetentAuthorityRoles][8][CAForInstallationTask]</v>
      </c>
    </row>
    <row r="35" spans="1:15" x14ac:dyDescent="0.3">
      <c r="A35" t="s">
        <v>2277</v>
      </c>
      <c r="B35" t="s">
        <v>1779</v>
      </c>
      <c r="C35" t="s">
        <v>1780</v>
      </c>
      <c r="D35">
        <v>9</v>
      </c>
      <c r="E35" t="s">
        <v>1447</v>
      </c>
      <c r="F35" t="s">
        <v>1781</v>
      </c>
      <c r="G35" t="s">
        <v>1741</v>
      </c>
      <c r="H35" t="s">
        <v>2288</v>
      </c>
      <c r="I35" t="s">
        <v>2279</v>
      </c>
      <c r="J35" t="s">
        <v>2279</v>
      </c>
      <c r="K35" t="s">
        <v>2279</v>
      </c>
      <c r="L35" t="s">
        <v>2279</v>
      </c>
      <c r="M35" t="s">
        <v>2279</v>
      </c>
      <c r="N35" t="s">
        <v>2279</v>
      </c>
      <c r="O35" s="190" t="str">
        <f>"["&amp;$C35&amp;"]["&amp;$D35&amp;"]["&amp;$F35&amp;"]"</f>
        <v>[S02_CompetentAuthorityRoles][9][CAForInstallationTask]</v>
      </c>
    </row>
    <row r="36" spans="1:15" x14ac:dyDescent="0.3">
      <c r="A36" t="s">
        <v>2277</v>
      </c>
      <c r="B36" t="s">
        <v>1779</v>
      </c>
      <c r="C36" t="s">
        <v>1780</v>
      </c>
      <c r="D36">
        <v>10</v>
      </c>
      <c r="E36" t="s">
        <v>1447</v>
      </c>
      <c r="F36" t="s">
        <v>1781</v>
      </c>
      <c r="G36" t="s">
        <v>1741</v>
      </c>
      <c r="H36" t="s">
        <v>2288</v>
      </c>
      <c r="I36" t="s">
        <v>2279</v>
      </c>
      <c r="J36" t="s">
        <v>2279</v>
      </c>
      <c r="K36" t="s">
        <v>2279</v>
      </c>
      <c r="L36" t="s">
        <v>2279</v>
      </c>
      <c r="M36" t="s">
        <v>2279</v>
      </c>
      <c r="N36" t="s">
        <v>2279</v>
      </c>
      <c r="O36" s="190" t="str">
        <f>"["&amp;$C36&amp;"]["&amp;$D36&amp;"]["&amp;$F36&amp;"]"</f>
        <v>[S02_CompetentAuthorityRoles][10][CAForInstallationTask]</v>
      </c>
    </row>
    <row r="37" spans="1:15" x14ac:dyDescent="0.3">
      <c r="A37" t="s">
        <v>2277</v>
      </c>
      <c r="B37" t="s">
        <v>1779</v>
      </c>
      <c r="C37" t="s">
        <v>1780</v>
      </c>
      <c r="D37">
        <v>11</v>
      </c>
      <c r="E37" t="s">
        <v>1447</v>
      </c>
      <c r="F37" t="s">
        <v>1781</v>
      </c>
      <c r="G37" t="s">
        <v>1741</v>
      </c>
      <c r="H37" t="s">
        <v>2288</v>
      </c>
      <c r="I37" t="s">
        <v>2279</v>
      </c>
      <c r="J37" t="s">
        <v>2279</v>
      </c>
      <c r="K37" t="s">
        <v>2279</v>
      </c>
      <c r="L37" t="s">
        <v>2279</v>
      </c>
      <c r="M37" t="s">
        <v>2279</v>
      </c>
      <c r="N37" t="s">
        <v>2279</v>
      </c>
      <c r="O37" s="190" t="str">
        <f>"["&amp;$C37&amp;"]["&amp;$D37&amp;"]["&amp;$F37&amp;"]"</f>
        <v>[S02_CompetentAuthorityRoles][11][CAForInstallationTask]</v>
      </c>
    </row>
    <row r="38" spans="1:15" x14ac:dyDescent="0.3">
      <c r="A38" t="s">
        <v>2277</v>
      </c>
      <c r="B38" t="s">
        <v>1779</v>
      </c>
      <c r="C38" t="s">
        <v>1780</v>
      </c>
      <c r="D38">
        <v>12</v>
      </c>
      <c r="E38" t="s">
        <v>1447</v>
      </c>
      <c r="F38" t="s">
        <v>1781</v>
      </c>
      <c r="G38" t="s">
        <v>1741</v>
      </c>
      <c r="H38" t="s">
        <v>2287</v>
      </c>
      <c r="I38" t="s">
        <v>2279</v>
      </c>
      <c r="J38" t="s">
        <v>2279</v>
      </c>
      <c r="K38" t="s">
        <v>2279</v>
      </c>
      <c r="L38" t="s">
        <v>2279</v>
      </c>
      <c r="M38" t="s">
        <v>2279</v>
      </c>
      <c r="N38" t="s">
        <v>2279</v>
      </c>
      <c r="O38" s="190" t="str">
        <f>"["&amp;$C38&amp;"]["&amp;$D38&amp;"]["&amp;$F38&amp;"]"</f>
        <v>[S02_CompetentAuthorityRoles][12][CAForInstallationTask]</v>
      </c>
    </row>
    <row r="39" spans="1:15" x14ac:dyDescent="0.3">
      <c r="A39" t="s">
        <v>2277</v>
      </c>
      <c r="B39" t="s">
        <v>1779</v>
      </c>
      <c r="C39" t="s">
        <v>1780</v>
      </c>
      <c r="D39">
        <v>13</v>
      </c>
      <c r="E39" t="s">
        <v>1447</v>
      </c>
      <c r="F39" t="s">
        <v>1781</v>
      </c>
      <c r="G39" t="s">
        <v>1741</v>
      </c>
      <c r="H39" t="s">
        <v>2218</v>
      </c>
      <c r="I39" t="s">
        <v>2279</v>
      </c>
      <c r="J39" t="s">
        <v>2279</v>
      </c>
      <c r="K39" t="s">
        <v>2279</v>
      </c>
      <c r="L39" t="s">
        <v>2279</v>
      </c>
      <c r="M39" t="s">
        <v>2279</v>
      </c>
      <c r="N39" t="s">
        <v>2279</v>
      </c>
      <c r="O39" s="190" t="str">
        <f>"["&amp;$C39&amp;"]["&amp;$D39&amp;"]["&amp;$F39&amp;"]"</f>
        <v>[S02_CompetentAuthorityRoles][13][CAForInstallationTask]</v>
      </c>
    </row>
    <row r="40" spans="1:15" x14ac:dyDescent="0.3">
      <c r="A40" t="s">
        <v>2277</v>
      </c>
      <c r="B40" t="s">
        <v>1784</v>
      </c>
      <c r="C40" t="s">
        <v>1785</v>
      </c>
      <c r="D40">
        <v>0</v>
      </c>
      <c r="E40" t="s">
        <v>1447</v>
      </c>
      <c r="F40" t="s">
        <v>1786</v>
      </c>
      <c r="G40" t="s">
        <v>1741</v>
      </c>
      <c r="H40" t="s">
        <v>2300</v>
      </c>
      <c r="I40" t="s">
        <v>2279</v>
      </c>
      <c r="J40" t="s">
        <v>2279</v>
      </c>
      <c r="K40" t="s">
        <v>2279</v>
      </c>
      <c r="L40" t="s">
        <v>2279</v>
      </c>
      <c r="M40" t="s">
        <v>2279</v>
      </c>
      <c r="N40" t="s">
        <v>2279</v>
      </c>
      <c r="O40" s="190" t="str">
        <f>"["&amp;$C40&amp;"]["&amp;$D40&amp;"]["&amp;$F40&amp;"]"</f>
        <v>[S02_CAFocalPoint][0][CAArt70]</v>
      </c>
    </row>
    <row r="41" spans="1:15" x14ac:dyDescent="0.3">
      <c r="A41" t="s">
        <v>2277</v>
      </c>
      <c r="B41" t="s">
        <v>1784</v>
      </c>
      <c r="C41" t="s">
        <v>1785</v>
      </c>
      <c r="D41">
        <v>0</v>
      </c>
      <c r="E41" t="s">
        <v>1447</v>
      </c>
      <c r="F41" t="s">
        <v>1787</v>
      </c>
      <c r="G41" t="s">
        <v>1741</v>
      </c>
      <c r="H41" t="s">
        <v>2288</v>
      </c>
      <c r="I41" t="s">
        <v>2279</v>
      </c>
      <c r="J41" t="s">
        <v>2279</v>
      </c>
      <c r="K41" t="s">
        <v>2279</v>
      </c>
      <c r="L41" t="s">
        <v>2279</v>
      </c>
      <c r="M41" t="s">
        <v>2279</v>
      </c>
      <c r="N41" t="s">
        <v>2279</v>
      </c>
      <c r="O41" s="190" t="str">
        <f>"["&amp;$C41&amp;"]["&amp;$D41&amp;"]["&amp;$F41&amp;"]"</f>
        <v>[S02_CAFocalPoint][0][CAArt70Abbrev]</v>
      </c>
    </row>
    <row r="42" spans="1:15" x14ac:dyDescent="0.3">
      <c r="A42" t="s">
        <v>2277</v>
      </c>
      <c r="B42" t="s">
        <v>1784</v>
      </c>
      <c r="C42" t="s">
        <v>1788</v>
      </c>
      <c r="D42">
        <v>1</v>
      </c>
      <c r="E42" t="s">
        <v>1447</v>
      </c>
      <c r="F42" t="s">
        <v>1789</v>
      </c>
      <c r="G42" t="s">
        <v>1759</v>
      </c>
      <c r="H42" t="s">
        <v>2279</v>
      </c>
      <c r="I42" t="s">
        <v>2279</v>
      </c>
      <c r="J42" t="s">
        <v>2279</v>
      </c>
      <c r="K42" t="s">
        <v>2279</v>
      </c>
      <c r="L42" t="s">
        <v>1419</v>
      </c>
      <c r="M42" t="s">
        <v>2279</v>
      </c>
      <c r="N42" t="s">
        <v>2279</v>
      </c>
      <c r="O42" s="190" t="str">
        <f>"["&amp;$C42&amp;"]["&amp;$D42&amp;"]["&amp;$F42&amp;"]"</f>
        <v>[S02_CompetentAuthorityCoordination][1][CACoordinationYesNo]</v>
      </c>
    </row>
    <row r="43" spans="1:15" x14ac:dyDescent="0.3">
      <c r="A43" t="s">
        <v>2277</v>
      </c>
      <c r="B43" t="s">
        <v>1784</v>
      </c>
      <c r="C43" t="s">
        <v>1788</v>
      </c>
      <c r="D43">
        <v>2</v>
      </c>
      <c r="E43" t="s">
        <v>1447</v>
      </c>
      <c r="F43" t="s">
        <v>1789</v>
      </c>
      <c r="G43" t="s">
        <v>1759</v>
      </c>
      <c r="H43" t="s">
        <v>2279</v>
      </c>
      <c r="I43" t="s">
        <v>2279</v>
      </c>
      <c r="J43" t="s">
        <v>2279</v>
      </c>
      <c r="K43" t="s">
        <v>2279</v>
      </c>
      <c r="L43" t="s">
        <v>1419</v>
      </c>
      <c r="M43" t="s">
        <v>2279</v>
      </c>
      <c r="N43" t="s">
        <v>2279</v>
      </c>
      <c r="O43" s="190" t="str">
        <f>"["&amp;$C43&amp;"]["&amp;$D43&amp;"]["&amp;$F43&amp;"]"</f>
        <v>[S02_CompetentAuthorityCoordination][2][CACoordinationYesNo]</v>
      </c>
    </row>
    <row r="44" spans="1:15" x14ac:dyDescent="0.3">
      <c r="A44" t="s">
        <v>2277</v>
      </c>
      <c r="B44" t="s">
        <v>1784</v>
      </c>
      <c r="C44" t="s">
        <v>1788</v>
      </c>
      <c r="D44">
        <v>3</v>
      </c>
      <c r="E44" t="s">
        <v>1447</v>
      </c>
      <c r="F44" t="s">
        <v>1789</v>
      </c>
      <c r="G44" t="s">
        <v>1759</v>
      </c>
      <c r="H44" t="s">
        <v>2279</v>
      </c>
      <c r="I44" t="s">
        <v>2279</v>
      </c>
      <c r="J44" t="s">
        <v>2279</v>
      </c>
      <c r="K44" t="s">
        <v>2279</v>
      </c>
      <c r="L44" t="s">
        <v>1419</v>
      </c>
      <c r="M44" t="s">
        <v>2279</v>
      </c>
      <c r="N44" t="s">
        <v>2279</v>
      </c>
      <c r="O44" s="190" t="str">
        <f>"["&amp;$C44&amp;"]["&amp;$D44&amp;"]["&amp;$F44&amp;"]"</f>
        <v>[S02_CompetentAuthorityCoordination][3][CACoordinationYesNo]</v>
      </c>
    </row>
    <row r="45" spans="1:15" x14ac:dyDescent="0.3">
      <c r="A45" t="s">
        <v>2277</v>
      </c>
      <c r="B45" t="s">
        <v>1784</v>
      </c>
      <c r="C45" t="s">
        <v>1788</v>
      </c>
      <c r="D45">
        <v>4</v>
      </c>
      <c r="E45" t="s">
        <v>1447</v>
      </c>
      <c r="F45" t="s">
        <v>1789</v>
      </c>
      <c r="G45" t="s">
        <v>1759</v>
      </c>
      <c r="H45" t="s">
        <v>2279</v>
      </c>
      <c r="I45" t="s">
        <v>2279</v>
      </c>
      <c r="J45" t="s">
        <v>2279</v>
      </c>
      <c r="K45" t="s">
        <v>2279</v>
      </c>
      <c r="L45" t="s">
        <v>1419</v>
      </c>
      <c r="M45" t="s">
        <v>2279</v>
      </c>
      <c r="N45" t="s">
        <v>2279</v>
      </c>
      <c r="O45" s="190" t="str">
        <f>"["&amp;$C45&amp;"]["&amp;$D45&amp;"]["&amp;$F45&amp;"]"</f>
        <v>[S02_CompetentAuthorityCoordination][4][CACoordinationYesNo]</v>
      </c>
    </row>
    <row r="46" spans="1:15" x14ac:dyDescent="0.3">
      <c r="A46" t="s">
        <v>2277</v>
      </c>
      <c r="B46" t="s">
        <v>1784</v>
      </c>
      <c r="C46" t="s">
        <v>1788</v>
      </c>
      <c r="D46">
        <v>5</v>
      </c>
      <c r="E46" t="s">
        <v>1447</v>
      </c>
      <c r="F46" t="s">
        <v>1789</v>
      </c>
      <c r="G46" t="s">
        <v>1759</v>
      </c>
      <c r="H46" t="s">
        <v>2279</v>
      </c>
      <c r="I46" t="s">
        <v>2279</v>
      </c>
      <c r="J46" t="s">
        <v>2279</v>
      </c>
      <c r="K46" t="s">
        <v>2279</v>
      </c>
      <c r="L46" t="s">
        <v>1419</v>
      </c>
      <c r="M46" t="s">
        <v>2279</v>
      </c>
      <c r="N46" t="s">
        <v>2279</v>
      </c>
      <c r="O46" s="190" t="str">
        <f>"["&amp;$C46&amp;"]["&amp;$D46&amp;"]["&amp;$F46&amp;"]"</f>
        <v>[S02_CompetentAuthorityCoordination][5][CACoordinationYesNo]</v>
      </c>
    </row>
    <row r="47" spans="1:15" x14ac:dyDescent="0.3">
      <c r="A47" t="s">
        <v>2277</v>
      </c>
      <c r="B47" t="s">
        <v>1784</v>
      </c>
      <c r="C47" t="s">
        <v>1788</v>
      </c>
      <c r="D47">
        <v>6</v>
      </c>
      <c r="E47" t="s">
        <v>1447</v>
      </c>
      <c r="F47" t="s">
        <v>1789</v>
      </c>
      <c r="G47" t="s">
        <v>1759</v>
      </c>
      <c r="H47" t="s">
        <v>2279</v>
      </c>
      <c r="I47" t="s">
        <v>2279</v>
      </c>
      <c r="J47" t="s">
        <v>2279</v>
      </c>
      <c r="K47" t="s">
        <v>2279</v>
      </c>
      <c r="L47" t="s">
        <v>1419</v>
      </c>
      <c r="M47" t="s">
        <v>2279</v>
      </c>
      <c r="N47" t="s">
        <v>2279</v>
      </c>
      <c r="O47" s="190" t="str">
        <f>"["&amp;$C47&amp;"]["&amp;$D47&amp;"]["&amp;$F47&amp;"]"</f>
        <v>[S02_CompetentAuthorityCoordination][6][CACoordinationYesNo]</v>
      </c>
    </row>
    <row r="48" spans="1:15" x14ac:dyDescent="0.3">
      <c r="A48" t="s">
        <v>2277</v>
      </c>
      <c r="B48" t="s">
        <v>1784</v>
      </c>
      <c r="C48" t="s">
        <v>1788</v>
      </c>
      <c r="D48">
        <v>7</v>
      </c>
      <c r="E48" t="s">
        <v>1419</v>
      </c>
      <c r="F48" t="s">
        <v>1783</v>
      </c>
      <c r="G48" t="s">
        <v>1741</v>
      </c>
      <c r="H48" t="s">
        <v>2301</v>
      </c>
      <c r="I48" t="s">
        <v>2279</v>
      </c>
      <c r="J48" t="s">
        <v>2279</v>
      </c>
      <c r="K48" t="s">
        <v>2279</v>
      </c>
      <c r="L48" t="s">
        <v>2279</v>
      </c>
      <c r="M48" t="s">
        <v>2279</v>
      </c>
      <c r="N48" t="s">
        <v>2279</v>
      </c>
      <c r="O48" s="190" t="str">
        <f>"["&amp;$C48&amp;"]["&amp;$D48&amp;"]["&amp;$F48&amp;"]"</f>
        <v>[S02_CompetentAuthorityCoordination][7][OtherDescription]</v>
      </c>
    </row>
    <row r="49" spans="1:15" x14ac:dyDescent="0.3">
      <c r="A49" t="s">
        <v>2277</v>
      </c>
      <c r="B49" t="s">
        <v>1784</v>
      </c>
      <c r="C49" t="s">
        <v>1788</v>
      </c>
      <c r="D49">
        <v>5</v>
      </c>
      <c r="E49" t="s">
        <v>1447</v>
      </c>
      <c r="F49" t="s">
        <v>1790</v>
      </c>
      <c r="G49" t="s">
        <v>1791</v>
      </c>
      <c r="H49" t="s">
        <v>2279</v>
      </c>
      <c r="I49" t="s">
        <v>2279</v>
      </c>
      <c r="J49" t="s">
        <v>2279</v>
      </c>
      <c r="K49" t="s">
        <v>2302</v>
      </c>
      <c r="L49" t="s">
        <v>2279</v>
      </c>
      <c r="M49" t="s">
        <v>2279</v>
      </c>
      <c r="N49" t="s">
        <v>2279</v>
      </c>
      <c r="O49" s="190" t="str">
        <f>"["&amp;$C49&amp;"]["&amp;$D49&amp;"]["&amp;$F49&amp;"]"</f>
        <v>[S02_CompetentAuthorityCoordination][5][CACoordinationComment]</v>
      </c>
    </row>
    <row r="50" spans="1:15" x14ac:dyDescent="0.3">
      <c r="A50" t="s">
        <v>2277</v>
      </c>
      <c r="B50" t="s">
        <v>1784</v>
      </c>
      <c r="C50" t="s">
        <v>1788</v>
      </c>
      <c r="D50">
        <v>6</v>
      </c>
      <c r="E50" t="s">
        <v>1447</v>
      </c>
      <c r="F50" t="s">
        <v>1790</v>
      </c>
      <c r="G50" t="s">
        <v>1791</v>
      </c>
      <c r="H50" t="s">
        <v>2279</v>
      </c>
      <c r="I50" t="s">
        <v>2279</v>
      </c>
      <c r="J50" t="s">
        <v>2279</v>
      </c>
      <c r="K50" t="s">
        <v>2303</v>
      </c>
      <c r="L50" t="s">
        <v>2279</v>
      </c>
      <c r="M50" t="s">
        <v>2279</v>
      </c>
      <c r="N50" t="s">
        <v>2279</v>
      </c>
      <c r="O50" s="190" t="str">
        <f>"["&amp;$C50&amp;"]["&amp;$D50&amp;"]["&amp;$F50&amp;"]"</f>
        <v>[S02_CompetentAuthorityCoordination][6][CACoordinationComment]</v>
      </c>
    </row>
    <row r="51" spans="1:15" x14ac:dyDescent="0.3">
      <c r="A51" t="s">
        <v>2277</v>
      </c>
      <c r="B51" t="s">
        <v>1784</v>
      </c>
      <c r="C51" t="s">
        <v>1788</v>
      </c>
      <c r="D51">
        <v>7</v>
      </c>
      <c r="E51" t="s">
        <v>1419</v>
      </c>
      <c r="F51" t="s">
        <v>1790</v>
      </c>
      <c r="G51" t="s">
        <v>1791</v>
      </c>
      <c r="H51" t="s">
        <v>2279</v>
      </c>
      <c r="I51" t="s">
        <v>2279</v>
      </c>
      <c r="J51" t="s">
        <v>2279</v>
      </c>
      <c r="K51" t="s">
        <v>2304</v>
      </c>
      <c r="L51" t="s">
        <v>2279</v>
      </c>
      <c r="M51" t="s">
        <v>2279</v>
      </c>
      <c r="N51" t="s">
        <v>2279</v>
      </c>
      <c r="O51" s="190" t="str">
        <f>"["&amp;$C51&amp;"]["&amp;$D51&amp;"]["&amp;$F51&amp;"]"</f>
        <v>[S02_CompetentAuthorityCoordination][7][CACoordinationComment]</v>
      </c>
    </row>
    <row r="52" spans="1:15" x14ac:dyDescent="0.3">
      <c r="A52" t="s">
        <v>2277</v>
      </c>
      <c r="B52" t="s">
        <v>1792</v>
      </c>
      <c r="C52" t="s">
        <v>1793</v>
      </c>
      <c r="D52">
        <v>1</v>
      </c>
      <c r="E52" t="s">
        <v>1447</v>
      </c>
      <c r="F52" t="s">
        <v>1794</v>
      </c>
      <c r="G52" t="s">
        <v>1759</v>
      </c>
      <c r="H52" t="s">
        <v>2279</v>
      </c>
      <c r="I52" t="s">
        <v>2279</v>
      </c>
      <c r="J52" t="s">
        <v>2279</v>
      </c>
      <c r="K52" t="s">
        <v>2279</v>
      </c>
      <c r="L52" t="s">
        <v>1419</v>
      </c>
      <c r="M52" t="s">
        <v>2279</v>
      </c>
      <c r="N52" t="s">
        <v>2279</v>
      </c>
      <c r="O52" s="190" t="str">
        <f>"["&amp;$C52&amp;"]["&amp;$D52&amp;"]["&amp;$F52&amp;"]"</f>
        <v>[S02_InformationExchangeAccBodyAndCA][1][InfoExchangeYesNo]</v>
      </c>
    </row>
    <row r="53" spans="1:15" x14ac:dyDescent="0.3">
      <c r="A53" t="s">
        <v>2277</v>
      </c>
      <c r="B53" t="s">
        <v>1792</v>
      </c>
      <c r="C53" t="s">
        <v>1793</v>
      </c>
      <c r="D53">
        <v>2</v>
      </c>
      <c r="E53" t="s">
        <v>1447</v>
      </c>
      <c r="F53" t="s">
        <v>1794</v>
      </c>
      <c r="G53" t="s">
        <v>1759</v>
      </c>
      <c r="H53" t="s">
        <v>2279</v>
      </c>
      <c r="I53" t="s">
        <v>2279</v>
      </c>
      <c r="J53" t="s">
        <v>2279</v>
      </c>
      <c r="K53" t="s">
        <v>2279</v>
      </c>
      <c r="L53" t="s">
        <v>1419</v>
      </c>
      <c r="M53" t="s">
        <v>2279</v>
      </c>
      <c r="N53" t="s">
        <v>2279</v>
      </c>
      <c r="O53" s="190" t="str">
        <f>"["&amp;$C53&amp;"]["&amp;$D53&amp;"]["&amp;$F53&amp;"]"</f>
        <v>[S02_InformationExchangeAccBodyAndCA][2][InfoExchangeYesNo]</v>
      </c>
    </row>
    <row r="54" spans="1:15" x14ac:dyDescent="0.3">
      <c r="A54" t="s">
        <v>2277</v>
      </c>
      <c r="B54" t="s">
        <v>1792</v>
      </c>
      <c r="C54" t="s">
        <v>1793</v>
      </c>
      <c r="D54">
        <v>3</v>
      </c>
      <c r="E54" t="s">
        <v>1447</v>
      </c>
      <c r="F54" t="s">
        <v>1794</v>
      </c>
      <c r="G54" t="s">
        <v>1759</v>
      </c>
      <c r="H54" t="s">
        <v>2279</v>
      </c>
      <c r="I54" t="s">
        <v>2279</v>
      </c>
      <c r="J54" t="s">
        <v>2279</v>
      </c>
      <c r="K54" t="s">
        <v>2279</v>
      </c>
      <c r="L54" t="s">
        <v>1419</v>
      </c>
      <c r="M54" t="s">
        <v>2279</v>
      </c>
      <c r="N54" t="s">
        <v>2279</v>
      </c>
      <c r="O54" s="190" t="str">
        <f>"["&amp;$C54&amp;"]["&amp;$D54&amp;"]["&amp;$F54&amp;"]"</f>
        <v>[S02_InformationExchangeAccBodyAndCA][3][InfoExchangeYesNo]</v>
      </c>
    </row>
    <row r="55" spans="1:15" x14ac:dyDescent="0.3">
      <c r="A55" t="s">
        <v>2277</v>
      </c>
      <c r="B55" t="s">
        <v>1792</v>
      </c>
      <c r="C55" t="s">
        <v>1793</v>
      </c>
      <c r="D55">
        <v>1</v>
      </c>
      <c r="E55" t="s">
        <v>1447</v>
      </c>
      <c r="F55" t="s">
        <v>1795</v>
      </c>
      <c r="G55" t="s">
        <v>1791</v>
      </c>
      <c r="H55" t="s">
        <v>2279</v>
      </c>
      <c r="I55" t="s">
        <v>2279</v>
      </c>
      <c r="J55" t="s">
        <v>2279</v>
      </c>
      <c r="K55" t="s">
        <v>2305</v>
      </c>
      <c r="L55" t="s">
        <v>2279</v>
      </c>
      <c r="M55" t="s">
        <v>2279</v>
      </c>
      <c r="N55" t="s">
        <v>2279</v>
      </c>
      <c r="O55" s="190" t="str">
        <f>"["&amp;$C55&amp;"]["&amp;$D55&amp;"]["&amp;$F55&amp;"]"</f>
        <v>[S02_InformationExchangeAccBodyAndCA][1][InfoExchangeComment]</v>
      </c>
    </row>
    <row r="56" spans="1:15" x14ac:dyDescent="0.3">
      <c r="A56" t="s">
        <v>2277</v>
      </c>
      <c r="B56" t="s">
        <v>1792</v>
      </c>
      <c r="C56" t="s">
        <v>1793</v>
      </c>
      <c r="D56">
        <v>2</v>
      </c>
      <c r="E56" t="s">
        <v>1447</v>
      </c>
      <c r="F56" t="s">
        <v>1795</v>
      </c>
      <c r="G56" t="s">
        <v>1791</v>
      </c>
      <c r="H56" t="s">
        <v>2279</v>
      </c>
      <c r="I56" t="s">
        <v>2279</v>
      </c>
      <c r="J56" t="s">
        <v>2279</v>
      </c>
      <c r="K56" t="s">
        <v>2306</v>
      </c>
      <c r="L56" t="s">
        <v>2279</v>
      </c>
      <c r="M56" t="s">
        <v>2279</v>
      </c>
      <c r="N56" t="s">
        <v>2279</v>
      </c>
      <c r="O56" s="190" t="str">
        <f>"["&amp;$C56&amp;"]["&amp;$D56&amp;"]["&amp;$F56&amp;"]"</f>
        <v>[S02_InformationExchangeAccBodyAndCA][2][InfoExchangeComment]</v>
      </c>
    </row>
    <row r="57" spans="1:15" x14ac:dyDescent="0.3">
      <c r="A57" t="s">
        <v>2277</v>
      </c>
      <c r="B57" t="s">
        <v>1792</v>
      </c>
      <c r="C57" t="s">
        <v>1793</v>
      </c>
      <c r="D57">
        <v>3</v>
      </c>
      <c r="E57" t="s">
        <v>1447</v>
      </c>
      <c r="F57" t="s">
        <v>1795</v>
      </c>
      <c r="G57" t="s">
        <v>1791</v>
      </c>
      <c r="H57" t="s">
        <v>2279</v>
      </c>
      <c r="I57" t="s">
        <v>2279</v>
      </c>
      <c r="J57" t="s">
        <v>2279</v>
      </c>
      <c r="K57" t="s">
        <v>2307</v>
      </c>
      <c r="L57" t="s">
        <v>2279</v>
      </c>
      <c r="M57" t="s">
        <v>2279</v>
      </c>
      <c r="N57" t="s">
        <v>2279</v>
      </c>
      <c r="O57" s="190" t="str">
        <f>"["&amp;$C57&amp;"]["&amp;$D57&amp;"]["&amp;$F57&amp;"]"</f>
        <v>[S02_InformationExchangeAccBodyAndCA][3][InfoExchangeComment]</v>
      </c>
    </row>
    <row r="58" spans="1:15" x14ac:dyDescent="0.3">
      <c r="A58" t="s">
        <v>2277</v>
      </c>
      <c r="B58" t="s">
        <v>1796</v>
      </c>
      <c r="C58" t="s">
        <v>1797</v>
      </c>
      <c r="D58">
        <v>1</v>
      </c>
      <c r="E58" t="s">
        <v>1447</v>
      </c>
      <c r="F58" t="s">
        <v>1798</v>
      </c>
      <c r="G58" t="s">
        <v>1748</v>
      </c>
      <c r="H58" t="s">
        <v>2279</v>
      </c>
      <c r="I58">
        <v>5</v>
      </c>
      <c r="J58" t="s">
        <v>2279</v>
      </c>
      <c r="K58" t="s">
        <v>2279</v>
      </c>
      <c r="L58" t="s">
        <v>2279</v>
      </c>
      <c r="M58" t="s">
        <v>2279</v>
      </c>
      <c r="N58" t="s">
        <v>2279</v>
      </c>
      <c r="O58" s="190" t="str">
        <f>"["&amp;$C58&amp;"]["&amp;$D58&amp;"]["&amp;$F58&amp;"]"</f>
        <v>[S03_EmittingInstallations][1][NumberOfInstallations]</v>
      </c>
    </row>
    <row r="59" spans="1:15" x14ac:dyDescent="0.3">
      <c r="A59" t="s">
        <v>2277</v>
      </c>
      <c r="B59" t="s">
        <v>1796</v>
      </c>
      <c r="C59" t="s">
        <v>1797</v>
      </c>
      <c r="D59">
        <v>2</v>
      </c>
      <c r="E59" t="s">
        <v>1447</v>
      </c>
      <c r="F59" t="s">
        <v>1798</v>
      </c>
      <c r="G59" t="s">
        <v>1748</v>
      </c>
      <c r="H59" t="s">
        <v>2279</v>
      </c>
      <c r="I59">
        <v>2</v>
      </c>
      <c r="J59" t="s">
        <v>2279</v>
      </c>
      <c r="K59" t="s">
        <v>2279</v>
      </c>
      <c r="L59" t="s">
        <v>2279</v>
      </c>
      <c r="M59" t="s">
        <v>2279</v>
      </c>
      <c r="N59" t="s">
        <v>2279</v>
      </c>
      <c r="O59" s="190" t="str">
        <f>"["&amp;$C59&amp;"]["&amp;$D59&amp;"]["&amp;$F59&amp;"]"</f>
        <v>[S03_EmittingInstallations][2][NumberOfInstallations]</v>
      </c>
    </row>
    <row r="60" spans="1:15" x14ac:dyDescent="0.3">
      <c r="A60" t="s">
        <v>2277</v>
      </c>
      <c r="B60" t="s">
        <v>1796</v>
      </c>
      <c r="C60" t="s">
        <v>1797</v>
      </c>
      <c r="D60">
        <v>3</v>
      </c>
      <c r="E60" t="s">
        <v>1447</v>
      </c>
      <c r="F60" t="s">
        <v>1798</v>
      </c>
      <c r="G60" t="s">
        <v>1748</v>
      </c>
      <c r="H60" t="s">
        <v>2279</v>
      </c>
      <c r="I60">
        <v>0</v>
      </c>
      <c r="J60" t="s">
        <v>2279</v>
      </c>
      <c r="K60" t="s">
        <v>2279</v>
      </c>
      <c r="L60" t="s">
        <v>2279</v>
      </c>
      <c r="M60" t="s">
        <v>2279</v>
      </c>
      <c r="N60" t="s">
        <v>2279</v>
      </c>
      <c r="O60" s="190" t="str">
        <f>"["&amp;$C60&amp;"]["&amp;$D60&amp;"]["&amp;$F60&amp;"]"</f>
        <v>[S03_EmittingInstallations][3][NumberOfInstallations]</v>
      </c>
    </row>
    <row r="61" spans="1:15" x14ac:dyDescent="0.3">
      <c r="A61" t="s">
        <v>2277</v>
      </c>
      <c r="B61" t="s">
        <v>1796</v>
      </c>
      <c r="C61" t="s">
        <v>1797</v>
      </c>
      <c r="D61">
        <v>4</v>
      </c>
      <c r="E61" t="s">
        <v>1447</v>
      </c>
      <c r="F61" t="s">
        <v>1798</v>
      </c>
      <c r="G61" t="s">
        <v>1748</v>
      </c>
      <c r="H61" t="s">
        <v>2279</v>
      </c>
      <c r="I61">
        <v>3</v>
      </c>
      <c r="J61" t="s">
        <v>2279</v>
      </c>
      <c r="K61" t="s">
        <v>2279</v>
      </c>
      <c r="L61" t="s">
        <v>2279</v>
      </c>
      <c r="M61" t="s">
        <v>2279</v>
      </c>
      <c r="N61" t="s">
        <v>2279</v>
      </c>
      <c r="O61" s="190" t="str">
        <f>"["&amp;$C61&amp;"]["&amp;$D61&amp;"]["&amp;$F61&amp;"]"</f>
        <v>[S03_EmittingInstallations][4][NumberOfInstallations]</v>
      </c>
    </row>
    <row r="62" spans="1:15" x14ac:dyDescent="0.3">
      <c r="A62" t="s">
        <v>2277</v>
      </c>
      <c r="B62" t="s">
        <v>1796</v>
      </c>
      <c r="C62" t="s">
        <v>1797</v>
      </c>
      <c r="D62">
        <v>5</v>
      </c>
      <c r="E62" t="s">
        <v>1447</v>
      </c>
      <c r="F62" t="s">
        <v>1798</v>
      </c>
      <c r="G62" t="s">
        <v>1748</v>
      </c>
      <c r="H62" t="s">
        <v>2279</v>
      </c>
      <c r="I62">
        <v>2</v>
      </c>
      <c r="J62" t="s">
        <v>2279</v>
      </c>
      <c r="K62" t="s">
        <v>2279</v>
      </c>
      <c r="L62" t="s">
        <v>2279</v>
      </c>
      <c r="M62" t="s">
        <v>2279</v>
      </c>
      <c r="N62" t="s">
        <v>2279</v>
      </c>
      <c r="O62" s="190" t="str">
        <f>"["&amp;$C62&amp;"]["&amp;$D62&amp;"]["&amp;$F62&amp;"]"</f>
        <v>[S03_EmittingInstallations][5][NumberOfInstallations]</v>
      </c>
    </row>
    <row r="63" spans="1:15" x14ac:dyDescent="0.3">
      <c r="A63" t="s">
        <v>2277</v>
      </c>
      <c r="B63" t="s">
        <v>1796</v>
      </c>
      <c r="C63" t="s">
        <v>1799</v>
      </c>
      <c r="D63">
        <v>1</v>
      </c>
      <c r="E63" t="s">
        <v>1447</v>
      </c>
      <c r="F63" t="s">
        <v>1800</v>
      </c>
      <c r="G63" t="s">
        <v>1759</v>
      </c>
      <c r="H63" t="s">
        <v>2279</v>
      </c>
      <c r="I63" t="s">
        <v>2279</v>
      </c>
      <c r="J63" t="s">
        <v>2279</v>
      </c>
      <c r="K63" t="s">
        <v>2279</v>
      </c>
      <c r="L63" t="s">
        <v>1419</v>
      </c>
      <c r="M63" t="s">
        <v>2279</v>
      </c>
      <c r="N63" t="s">
        <v>2279</v>
      </c>
      <c r="O63" s="190" t="str">
        <f>"["&amp;$C63&amp;"]["&amp;$D63&amp;"]["&amp;$F63&amp;"]"</f>
        <v>[S03_ActivityPermits][1][ActivityPermitsIssued]</v>
      </c>
    </row>
    <row r="64" spans="1:15" x14ac:dyDescent="0.3">
      <c r="A64" t="s">
        <v>2277</v>
      </c>
      <c r="B64" t="s">
        <v>1796</v>
      </c>
      <c r="C64" t="s">
        <v>1799</v>
      </c>
      <c r="D64">
        <v>2</v>
      </c>
      <c r="E64" t="s">
        <v>1447</v>
      </c>
      <c r="F64" t="s">
        <v>1800</v>
      </c>
      <c r="G64" t="s">
        <v>1759</v>
      </c>
      <c r="H64" t="s">
        <v>2279</v>
      </c>
      <c r="I64" t="s">
        <v>2279</v>
      </c>
      <c r="J64" t="s">
        <v>2279</v>
      </c>
      <c r="K64" t="s">
        <v>2279</v>
      </c>
      <c r="L64" t="s">
        <v>1447</v>
      </c>
      <c r="M64" t="s">
        <v>2279</v>
      </c>
      <c r="N64" t="s">
        <v>2279</v>
      </c>
      <c r="O64" s="190" t="str">
        <f>"["&amp;$C64&amp;"]["&amp;$D64&amp;"]["&amp;$F64&amp;"]"</f>
        <v>[S03_ActivityPermits][2][ActivityPermitsIssued]</v>
      </c>
    </row>
    <row r="65" spans="1:15" x14ac:dyDescent="0.3">
      <c r="A65" t="s">
        <v>2277</v>
      </c>
      <c r="B65" t="s">
        <v>1796</v>
      </c>
      <c r="C65" t="s">
        <v>1799</v>
      </c>
      <c r="D65">
        <v>3</v>
      </c>
      <c r="E65" t="s">
        <v>1447</v>
      </c>
      <c r="F65" t="s">
        <v>1800</v>
      </c>
      <c r="G65" t="s">
        <v>1759</v>
      </c>
      <c r="H65" t="s">
        <v>2279</v>
      </c>
      <c r="I65" t="s">
        <v>2279</v>
      </c>
      <c r="J65" t="s">
        <v>2279</v>
      </c>
      <c r="K65" t="s">
        <v>2279</v>
      </c>
      <c r="L65" t="s">
        <v>1447</v>
      </c>
      <c r="M65" t="s">
        <v>2279</v>
      </c>
      <c r="N65" t="s">
        <v>2279</v>
      </c>
      <c r="O65" s="190" t="str">
        <f>"["&amp;$C65&amp;"]["&amp;$D65&amp;"]["&amp;$F65&amp;"]"</f>
        <v>[S03_ActivityPermits][3][ActivityPermitsIssued]</v>
      </c>
    </row>
    <row r="66" spans="1:15" x14ac:dyDescent="0.3">
      <c r="A66" t="s">
        <v>2277</v>
      </c>
      <c r="B66" t="s">
        <v>1796</v>
      </c>
      <c r="C66" t="s">
        <v>1799</v>
      </c>
      <c r="D66">
        <v>4</v>
      </c>
      <c r="E66" t="s">
        <v>1447</v>
      </c>
      <c r="F66" t="s">
        <v>1800</v>
      </c>
      <c r="G66" t="s">
        <v>1759</v>
      </c>
      <c r="H66" t="s">
        <v>2279</v>
      </c>
      <c r="I66" t="s">
        <v>2279</v>
      </c>
      <c r="J66" t="s">
        <v>2279</v>
      </c>
      <c r="K66" t="s">
        <v>2279</v>
      </c>
      <c r="L66" t="s">
        <v>1447</v>
      </c>
      <c r="M66" t="s">
        <v>2279</v>
      </c>
      <c r="N66" t="s">
        <v>2279</v>
      </c>
      <c r="O66" s="190" t="str">
        <f>"["&amp;$C66&amp;"]["&amp;$D66&amp;"]["&amp;$F66&amp;"]"</f>
        <v>[S03_ActivityPermits][4][ActivityPermitsIssued]</v>
      </c>
    </row>
    <row r="67" spans="1:15" x14ac:dyDescent="0.3">
      <c r="A67" t="s">
        <v>2277</v>
      </c>
      <c r="B67" t="s">
        <v>1796</v>
      </c>
      <c r="C67" t="s">
        <v>1799</v>
      </c>
      <c r="D67">
        <v>5</v>
      </c>
      <c r="E67" t="s">
        <v>1447</v>
      </c>
      <c r="F67" t="s">
        <v>1800</v>
      </c>
      <c r="G67" t="s">
        <v>1759</v>
      </c>
      <c r="H67" t="s">
        <v>2279</v>
      </c>
      <c r="I67" t="s">
        <v>2279</v>
      </c>
      <c r="J67" t="s">
        <v>2279</v>
      </c>
      <c r="K67" t="s">
        <v>2279</v>
      </c>
      <c r="L67" t="s">
        <v>1447</v>
      </c>
      <c r="M67" t="s">
        <v>2279</v>
      </c>
      <c r="N67" t="s">
        <v>2279</v>
      </c>
      <c r="O67" s="190" t="str">
        <f>"["&amp;$C67&amp;"]["&amp;$D67&amp;"]["&amp;$F67&amp;"]"</f>
        <v>[S03_ActivityPermits][5][ActivityPermitsIssued]</v>
      </c>
    </row>
    <row r="68" spans="1:15" x14ac:dyDescent="0.3">
      <c r="A68" t="s">
        <v>2277</v>
      </c>
      <c r="B68" t="s">
        <v>1796</v>
      </c>
      <c r="C68" t="s">
        <v>1799</v>
      </c>
      <c r="D68">
        <v>6</v>
      </c>
      <c r="E68" t="s">
        <v>1447</v>
      </c>
      <c r="F68" t="s">
        <v>1800</v>
      </c>
      <c r="G68" t="s">
        <v>1759</v>
      </c>
      <c r="H68" t="s">
        <v>2279</v>
      </c>
      <c r="I68" t="s">
        <v>2279</v>
      </c>
      <c r="J68" t="s">
        <v>2279</v>
      </c>
      <c r="K68" t="s">
        <v>2279</v>
      </c>
      <c r="L68" t="s">
        <v>1447</v>
      </c>
      <c r="M68" t="s">
        <v>2279</v>
      </c>
      <c r="N68" t="s">
        <v>2279</v>
      </c>
      <c r="O68" s="190" t="str">
        <f>"["&amp;$C68&amp;"]["&amp;$D68&amp;"]["&amp;$F68&amp;"]"</f>
        <v>[S03_ActivityPermits][6][ActivityPermitsIssued]</v>
      </c>
    </row>
    <row r="69" spans="1:15" x14ac:dyDescent="0.3">
      <c r="A69" t="s">
        <v>2277</v>
      </c>
      <c r="B69" t="s">
        <v>1796</v>
      </c>
      <c r="C69" t="s">
        <v>1799</v>
      </c>
      <c r="D69">
        <v>7</v>
      </c>
      <c r="E69" t="s">
        <v>1447</v>
      </c>
      <c r="F69" t="s">
        <v>1800</v>
      </c>
      <c r="G69" t="s">
        <v>1759</v>
      </c>
      <c r="H69" t="s">
        <v>2279</v>
      </c>
      <c r="I69" t="s">
        <v>2279</v>
      </c>
      <c r="J69" t="s">
        <v>2279</v>
      </c>
      <c r="K69" t="s">
        <v>2279</v>
      </c>
      <c r="L69" t="s">
        <v>1447</v>
      </c>
      <c r="M69" t="s">
        <v>2279</v>
      </c>
      <c r="N69" t="s">
        <v>2279</v>
      </c>
      <c r="O69" s="190" t="str">
        <f>"["&amp;$C69&amp;"]["&amp;$D69&amp;"]["&amp;$F69&amp;"]"</f>
        <v>[S03_ActivityPermits][7][ActivityPermitsIssued]</v>
      </c>
    </row>
    <row r="70" spans="1:15" x14ac:dyDescent="0.3">
      <c r="A70" t="s">
        <v>2277</v>
      </c>
      <c r="B70" t="s">
        <v>1796</v>
      </c>
      <c r="C70" t="s">
        <v>1799</v>
      </c>
      <c r="D70">
        <v>8</v>
      </c>
      <c r="E70" t="s">
        <v>1447</v>
      </c>
      <c r="F70" t="s">
        <v>1800</v>
      </c>
      <c r="G70" t="s">
        <v>1759</v>
      </c>
      <c r="H70" t="s">
        <v>2279</v>
      </c>
      <c r="I70" t="s">
        <v>2279</v>
      </c>
      <c r="J70" t="s">
        <v>2279</v>
      </c>
      <c r="K70" t="s">
        <v>2279</v>
      </c>
      <c r="L70" t="s">
        <v>1447</v>
      </c>
      <c r="M70" t="s">
        <v>2279</v>
      </c>
      <c r="N70" t="s">
        <v>2279</v>
      </c>
      <c r="O70" s="190" t="str">
        <f>"["&amp;$C70&amp;"]["&amp;$D70&amp;"]["&amp;$F70&amp;"]"</f>
        <v>[S03_ActivityPermits][8][ActivityPermitsIssued]</v>
      </c>
    </row>
    <row r="71" spans="1:15" x14ac:dyDescent="0.3">
      <c r="A71" t="s">
        <v>2277</v>
      </c>
      <c r="B71" t="s">
        <v>1796</v>
      </c>
      <c r="C71" t="s">
        <v>1799</v>
      </c>
      <c r="D71">
        <v>9</v>
      </c>
      <c r="E71" t="s">
        <v>1447</v>
      </c>
      <c r="F71" t="s">
        <v>1800</v>
      </c>
      <c r="G71" t="s">
        <v>1759</v>
      </c>
      <c r="H71" t="s">
        <v>2279</v>
      </c>
      <c r="I71" t="s">
        <v>2279</v>
      </c>
      <c r="J71" t="s">
        <v>2279</v>
      </c>
      <c r="K71" t="s">
        <v>2279</v>
      </c>
      <c r="L71" t="s">
        <v>1447</v>
      </c>
      <c r="M71" t="s">
        <v>2279</v>
      </c>
      <c r="N71" t="s">
        <v>2279</v>
      </c>
      <c r="O71" s="190" t="str">
        <f>"["&amp;$C71&amp;"]["&amp;$D71&amp;"]["&amp;$F71&amp;"]"</f>
        <v>[S03_ActivityPermits][9][ActivityPermitsIssued]</v>
      </c>
    </row>
    <row r="72" spans="1:15" x14ac:dyDescent="0.3">
      <c r="A72" t="s">
        <v>2277</v>
      </c>
      <c r="B72" t="s">
        <v>1796</v>
      </c>
      <c r="C72" t="s">
        <v>1799</v>
      </c>
      <c r="D72">
        <v>10</v>
      </c>
      <c r="E72" t="s">
        <v>1447</v>
      </c>
      <c r="F72" t="s">
        <v>1800</v>
      </c>
      <c r="G72" t="s">
        <v>1759</v>
      </c>
      <c r="H72" t="s">
        <v>2279</v>
      </c>
      <c r="I72" t="s">
        <v>2279</v>
      </c>
      <c r="J72" t="s">
        <v>2279</v>
      </c>
      <c r="K72" t="s">
        <v>2279</v>
      </c>
      <c r="L72" t="s">
        <v>1447</v>
      </c>
      <c r="M72" t="s">
        <v>2279</v>
      </c>
      <c r="N72" t="s">
        <v>2279</v>
      </c>
      <c r="O72" s="190" t="str">
        <f>"["&amp;$C72&amp;"]["&amp;$D72&amp;"]["&amp;$F72&amp;"]"</f>
        <v>[S03_ActivityPermits][10][ActivityPermitsIssued]</v>
      </c>
    </row>
    <row r="73" spans="1:15" x14ac:dyDescent="0.3">
      <c r="A73" t="s">
        <v>2277</v>
      </c>
      <c r="B73" t="s">
        <v>1796</v>
      </c>
      <c r="C73" t="s">
        <v>1799</v>
      </c>
      <c r="D73">
        <v>11</v>
      </c>
      <c r="E73" t="s">
        <v>1447</v>
      </c>
      <c r="F73" t="s">
        <v>1800</v>
      </c>
      <c r="G73" t="s">
        <v>1759</v>
      </c>
      <c r="H73" t="s">
        <v>2279</v>
      </c>
      <c r="I73" t="s">
        <v>2279</v>
      </c>
      <c r="J73" t="s">
        <v>2279</v>
      </c>
      <c r="K73" t="s">
        <v>2279</v>
      </c>
      <c r="L73" t="s">
        <v>1447</v>
      </c>
      <c r="M73" t="s">
        <v>2279</v>
      </c>
      <c r="N73" t="s">
        <v>2279</v>
      </c>
      <c r="O73" s="190" t="str">
        <f>"["&amp;$C73&amp;"]["&amp;$D73&amp;"]["&amp;$F73&amp;"]"</f>
        <v>[S03_ActivityPermits][11][ActivityPermitsIssued]</v>
      </c>
    </row>
    <row r="74" spans="1:15" x14ac:dyDescent="0.3">
      <c r="A74" t="s">
        <v>2277</v>
      </c>
      <c r="B74" t="s">
        <v>1796</v>
      </c>
      <c r="C74" t="s">
        <v>1799</v>
      </c>
      <c r="D74">
        <v>12</v>
      </c>
      <c r="E74" t="s">
        <v>1447</v>
      </c>
      <c r="F74" t="s">
        <v>1800</v>
      </c>
      <c r="G74" t="s">
        <v>1759</v>
      </c>
      <c r="H74" t="s">
        <v>2279</v>
      </c>
      <c r="I74" t="s">
        <v>2279</v>
      </c>
      <c r="J74" t="s">
        <v>2279</v>
      </c>
      <c r="K74" t="s">
        <v>2279</v>
      </c>
      <c r="L74" t="s">
        <v>1447</v>
      </c>
      <c r="M74" t="s">
        <v>2279</v>
      </c>
      <c r="N74" t="s">
        <v>2279</v>
      </c>
      <c r="O74" s="190" t="str">
        <f>"["&amp;$C74&amp;"]["&amp;$D74&amp;"]["&amp;$F74&amp;"]"</f>
        <v>[S03_ActivityPermits][12][ActivityPermitsIssued]</v>
      </c>
    </row>
    <row r="75" spans="1:15" x14ac:dyDescent="0.3">
      <c r="A75" t="s">
        <v>2277</v>
      </c>
      <c r="B75" t="s">
        <v>1796</v>
      </c>
      <c r="C75" t="s">
        <v>1799</v>
      </c>
      <c r="D75">
        <v>13</v>
      </c>
      <c r="E75" t="s">
        <v>1447</v>
      </c>
      <c r="F75" t="s">
        <v>1800</v>
      </c>
      <c r="G75" t="s">
        <v>1759</v>
      </c>
      <c r="H75" t="s">
        <v>2279</v>
      </c>
      <c r="I75" t="s">
        <v>2279</v>
      </c>
      <c r="J75" t="s">
        <v>2279</v>
      </c>
      <c r="K75" t="s">
        <v>2279</v>
      </c>
      <c r="L75" t="s">
        <v>1447</v>
      </c>
      <c r="M75" t="s">
        <v>2279</v>
      </c>
      <c r="N75" t="s">
        <v>2279</v>
      </c>
      <c r="O75" s="190" t="str">
        <f>"["&amp;$C75&amp;"]["&amp;$D75&amp;"]["&amp;$F75&amp;"]"</f>
        <v>[S03_ActivityPermits][13][ActivityPermitsIssued]</v>
      </c>
    </row>
    <row r="76" spans="1:15" x14ac:dyDescent="0.3">
      <c r="A76" t="s">
        <v>2277</v>
      </c>
      <c r="B76" t="s">
        <v>1796</v>
      </c>
      <c r="C76" t="s">
        <v>1799</v>
      </c>
      <c r="D76">
        <v>14</v>
      </c>
      <c r="E76" t="s">
        <v>1447</v>
      </c>
      <c r="F76" t="s">
        <v>1800</v>
      </c>
      <c r="G76" t="s">
        <v>1759</v>
      </c>
      <c r="H76" t="s">
        <v>2279</v>
      </c>
      <c r="I76" t="s">
        <v>2279</v>
      </c>
      <c r="J76" t="s">
        <v>2279</v>
      </c>
      <c r="K76" t="s">
        <v>2279</v>
      </c>
      <c r="L76" t="s">
        <v>1447</v>
      </c>
      <c r="M76" t="s">
        <v>2279</v>
      </c>
      <c r="N76" t="s">
        <v>2279</v>
      </c>
      <c r="O76" s="190" t="str">
        <f>"["&amp;$C76&amp;"]["&amp;$D76&amp;"]["&amp;$F76&amp;"]"</f>
        <v>[S03_ActivityPermits][14][ActivityPermitsIssued]</v>
      </c>
    </row>
    <row r="77" spans="1:15" x14ac:dyDescent="0.3">
      <c r="A77" t="s">
        <v>2277</v>
      </c>
      <c r="B77" t="s">
        <v>1796</v>
      </c>
      <c r="C77" t="s">
        <v>1799</v>
      </c>
      <c r="D77">
        <v>15</v>
      </c>
      <c r="E77" t="s">
        <v>1447</v>
      </c>
      <c r="F77" t="s">
        <v>1800</v>
      </c>
      <c r="G77" t="s">
        <v>1759</v>
      </c>
      <c r="H77" t="s">
        <v>2279</v>
      </c>
      <c r="I77" t="s">
        <v>2279</v>
      </c>
      <c r="J77" t="s">
        <v>2279</v>
      </c>
      <c r="K77" t="s">
        <v>2279</v>
      </c>
      <c r="L77" t="s">
        <v>1447</v>
      </c>
      <c r="M77" t="s">
        <v>2279</v>
      </c>
      <c r="N77" t="s">
        <v>2279</v>
      </c>
      <c r="O77" s="190" t="str">
        <f>"["&amp;$C77&amp;"]["&amp;$D77&amp;"]["&amp;$F77&amp;"]"</f>
        <v>[S03_ActivityPermits][15][ActivityPermitsIssued]</v>
      </c>
    </row>
    <row r="78" spans="1:15" x14ac:dyDescent="0.3">
      <c r="A78" t="s">
        <v>2277</v>
      </c>
      <c r="B78" t="s">
        <v>1796</v>
      </c>
      <c r="C78" t="s">
        <v>1799</v>
      </c>
      <c r="D78">
        <v>16</v>
      </c>
      <c r="E78" t="s">
        <v>1447</v>
      </c>
      <c r="F78" t="s">
        <v>1800</v>
      </c>
      <c r="G78" t="s">
        <v>1759</v>
      </c>
      <c r="H78" t="s">
        <v>2279</v>
      </c>
      <c r="I78" t="s">
        <v>2279</v>
      </c>
      <c r="J78" t="s">
        <v>2279</v>
      </c>
      <c r="K78" t="s">
        <v>2279</v>
      </c>
      <c r="L78" t="s">
        <v>1447</v>
      </c>
      <c r="M78" t="s">
        <v>2279</v>
      </c>
      <c r="N78" t="s">
        <v>2279</v>
      </c>
      <c r="O78" s="190" t="str">
        <f>"["&amp;$C78&amp;"]["&amp;$D78&amp;"]["&amp;$F78&amp;"]"</f>
        <v>[S03_ActivityPermits][16][ActivityPermitsIssued]</v>
      </c>
    </row>
    <row r="79" spans="1:15" x14ac:dyDescent="0.3">
      <c r="A79" t="s">
        <v>2277</v>
      </c>
      <c r="B79" t="s">
        <v>1796</v>
      </c>
      <c r="C79" t="s">
        <v>1799</v>
      </c>
      <c r="D79">
        <v>17</v>
      </c>
      <c r="E79" t="s">
        <v>1447</v>
      </c>
      <c r="F79" t="s">
        <v>1800</v>
      </c>
      <c r="G79" t="s">
        <v>1759</v>
      </c>
      <c r="H79" t="s">
        <v>2279</v>
      </c>
      <c r="I79" t="s">
        <v>2279</v>
      </c>
      <c r="J79" t="s">
        <v>2279</v>
      </c>
      <c r="K79" t="s">
        <v>2279</v>
      </c>
      <c r="L79" t="s">
        <v>1447</v>
      </c>
      <c r="M79" t="s">
        <v>2279</v>
      </c>
      <c r="N79" t="s">
        <v>2279</v>
      </c>
      <c r="O79" s="190" t="str">
        <f>"["&amp;$C79&amp;"]["&amp;$D79&amp;"]["&amp;$F79&amp;"]"</f>
        <v>[S03_ActivityPermits][17][ActivityPermitsIssued]</v>
      </c>
    </row>
    <row r="80" spans="1:15" x14ac:dyDescent="0.3">
      <c r="A80" t="s">
        <v>2277</v>
      </c>
      <c r="B80" t="s">
        <v>1796</v>
      </c>
      <c r="C80" t="s">
        <v>1799</v>
      </c>
      <c r="D80">
        <v>18</v>
      </c>
      <c r="E80" t="s">
        <v>1447</v>
      </c>
      <c r="F80" t="s">
        <v>1800</v>
      </c>
      <c r="G80" t="s">
        <v>1759</v>
      </c>
      <c r="H80" t="s">
        <v>2279</v>
      </c>
      <c r="I80" t="s">
        <v>2279</v>
      </c>
      <c r="J80" t="s">
        <v>2279</v>
      </c>
      <c r="K80" t="s">
        <v>2279</v>
      </c>
      <c r="L80" t="s">
        <v>1447</v>
      </c>
      <c r="M80" t="s">
        <v>2279</v>
      </c>
      <c r="N80" t="s">
        <v>2279</v>
      </c>
      <c r="O80" s="190" t="str">
        <f>"["&amp;$C80&amp;"]["&amp;$D80&amp;"]["&amp;$F80&amp;"]"</f>
        <v>[S03_ActivityPermits][18][ActivityPermitsIssued]</v>
      </c>
    </row>
    <row r="81" spans="1:15" x14ac:dyDescent="0.3">
      <c r="A81" t="s">
        <v>2277</v>
      </c>
      <c r="B81" t="s">
        <v>1796</v>
      </c>
      <c r="C81" t="s">
        <v>1799</v>
      </c>
      <c r="D81">
        <v>19</v>
      </c>
      <c r="E81" t="s">
        <v>1447</v>
      </c>
      <c r="F81" t="s">
        <v>1800</v>
      </c>
      <c r="G81" t="s">
        <v>1759</v>
      </c>
      <c r="H81" t="s">
        <v>2279</v>
      </c>
      <c r="I81" t="s">
        <v>2279</v>
      </c>
      <c r="J81" t="s">
        <v>2279</v>
      </c>
      <c r="K81" t="s">
        <v>2279</v>
      </c>
      <c r="L81" t="s">
        <v>1447</v>
      </c>
      <c r="M81" t="s">
        <v>2279</v>
      </c>
      <c r="N81" t="s">
        <v>2279</v>
      </c>
      <c r="O81" s="190" t="str">
        <f>"["&amp;$C81&amp;"]["&amp;$D81&amp;"]["&amp;$F81&amp;"]"</f>
        <v>[S03_ActivityPermits][19][ActivityPermitsIssued]</v>
      </c>
    </row>
    <row r="82" spans="1:15" x14ac:dyDescent="0.3">
      <c r="A82" t="s">
        <v>2277</v>
      </c>
      <c r="B82" t="s">
        <v>1796</v>
      </c>
      <c r="C82" t="s">
        <v>1799</v>
      </c>
      <c r="D82">
        <v>20</v>
      </c>
      <c r="E82" t="s">
        <v>1447</v>
      </c>
      <c r="F82" t="s">
        <v>1800</v>
      </c>
      <c r="G82" t="s">
        <v>1759</v>
      </c>
      <c r="H82" t="s">
        <v>2279</v>
      </c>
      <c r="I82" t="s">
        <v>2279</v>
      </c>
      <c r="J82" t="s">
        <v>2279</v>
      </c>
      <c r="K82" t="s">
        <v>2279</v>
      </c>
      <c r="L82" t="s">
        <v>1447</v>
      </c>
      <c r="M82" t="s">
        <v>2279</v>
      </c>
      <c r="N82" t="s">
        <v>2279</v>
      </c>
      <c r="O82" s="190" t="str">
        <f>"["&amp;$C82&amp;"]["&amp;$D82&amp;"]["&amp;$F82&amp;"]"</f>
        <v>[S03_ActivityPermits][20][ActivityPermitsIssued]</v>
      </c>
    </row>
    <row r="83" spans="1:15" x14ac:dyDescent="0.3">
      <c r="A83" t="s">
        <v>2277</v>
      </c>
      <c r="B83" t="s">
        <v>1796</v>
      </c>
      <c r="C83" t="s">
        <v>1799</v>
      </c>
      <c r="D83">
        <v>21</v>
      </c>
      <c r="E83" t="s">
        <v>1447</v>
      </c>
      <c r="F83" t="s">
        <v>1800</v>
      </c>
      <c r="G83" t="s">
        <v>1759</v>
      </c>
      <c r="H83" t="s">
        <v>2279</v>
      </c>
      <c r="I83" t="s">
        <v>2279</v>
      </c>
      <c r="J83" t="s">
        <v>2279</v>
      </c>
      <c r="K83" t="s">
        <v>2279</v>
      </c>
      <c r="L83" t="s">
        <v>1447</v>
      </c>
      <c r="M83" t="s">
        <v>2279</v>
      </c>
      <c r="N83" t="s">
        <v>2279</v>
      </c>
      <c r="O83" s="190" t="str">
        <f>"["&amp;$C83&amp;"]["&amp;$D83&amp;"]["&amp;$F83&amp;"]"</f>
        <v>[S03_ActivityPermits][21][ActivityPermitsIssued]</v>
      </c>
    </row>
    <row r="84" spans="1:15" x14ac:dyDescent="0.3">
      <c r="A84" t="s">
        <v>2277</v>
      </c>
      <c r="B84" t="s">
        <v>1796</v>
      </c>
      <c r="C84" t="s">
        <v>1799</v>
      </c>
      <c r="D84">
        <v>22</v>
      </c>
      <c r="E84" t="s">
        <v>1447</v>
      </c>
      <c r="F84" t="s">
        <v>1800</v>
      </c>
      <c r="G84" t="s">
        <v>1759</v>
      </c>
      <c r="H84" t="s">
        <v>2279</v>
      </c>
      <c r="I84" t="s">
        <v>2279</v>
      </c>
      <c r="J84" t="s">
        <v>2279</v>
      </c>
      <c r="K84" t="s">
        <v>2279</v>
      </c>
      <c r="L84" t="s">
        <v>1447</v>
      </c>
      <c r="M84" t="s">
        <v>2279</v>
      </c>
      <c r="N84" t="s">
        <v>2279</v>
      </c>
      <c r="O84" s="190" t="str">
        <f>"["&amp;$C84&amp;"]["&amp;$D84&amp;"]["&amp;$F84&amp;"]"</f>
        <v>[S03_ActivityPermits][22][ActivityPermitsIssued]</v>
      </c>
    </row>
    <row r="85" spans="1:15" x14ac:dyDescent="0.3">
      <c r="A85" t="s">
        <v>2277</v>
      </c>
      <c r="B85" t="s">
        <v>1796</v>
      </c>
      <c r="C85" t="s">
        <v>1799</v>
      </c>
      <c r="D85">
        <v>23</v>
      </c>
      <c r="E85" t="s">
        <v>1447</v>
      </c>
      <c r="F85" t="s">
        <v>1800</v>
      </c>
      <c r="G85" t="s">
        <v>1759</v>
      </c>
      <c r="H85" t="s">
        <v>2279</v>
      </c>
      <c r="I85" t="s">
        <v>2279</v>
      </c>
      <c r="J85" t="s">
        <v>2279</v>
      </c>
      <c r="K85" t="s">
        <v>2279</v>
      </c>
      <c r="L85" t="s">
        <v>1447</v>
      </c>
      <c r="M85" t="s">
        <v>2279</v>
      </c>
      <c r="N85" t="s">
        <v>2279</v>
      </c>
      <c r="O85" s="190" t="str">
        <f>"["&amp;$C85&amp;"]["&amp;$D85&amp;"]["&amp;$F85&amp;"]"</f>
        <v>[S03_ActivityPermits][23][ActivityPermitsIssued]</v>
      </c>
    </row>
    <row r="86" spans="1:15" x14ac:dyDescent="0.3">
      <c r="A86" t="s">
        <v>2277</v>
      </c>
      <c r="B86" t="s">
        <v>1796</v>
      </c>
      <c r="C86" t="s">
        <v>1799</v>
      </c>
      <c r="D86">
        <v>24</v>
      </c>
      <c r="E86" t="s">
        <v>1447</v>
      </c>
      <c r="F86" t="s">
        <v>1800</v>
      </c>
      <c r="G86" t="s">
        <v>1759</v>
      </c>
      <c r="H86" t="s">
        <v>2279</v>
      </c>
      <c r="I86" t="s">
        <v>2279</v>
      </c>
      <c r="J86" t="s">
        <v>2279</v>
      </c>
      <c r="K86" t="s">
        <v>2279</v>
      </c>
      <c r="L86" t="s">
        <v>1447</v>
      </c>
      <c r="M86" t="s">
        <v>2279</v>
      </c>
      <c r="N86" t="s">
        <v>2279</v>
      </c>
      <c r="O86" s="190" t="str">
        <f>"["&amp;$C86&amp;"]["&amp;$D86&amp;"]["&amp;$F86&amp;"]"</f>
        <v>[S03_ActivityPermits][24][ActivityPermitsIssued]</v>
      </c>
    </row>
    <row r="87" spans="1:15" x14ac:dyDescent="0.3">
      <c r="A87" t="s">
        <v>2277</v>
      </c>
      <c r="B87" t="s">
        <v>1796</v>
      </c>
      <c r="C87" t="s">
        <v>1799</v>
      </c>
      <c r="D87">
        <v>25</v>
      </c>
      <c r="E87" t="s">
        <v>1447</v>
      </c>
      <c r="F87" t="s">
        <v>1800</v>
      </c>
      <c r="G87" t="s">
        <v>1759</v>
      </c>
      <c r="H87" t="s">
        <v>2279</v>
      </c>
      <c r="I87" t="s">
        <v>2279</v>
      </c>
      <c r="J87" t="s">
        <v>2279</v>
      </c>
      <c r="K87" t="s">
        <v>2279</v>
      </c>
      <c r="L87" t="s">
        <v>1447</v>
      </c>
      <c r="M87" t="s">
        <v>2279</v>
      </c>
      <c r="N87" t="s">
        <v>2279</v>
      </c>
      <c r="O87" s="190" t="str">
        <f>"["&amp;$C87&amp;"]["&amp;$D87&amp;"]["&amp;$F87&amp;"]"</f>
        <v>[S03_ActivityPermits][25][ActivityPermitsIssued]</v>
      </c>
    </row>
    <row r="88" spans="1:15" x14ac:dyDescent="0.3">
      <c r="A88" t="s">
        <v>2277</v>
      </c>
      <c r="B88" t="s">
        <v>1796</v>
      </c>
      <c r="C88" t="s">
        <v>1799</v>
      </c>
      <c r="D88">
        <v>26</v>
      </c>
      <c r="E88" t="s">
        <v>1447</v>
      </c>
      <c r="F88" t="s">
        <v>1800</v>
      </c>
      <c r="G88" t="s">
        <v>1759</v>
      </c>
      <c r="H88" t="s">
        <v>2279</v>
      </c>
      <c r="I88" t="s">
        <v>2279</v>
      </c>
      <c r="J88" t="s">
        <v>2279</v>
      </c>
      <c r="K88" t="s">
        <v>2279</v>
      </c>
      <c r="L88" t="s">
        <v>1447</v>
      </c>
      <c r="M88" t="s">
        <v>2279</v>
      </c>
      <c r="N88" t="s">
        <v>2279</v>
      </c>
      <c r="O88" s="190" t="str">
        <f>"["&amp;$C88&amp;"]["&amp;$D88&amp;"]["&amp;$F88&amp;"]"</f>
        <v>[S03_ActivityPermits][26][ActivityPermitsIssued]</v>
      </c>
    </row>
    <row r="89" spans="1:15" x14ac:dyDescent="0.3">
      <c r="A89" t="s">
        <v>2277</v>
      </c>
      <c r="B89" t="s">
        <v>1796</v>
      </c>
      <c r="C89" t="s">
        <v>1799</v>
      </c>
      <c r="D89">
        <v>27</v>
      </c>
      <c r="E89" t="s">
        <v>1447</v>
      </c>
      <c r="F89" t="s">
        <v>1800</v>
      </c>
      <c r="G89" t="s">
        <v>1759</v>
      </c>
      <c r="H89" t="s">
        <v>2279</v>
      </c>
      <c r="I89" t="s">
        <v>2279</v>
      </c>
      <c r="J89" t="s">
        <v>2279</v>
      </c>
      <c r="K89" t="s">
        <v>2279</v>
      </c>
      <c r="L89" t="s">
        <v>1447</v>
      </c>
      <c r="M89" t="s">
        <v>2279</v>
      </c>
      <c r="N89" t="s">
        <v>2279</v>
      </c>
      <c r="O89" s="190" t="str">
        <f>"["&amp;$C89&amp;"]["&amp;$D89&amp;"]["&amp;$F89&amp;"]"</f>
        <v>[S03_ActivityPermits][27][ActivityPermitsIssued]</v>
      </c>
    </row>
    <row r="90" spans="1:15" x14ac:dyDescent="0.3">
      <c r="A90" t="s">
        <v>2277</v>
      </c>
      <c r="B90" t="s">
        <v>1796</v>
      </c>
      <c r="C90" t="s">
        <v>1799</v>
      </c>
      <c r="D90">
        <v>28</v>
      </c>
      <c r="E90" t="s">
        <v>1447</v>
      </c>
      <c r="F90" t="s">
        <v>1800</v>
      </c>
      <c r="G90" t="s">
        <v>1759</v>
      </c>
      <c r="H90" t="s">
        <v>2279</v>
      </c>
      <c r="I90" t="s">
        <v>2279</v>
      </c>
      <c r="J90" t="s">
        <v>2279</v>
      </c>
      <c r="K90" t="s">
        <v>2279</v>
      </c>
      <c r="L90" t="s">
        <v>1447</v>
      </c>
      <c r="M90" t="s">
        <v>2279</v>
      </c>
      <c r="N90" t="s">
        <v>2279</v>
      </c>
      <c r="O90" s="190" t="str">
        <f>"["&amp;$C90&amp;"]["&amp;$D90&amp;"]["&amp;$F90&amp;"]"</f>
        <v>[S03_ActivityPermits][28][ActivityPermitsIssued]</v>
      </c>
    </row>
    <row r="91" spans="1:15" x14ac:dyDescent="0.3">
      <c r="A91" t="s">
        <v>2277</v>
      </c>
      <c r="B91" t="s">
        <v>1801</v>
      </c>
      <c r="C91" t="s">
        <v>1802</v>
      </c>
      <c r="D91">
        <v>0</v>
      </c>
      <c r="E91" t="s">
        <v>1447</v>
      </c>
      <c r="F91" t="s">
        <v>1802</v>
      </c>
      <c r="G91" t="s">
        <v>1759</v>
      </c>
      <c r="H91" t="s">
        <v>2279</v>
      </c>
      <c r="I91" t="s">
        <v>2279</v>
      </c>
      <c r="J91" t="s">
        <v>2279</v>
      </c>
      <c r="K91" t="s">
        <v>2279</v>
      </c>
      <c r="L91" t="s">
        <v>1447</v>
      </c>
      <c r="M91" t="s">
        <v>2279</v>
      </c>
      <c r="N91" t="s">
        <v>2279</v>
      </c>
      <c r="O91" s="190" t="str">
        <f>"["&amp;$C91&amp;"]["&amp;$D91&amp;"]["&amp;$F91&amp;"]"</f>
        <v>[InstallationsExcludedArt27][0][InstallationsExcludedArt27]</v>
      </c>
    </row>
    <row r="92" spans="1:15" x14ac:dyDescent="0.3">
      <c r="A92" t="s">
        <v>2277</v>
      </c>
      <c r="B92" t="s">
        <v>1811</v>
      </c>
      <c r="C92" t="s">
        <v>1812</v>
      </c>
      <c r="D92">
        <v>1</v>
      </c>
      <c r="E92" t="s">
        <v>1447</v>
      </c>
      <c r="F92" t="s">
        <v>1813</v>
      </c>
      <c r="G92" t="s">
        <v>1748</v>
      </c>
      <c r="H92" t="s">
        <v>2279</v>
      </c>
      <c r="I92">
        <v>0</v>
      </c>
      <c r="J92" t="s">
        <v>2279</v>
      </c>
      <c r="K92" t="s">
        <v>2279</v>
      </c>
      <c r="L92" t="s">
        <v>2279</v>
      </c>
      <c r="M92" t="s">
        <v>2279</v>
      </c>
      <c r="N92" t="s">
        <v>2279</v>
      </c>
      <c r="O92" s="190" t="str">
        <f>"["&amp;$C92&amp;"]["&amp;$D92&amp;"]["&amp;$F92&amp;"]"</f>
        <v>[S03_AircraftAnnex1Activities][1][NumberCommercialOperators]</v>
      </c>
    </row>
    <row r="93" spans="1:15" x14ac:dyDescent="0.3">
      <c r="A93" t="s">
        <v>2277</v>
      </c>
      <c r="B93" t="s">
        <v>1811</v>
      </c>
      <c r="C93" t="s">
        <v>1812</v>
      </c>
      <c r="D93">
        <v>2</v>
      </c>
      <c r="E93" t="s">
        <v>1447</v>
      </c>
      <c r="F93" t="s">
        <v>1813</v>
      </c>
      <c r="G93" t="s">
        <v>1748</v>
      </c>
      <c r="H93" t="s">
        <v>2279</v>
      </c>
      <c r="I93">
        <v>0</v>
      </c>
      <c r="J93" t="s">
        <v>2279</v>
      </c>
      <c r="K93" t="s">
        <v>2279</v>
      </c>
      <c r="L93" t="s">
        <v>2279</v>
      </c>
      <c r="M93" t="s">
        <v>2279</v>
      </c>
      <c r="N93" t="s">
        <v>2279</v>
      </c>
      <c r="O93" s="190" t="str">
        <f>"["&amp;$C93&amp;"]["&amp;$D93&amp;"]["&amp;$F93&amp;"]"</f>
        <v>[S03_AircraftAnnex1Activities][2][NumberCommercialOperators]</v>
      </c>
    </row>
    <row r="94" spans="1:15" x14ac:dyDescent="0.3">
      <c r="A94" t="s">
        <v>2277</v>
      </c>
      <c r="B94" t="s">
        <v>1811</v>
      </c>
      <c r="C94" t="s">
        <v>1812</v>
      </c>
      <c r="D94">
        <v>3</v>
      </c>
      <c r="E94" t="s">
        <v>1447</v>
      </c>
      <c r="F94" t="s">
        <v>1813</v>
      </c>
      <c r="G94" t="s">
        <v>1748</v>
      </c>
      <c r="H94" t="s">
        <v>2279</v>
      </c>
      <c r="I94">
        <v>0</v>
      </c>
      <c r="J94" t="s">
        <v>2279</v>
      </c>
      <c r="K94" t="s">
        <v>2279</v>
      </c>
      <c r="L94" t="s">
        <v>2279</v>
      </c>
      <c r="M94" t="s">
        <v>2279</v>
      </c>
      <c r="N94" t="s">
        <v>2279</v>
      </c>
      <c r="O94" s="190" t="str">
        <f>"["&amp;$C94&amp;"]["&amp;$D94&amp;"]["&amp;$F94&amp;"]"</f>
        <v>[S03_AircraftAnnex1Activities][3][NumberCommercialOperators]</v>
      </c>
    </row>
    <row r="95" spans="1:15" x14ac:dyDescent="0.3">
      <c r="A95" t="s">
        <v>2277</v>
      </c>
      <c r="B95" t="s">
        <v>1811</v>
      </c>
      <c r="C95" t="s">
        <v>1812</v>
      </c>
      <c r="D95">
        <v>1</v>
      </c>
      <c r="E95" t="s">
        <v>1447</v>
      </c>
      <c r="F95" t="s">
        <v>1814</v>
      </c>
      <c r="G95" t="s">
        <v>1748</v>
      </c>
      <c r="H95" t="s">
        <v>2279</v>
      </c>
      <c r="I95">
        <v>0</v>
      </c>
      <c r="J95" t="s">
        <v>2279</v>
      </c>
      <c r="K95" t="s">
        <v>2279</v>
      </c>
      <c r="L95" t="s">
        <v>2279</v>
      </c>
      <c r="M95" t="s">
        <v>2279</v>
      </c>
      <c r="N95" t="s">
        <v>2279</v>
      </c>
      <c r="O95" s="190" t="str">
        <f>"["&amp;$C95&amp;"]["&amp;$D95&amp;"]["&amp;$F95&amp;"]"</f>
        <v>[S03_AircraftAnnex1Activities][1][NumberNonCommercialOperators]</v>
      </c>
    </row>
    <row r="96" spans="1:15" x14ac:dyDescent="0.3">
      <c r="A96" t="s">
        <v>2277</v>
      </c>
      <c r="B96" t="s">
        <v>1811</v>
      </c>
      <c r="C96" t="s">
        <v>1812</v>
      </c>
      <c r="D96">
        <v>2</v>
      </c>
      <c r="E96" t="s">
        <v>1447</v>
      </c>
      <c r="F96" t="s">
        <v>1814</v>
      </c>
      <c r="G96" t="s">
        <v>1748</v>
      </c>
      <c r="H96" t="s">
        <v>2279</v>
      </c>
      <c r="I96">
        <v>0</v>
      </c>
      <c r="J96" t="s">
        <v>2279</v>
      </c>
      <c r="K96" t="s">
        <v>2279</v>
      </c>
      <c r="L96" t="s">
        <v>2279</v>
      </c>
      <c r="M96" t="s">
        <v>2279</v>
      </c>
      <c r="N96" t="s">
        <v>2279</v>
      </c>
      <c r="O96" s="190" t="str">
        <f>"["&amp;$C96&amp;"]["&amp;$D96&amp;"]["&amp;$F96&amp;"]"</f>
        <v>[S03_AircraftAnnex1Activities][2][NumberNonCommercialOperators]</v>
      </c>
    </row>
    <row r="97" spans="1:15" x14ac:dyDescent="0.3">
      <c r="A97" t="s">
        <v>2277</v>
      </c>
      <c r="B97" t="s">
        <v>1811</v>
      </c>
      <c r="C97" t="s">
        <v>1812</v>
      </c>
      <c r="D97">
        <v>3</v>
      </c>
      <c r="E97" t="s">
        <v>1447</v>
      </c>
      <c r="F97" t="s">
        <v>1814</v>
      </c>
      <c r="G97" t="s">
        <v>1748</v>
      </c>
      <c r="H97" t="s">
        <v>2279</v>
      </c>
      <c r="I97">
        <v>0</v>
      </c>
      <c r="J97" t="s">
        <v>2279</v>
      </c>
      <c r="K97" t="s">
        <v>2279</v>
      </c>
      <c r="L97" t="s">
        <v>2279</v>
      </c>
      <c r="M97" t="s">
        <v>2279</v>
      </c>
      <c r="N97" t="s">
        <v>2279</v>
      </c>
      <c r="O97" s="190" t="str">
        <f>"["&amp;$C97&amp;"]["&amp;$D97&amp;"]["&amp;$F97&amp;"]"</f>
        <v>[S03_AircraftAnnex1Activities][3][NumberNonCommercialOperators]</v>
      </c>
    </row>
    <row r="98" spans="1:15" x14ac:dyDescent="0.3">
      <c r="A98" t="s">
        <v>2277</v>
      </c>
      <c r="B98" t="s">
        <v>1811</v>
      </c>
      <c r="C98" t="s">
        <v>1812</v>
      </c>
      <c r="D98">
        <v>1</v>
      </c>
      <c r="E98" t="s">
        <v>1447</v>
      </c>
      <c r="F98" t="s">
        <v>1815</v>
      </c>
      <c r="G98" t="s">
        <v>1748</v>
      </c>
      <c r="H98" t="s">
        <v>2279</v>
      </c>
      <c r="I98">
        <v>0</v>
      </c>
      <c r="J98" t="s">
        <v>2279</v>
      </c>
      <c r="K98" t="s">
        <v>2279</v>
      </c>
      <c r="L98" t="s">
        <v>2279</v>
      </c>
      <c r="M98" t="s">
        <v>2279</v>
      </c>
      <c r="N98" t="s">
        <v>2279</v>
      </c>
      <c r="O98" s="190" t="str">
        <f>"["&amp;$C98&amp;"]["&amp;$D98&amp;"]["&amp;$F98&amp;"]"</f>
        <v>[S03_AircraftAnnex1Activities][1][NumberTotalOperators]</v>
      </c>
    </row>
    <row r="99" spans="1:15" x14ac:dyDescent="0.3">
      <c r="A99" t="s">
        <v>2277</v>
      </c>
      <c r="B99" t="s">
        <v>1811</v>
      </c>
      <c r="C99" t="s">
        <v>1812</v>
      </c>
      <c r="D99">
        <v>2</v>
      </c>
      <c r="E99" t="s">
        <v>1447</v>
      </c>
      <c r="F99" t="s">
        <v>1815</v>
      </c>
      <c r="G99" t="s">
        <v>1748</v>
      </c>
      <c r="H99" t="s">
        <v>2279</v>
      </c>
      <c r="I99">
        <v>0</v>
      </c>
      <c r="J99" t="s">
        <v>2279</v>
      </c>
      <c r="K99" t="s">
        <v>2279</v>
      </c>
      <c r="L99" t="s">
        <v>2279</v>
      </c>
      <c r="M99" t="s">
        <v>2279</v>
      </c>
      <c r="N99" t="s">
        <v>2279</v>
      </c>
      <c r="O99" s="190" t="str">
        <f>"["&amp;$C99&amp;"]["&amp;$D99&amp;"]["&amp;$F99&amp;"]"</f>
        <v>[S03_AircraftAnnex1Activities][2][NumberTotalOperators]</v>
      </c>
    </row>
    <row r="100" spans="1:15" x14ac:dyDescent="0.3">
      <c r="A100" t="s">
        <v>2277</v>
      </c>
      <c r="B100" t="s">
        <v>1811</v>
      </c>
      <c r="C100" t="s">
        <v>1812</v>
      </c>
      <c r="D100">
        <v>3</v>
      </c>
      <c r="E100" t="s">
        <v>1447</v>
      </c>
      <c r="F100" t="s">
        <v>1815</v>
      </c>
      <c r="G100" t="s">
        <v>1748</v>
      </c>
      <c r="H100" t="s">
        <v>2279</v>
      </c>
      <c r="I100">
        <v>0</v>
      </c>
      <c r="J100" t="s">
        <v>2279</v>
      </c>
      <c r="K100" t="s">
        <v>2279</v>
      </c>
      <c r="L100" t="s">
        <v>2279</v>
      </c>
      <c r="M100" t="s">
        <v>2279</v>
      </c>
      <c r="N100" t="s">
        <v>2279</v>
      </c>
      <c r="O100" s="190" t="str">
        <f>"["&amp;$C100&amp;"]["&amp;$D100&amp;"]["&amp;$F100&amp;"]"</f>
        <v>[S03_AircraftAnnex1Activities][3][NumberTotalOperators]</v>
      </c>
    </row>
    <row r="101" spans="1:15" x14ac:dyDescent="0.3">
      <c r="A101" t="s">
        <v>2277</v>
      </c>
      <c r="B101" t="s">
        <v>1816</v>
      </c>
      <c r="C101" t="s">
        <v>1817</v>
      </c>
      <c r="D101">
        <v>1</v>
      </c>
      <c r="E101" t="s">
        <v>1447</v>
      </c>
      <c r="F101" t="s">
        <v>1818</v>
      </c>
      <c r="G101" t="s">
        <v>1737</v>
      </c>
      <c r="H101" t="s">
        <v>2279</v>
      </c>
      <c r="I101" t="s">
        <v>2279</v>
      </c>
      <c r="J101" t="s">
        <v>2279</v>
      </c>
      <c r="K101" t="s">
        <v>2279</v>
      </c>
      <c r="L101" t="s">
        <v>1447</v>
      </c>
      <c r="M101" t="s">
        <v>2279</v>
      </c>
      <c r="N101" t="s">
        <v>2279</v>
      </c>
      <c r="O101" s="190" t="str">
        <f>"["&amp;$C101&amp;"]["&amp;$D101&amp;"]["&amp;$F101&amp;"]"</f>
        <v>[S04_IEDProcedureRequirementsIntegratedYes][1][IntegrationYesNo]</v>
      </c>
    </row>
    <row r="102" spans="1:15" x14ac:dyDescent="0.3">
      <c r="A102" t="s">
        <v>2277</v>
      </c>
      <c r="B102" t="s">
        <v>1816</v>
      </c>
      <c r="C102" t="s">
        <v>1817</v>
      </c>
      <c r="D102">
        <v>2</v>
      </c>
      <c r="E102" t="s">
        <v>1447</v>
      </c>
      <c r="F102" t="s">
        <v>1818</v>
      </c>
      <c r="G102" t="s">
        <v>1737</v>
      </c>
      <c r="H102" t="s">
        <v>2279</v>
      </c>
      <c r="I102" t="s">
        <v>2279</v>
      </c>
      <c r="J102" t="s">
        <v>2279</v>
      </c>
      <c r="K102" t="s">
        <v>2279</v>
      </c>
      <c r="L102" t="s">
        <v>1447</v>
      </c>
      <c r="M102" t="s">
        <v>2279</v>
      </c>
      <c r="N102" t="s">
        <v>2279</v>
      </c>
      <c r="O102" s="190" t="str">
        <f>"["&amp;$C102&amp;"]["&amp;$D102&amp;"]["&amp;$F102&amp;"]"</f>
        <v>[S04_IEDProcedureRequirementsIntegratedYes][2][IntegrationYesNo]</v>
      </c>
    </row>
    <row r="103" spans="1:15" x14ac:dyDescent="0.3">
      <c r="A103" t="s">
        <v>2277</v>
      </c>
      <c r="B103" t="s">
        <v>1816</v>
      </c>
      <c r="C103" t="s">
        <v>1817</v>
      </c>
      <c r="D103">
        <v>3</v>
      </c>
      <c r="E103" t="s">
        <v>1447</v>
      </c>
      <c r="F103" t="s">
        <v>1818</v>
      </c>
      <c r="G103" t="s">
        <v>1737</v>
      </c>
      <c r="H103" t="s">
        <v>2279</v>
      </c>
      <c r="I103" t="s">
        <v>2279</v>
      </c>
      <c r="J103" t="s">
        <v>2279</v>
      </c>
      <c r="K103" t="s">
        <v>2279</v>
      </c>
      <c r="L103" t="s">
        <v>1419</v>
      </c>
      <c r="M103" t="s">
        <v>2279</v>
      </c>
      <c r="N103" t="s">
        <v>2279</v>
      </c>
      <c r="O103" s="190" t="str">
        <f>"["&amp;$C103&amp;"]["&amp;$D103&amp;"]["&amp;$F103&amp;"]"</f>
        <v>[S04_IEDProcedureRequirementsIntegratedYes][3][IntegrationYesNo]</v>
      </c>
    </row>
    <row r="104" spans="1:15" x14ac:dyDescent="0.3">
      <c r="A104" t="s">
        <v>2277</v>
      </c>
      <c r="B104" t="s">
        <v>1816</v>
      </c>
      <c r="C104" t="s">
        <v>1817</v>
      </c>
      <c r="D104">
        <v>4</v>
      </c>
      <c r="E104" t="s">
        <v>1447</v>
      </c>
      <c r="F104" t="s">
        <v>1818</v>
      </c>
      <c r="G104" t="s">
        <v>1737</v>
      </c>
      <c r="H104" t="s">
        <v>2279</v>
      </c>
      <c r="I104" t="s">
        <v>2279</v>
      </c>
      <c r="J104" t="s">
        <v>2279</v>
      </c>
      <c r="K104" t="s">
        <v>2279</v>
      </c>
      <c r="L104" t="s">
        <v>1419</v>
      </c>
      <c r="M104" t="s">
        <v>2279</v>
      </c>
      <c r="N104" t="s">
        <v>2279</v>
      </c>
      <c r="O104" s="190" t="str">
        <f>"["&amp;$C104&amp;"]["&amp;$D104&amp;"]["&amp;$F104&amp;"]"</f>
        <v>[S04_IEDProcedureRequirementsIntegratedYes][4][IntegrationYesNo]</v>
      </c>
    </row>
    <row r="105" spans="1:15" x14ac:dyDescent="0.3">
      <c r="A105" t="s">
        <v>2277</v>
      </c>
      <c r="B105" t="s">
        <v>1816</v>
      </c>
      <c r="C105" t="s">
        <v>1817</v>
      </c>
      <c r="D105">
        <v>5</v>
      </c>
      <c r="E105" t="s">
        <v>1447</v>
      </c>
      <c r="F105" t="s">
        <v>1818</v>
      </c>
      <c r="G105" t="s">
        <v>1737</v>
      </c>
      <c r="H105" t="s">
        <v>2279</v>
      </c>
      <c r="I105" t="s">
        <v>2279</v>
      </c>
      <c r="J105" t="s">
        <v>2279</v>
      </c>
      <c r="K105" t="s">
        <v>2279</v>
      </c>
      <c r="L105" t="s">
        <v>1419</v>
      </c>
      <c r="M105" t="s">
        <v>2279</v>
      </c>
      <c r="N105" t="s">
        <v>2279</v>
      </c>
      <c r="O105" s="190" t="str">
        <f>"["&amp;$C105&amp;"]["&amp;$D105&amp;"]["&amp;$F105&amp;"]"</f>
        <v>[S04_IEDProcedureRequirementsIntegratedYes][5][IntegrationYesNo]</v>
      </c>
    </row>
    <row r="106" spans="1:15" x14ac:dyDescent="0.3">
      <c r="A106" t="s">
        <v>2277</v>
      </c>
      <c r="B106" t="s">
        <v>1816</v>
      </c>
      <c r="C106" t="s">
        <v>1817</v>
      </c>
      <c r="D106">
        <v>6</v>
      </c>
      <c r="E106" t="s">
        <v>1447</v>
      </c>
      <c r="F106" t="s">
        <v>1818</v>
      </c>
      <c r="G106" t="s">
        <v>1737</v>
      </c>
      <c r="H106" t="s">
        <v>2279</v>
      </c>
      <c r="I106" t="s">
        <v>2279</v>
      </c>
      <c r="J106" t="s">
        <v>2279</v>
      </c>
      <c r="K106" t="s">
        <v>2279</v>
      </c>
      <c r="L106" t="s">
        <v>1419</v>
      </c>
      <c r="M106" t="s">
        <v>2279</v>
      </c>
      <c r="N106" t="s">
        <v>2279</v>
      </c>
      <c r="O106" s="190" t="str">
        <f>"["&amp;$C106&amp;"]["&amp;$D106&amp;"]["&amp;$F106&amp;"]"</f>
        <v>[S04_IEDProcedureRequirementsIntegratedYes][6][IntegrationYesNo]</v>
      </c>
    </row>
    <row r="107" spans="1:15" x14ac:dyDescent="0.3">
      <c r="A107" t="s">
        <v>2277</v>
      </c>
      <c r="B107" t="s">
        <v>1816</v>
      </c>
      <c r="C107" t="s">
        <v>1817</v>
      </c>
      <c r="D107">
        <v>7</v>
      </c>
      <c r="E107" t="s">
        <v>1447</v>
      </c>
      <c r="F107" t="s">
        <v>1818</v>
      </c>
      <c r="G107" t="s">
        <v>1737</v>
      </c>
      <c r="H107" t="s">
        <v>2279</v>
      </c>
      <c r="I107" t="s">
        <v>2279</v>
      </c>
      <c r="J107" t="s">
        <v>2279</v>
      </c>
      <c r="K107" t="s">
        <v>2279</v>
      </c>
      <c r="L107" t="s">
        <v>1419</v>
      </c>
      <c r="M107" t="s">
        <v>2279</v>
      </c>
      <c r="N107" t="s">
        <v>2279</v>
      </c>
      <c r="O107" s="190" t="str">
        <f>"["&amp;$C107&amp;"]["&amp;$D107&amp;"]["&amp;$F107&amp;"]"</f>
        <v>[S04_IEDProcedureRequirementsIntegratedYes][7][IntegrationYesNo]</v>
      </c>
    </row>
    <row r="108" spans="1:15" x14ac:dyDescent="0.3">
      <c r="A108" t="s">
        <v>2277</v>
      </c>
      <c r="B108" t="s">
        <v>1816</v>
      </c>
      <c r="C108" t="s">
        <v>1817</v>
      </c>
      <c r="D108">
        <v>8</v>
      </c>
      <c r="E108" t="s">
        <v>1447</v>
      </c>
      <c r="F108" t="s">
        <v>1818</v>
      </c>
      <c r="G108" t="s">
        <v>1737</v>
      </c>
      <c r="H108" t="s">
        <v>2279</v>
      </c>
      <c r="I108" t="s">
        <v>2279</v>
      </c>
      <c r="J108" t="s">
        <v>2279</v>
      </c>
      <c r="K108" t="s">
        <v>2279</v>
      </c>
      <c r="L108" t="s">
        <v>1419</v>
      </c>
      <c r="M108" t="s">
        <v>2279</v>
      </c>
      <c r="N108" t="s">
        <v>2279</v>
      </c>
      <c r="O108" s="190" t="str">
        <f>"["&amp;$C108&amp;"]["&amp;$D108&amp;"]["&amp;$F108&amp;"]"</f>
        <v>[S04_IEDProcedureRequirementsIntegratedYes][8][IntegrationYesNo]</v>
      </c>
    </row>
    <row r="109" spans="1:15" x14ac:dyDescent="0.3">
      <c r="A109" t="s">
        <v>2277</v>
      </c>
      <c r="B109" t="s">
        <v>1816</v>
      </c>
      <c r="C109" t="s">
        <v>1817</v>
      </c>
      <c r="D109">
        <v>8</v>
      </c>
      <c r="E109" t="s">
        <v>1447</v>
      </c>
      <c r="F109" t="s">
        <v>1819</v>
      </c>
      <c r="G109" t="s">
        <v>1791</v>
      </c>
      <c r="H109" t="s">
        <v>2279</v>
      </c>
      <c r="I109" t="s">
        <v>2279</v>
      </c>
      <c r="J109" t="s">
        <v>2279</v>
      </c>
      <c r="K109" t="s">
        <v>2308</v>
      </c>
      <c r="L109" t="s">
        <v>2279</v>
      </c>
      <c r="M109" t="s">
        <v>2279</v>
      </c>
      <c r="N109" t="s">
        <v>2279</v>
      </c>
      <c r="O109" s="190" t="str">
        <f>"["&amp;$C109&amp;"]["&amp;$D109&amp;"]["&amp;$F109&amp;"]"</f>
        <v>[S04_IEDProcedureRequirementsIntegratedYes][8][IntegrationComments]</v>
      </c>
    </row>
    <row r="110" spans="1:15" x14ac:dyDescent="0.3">
      <c r="A110" t="s">
        <v>2277</v>
      </c>
      <c r="B110" t="s">
        <v>1820</v>
      </c>
      <c r="C110" t="s">
        <v>1821</v>
      </c>
      <c r="D110">
        <v>1</v>
      </c>
      <c r="E110" t="s">
        <v>1447</v>
      </c>
      <c r="F110" t="s">
        <v>1822</v>
      </c>
      <c r="G110" t="s">
        <v>1741</v>
      </c>
      <c r="H110" t="s">
        <v>2309</v>
      </c>
      <c r="I110" t="s">
        <v>2279</v>
      </c>
      <c r="J110" t="s">
        <v>2279</v>
      </c>
      <c r="K110" t="s">
        <v>2279</v>
      </c>
      <c r="L110" t="s">
        <v>2279</v>
      </c>
      <c r="M110" t="s">
        <v>2279</v>
      </c>
      <c r="N110" t="s">
        <v>2279</v>
      </c>
      <c r="O110" s="190" t="str">
        <f>"["&amp;$C110&amp;"]["&amp;$D110&amp;"]["&amp;$F110&amp;"]"</f>
        <v>[S04_NationalLawPermitUpdate][1][PermitUpdateNationalLawDetail]</v>
      </c>
    </row>
    <row r="111" spans="1:15" x14ac:dyDescent="0.3">
      <c r="A111" t="s">
        <v>2277</v>
      </c>
      <c r="B111" t="s">
        <v>1820</v>
      </c>
      <c r="C111" t="s">
        <v>1821</v>
      </c>
      <c r="D111">
        <v>2</v>
      </c>
      <c r="E111" t="s">
        <v>1447</v>
      </c>
      <c r="F111" t="s">
        <v>1822</v>
      </c>
      <c r="G111" t="s">
        <v>1741</v>
      </c>
      <c r="H111" t="s">
        <v>2310</v>
      </c>
      <c r="I111" t="s">
        <v>2279</v>
      </c>
      <c r="J111" t="s">
        <v>2279</v>
      </c>
      <c r="K111" t="s">
        <v>2279</v>
      </c>
      <c r="L111" t="s">
        <v>2279</v>
      </c>
      <c r="M111" t="s">
        <v>2279</v>
      </c>
      <c r="N111" t="s">
        <v>2279</v>
      </c>
      <c r="O111" s="190" t="str">
        <f>"["&amp;$C111&amp;"]["&amp;$D111&amp;"]["&amp;$F111&amp;"]"</f>
        <v>[S04_NationalLawPermitUpdate][2][PermitUpdateNationalLawDetail]</v>
      </c>
    </row>
    <row r="112" spans="1:15" x14ac:dyDescent="0.3">
      <c r="A112" t="s">
        <v>2277</v>
      </c>
      <c r="B112" t="s">
        <v>1820</v>
      </c>
      <c r="C112" t="s">
        <v>1821</v>
      </c>
      <c r="D112">
        <v>3</v>
      </c>
      <c r="E112" t="s">
        <v>1447</v>
      </c>
      <c r="F112" t="s">
        <v>1822</v>
      </c>
      <c r="G112" t="s">
        <v>1741</v>
      </c>
      <c r="H112" t="s">
        <v>2311</v>
      </c>
      <c r="I112" t="s">
        <v>2279</v>
      </c>
      <c r="J112" t="s">
        <v>2279</v>
      </c>
      <c r="K112" t="s">
        <v>2279</v>
      </c>
      <c r="L112" t="s">
        <v>2279</v>
      </c>
      <c r="M112" t="s">
        <v>2279</v>
      </c>
      <c r="N112" t="s">
        <v>2279</v>
      </c>
      <c r="O112" s="190" t="str">
        <f>"["&amp;$C112&amp;"]["&amp;$D112&amp;"]["&amp;$F112&amp;"]"</f>
        <v>[S04_NationalLawPermitUpdate][3][PermitUpdateNationalLawDetail]</v>
      </c>
    </row>
    <row r="113" spans="1:15" x14ac:dyDescent="0.3">
      <c r="A113" t="s">
        <v>2277</v>
      </c>
      <c r="B113" t="s">
        <v>1820</v>
      </c>
      <c r="C113" t="s">
        <v>1821</v>
      </c>
      <c r="D113">
        <v>4</v>
      </c>
      <c r="E113" t="s">
        <v>1447</v>
      </c>
      <c r="F113" t="s">
        <v>1822</v>
      </c>
      <c r="G113" t="s">
        <v>1741</v>
      </c>
      <c r="H113" t="s">
        <v>2312</v>
      </c>
      <c r="I113" t="s">
        <v>2279</v>
      </c>
      <c r="J113" t="s">
        <v>2279</v>
      </c>
      <c r="K113" t="s">
        <v>2279</v>
      </c>
      <c r="L113" t="s">
        <v>2279</v>
      </c>
      <c r="M113" t="s">
        <v>2279</v>
      </c>
      <c r="N113" t="s">
        <v>2279</v>
      </c>
      <c r="O113" s="190" t="str">
        <f>"["&amp;$C113&amp;"]["&amp;$D113&amp;"]["&amp;$F113&amp;"]"</f>
        <v>[S04_NationalLawPermitUpdate][4][PermitUpdateNationalLawDetail]</v>
      </c>
    </row>
    <row r="114" spans="1:15" x14ac:dyDescent="0.3">
      <c r="A114" t="s">
        <v>2277</v>
      </c>
      <c r="B114" t="s">
        <v>1820</v>
      </c>
      <c r="C114" t="s">
        <v>1821</v>
      </c>
      <c r="D114">
        <v>5</v>
      </c>
      <c r="E114" t="s">
        <v>1447</v>
      </c>
      <c r="F114" t="s">
        <v>1822</v>
      </c>
      <c r="G114" t="s">
        <v>1741</v>
      </c>
      <c r="H114" t="s">
        <v>2313</v>
      </c>
      <c r="I114" t="s">
        <v>2279</v>
      </c>
      <c r="J114" t="s">
        <v>2279</v>
      </c>
      <c r="K114" t="s">
        <v>2279</v>
      </c>
      <c r="L114" t="s">
        <v>2279</v>
      </c>
      <c r="M114" t="s">
        <v>2279</v>
      </c>
      <c r="N114" t="s">
        <v>2279</v>
      </c>
      <c r="O114" s="190" t="str">
        <f>"["&amp;$C114&amp;"]["&amp;$D114&amp;"]["&amp;$F114&amp;"]"</f>
        <v>[S04_NationalLawPermitUpdate][5][PermitUpdateNationalLawDetail]</v>
      </c>
    </row>
    <row r="115" spans="1:15" x14ac:dyDescent="0.3">
      <c r="A115" t="s">
        <v>2277</v>
      </c>
      <c r="B115" t="s">
        <v>1820</v>
      </c>
      <c r="C115" t="s">
        <v>1821</v>
      </c>
      <c r="D115">
        <v>7</v>
      </c>
      <c r="E115" t="s">
        <v>1447</v>
      </c>
      <c r="F115" t="s">
        <v>1822</v>
      </c>
      <c r="G115" t="s">
        <v>1741</v>
      </c>
      <c r="H115" t="s">
        <v>2314</v>
      </c>
      <c r="I115" t="s">
        <v>2279</v>
      </c>
      <c r="J115" t="s">
        <v>2279</v>
      </c>
      <c r="K115" t="s">
        <v>2279</v>
      </c>
      <c r="L115" t="s">
        <v>2279</v>
      </c>
      <c r="M115" t="s">
        <v>2279</v>
      </c>
      <c r="N115" t="s">
        <v>2279</v>
      </c>
      <c r="O115" s="190" t="str">
        <f>"["&amp;$C115&amp;"]["&amp;$D115&amp;"]["&amp;$F115&amp;"]"</f>
        <v>[S04_NationalLawPermitUpdate][7][PermitUpdateNationalLawDetail]</v>
      </c>
    </row>
    <row r="116" spans="1:15" x14ac:dyDescent="0.3">
      <c r="A116" t="s">
        <v>2277</v>
      </c>
      <c r="B116" t="s">
        <v>1820</v>
      </c>
      <c r="C116" t="s">
        <v>1821</v>
      </c>
      <c r="D116">
        <v>8</v>
      </c>
      <c r="E116" t="s">
        <v>1447</v>
      </c>
      <c r="F116" t="s">
        <v>1822</v>
      </c>
      <c r="G116" t="s">
        <v>1741</v>
      </c>
      <c r="H116" t="s">
        <v>2315</v>
      </c>
      <c r="I116" t="s">
        <v>2279</v>
      </c>
      <c r="J116" t="s">
        <v>2279</v>
      </c>
      <c r="K116" t="s">
        <v>2279</v>
      </c>
      <c r="L116" t="s">
        <v>2279</v>
      </c>
      <c r="M116" t="s">
        <v>2279</v>
      </c>
      <c r="N116" t="s">
        <v>2279</v>
      </c>
      <c r="O116" s="190" t="str">
        <f>"["&amp;$C116&amp;"]["&amp;$D116&amp;"]["&amp;$F116&amp;"]"</f>
        <v>[S04_NationalLawPermitUpdate][8][PermitUpdateNationalLawDetail]</v>
      </c>
    </row>
    <row r="117" spans="1:15" x14ac:dyDescent="0.3">
      <c r="A117" t="s">
        <v>2277</v>
      </c>
      <c r="B117" t="s">
        <v>1820</v>
      </c>
      <c r="C117" t="s">
        <v>1823</v>
      </c>
      <c r="D117">
        <v>0</v>
      </c>
      <c r="E117" t="s">
        <v>1447</v>
      </c>
      <c r="F117" t="s">
        <v>1823</v>
      </c>
      <c r="G117" t="s">
        <v>1748</v>
      </c>
      <c r="H117" t="s">
        <v>2279</v>
      </c>
      <c r="I117">
        <v>0</v>
      </c>
      <c r="J117" t="s">
        <v>2279</v>
      </c>
      <c r="K117" t="s">
        <v>2279</v>
      </c>
      <c r="L117" t="s">
        <v>2279</v>
      </c>
      <c r="M117" t="s">
        <v>2279</v>
      </c>
      <c r="N117" t="s">
        <v>2279</v>
      </c>
      <c r="O117" s="190" t="str">
        <f>"["&amp;$C117&amp;"]["&amp;$D117&amp;"]["&amp;$F117&amp;"]"</f>
        <v>[PermitUpdateTotalNumber][0][PermitUpdateTotalNumber]</v>
      </c>
    </row>
    <row r="118" spans="1:15" x14ac:dyDescent="0.3">
      <c r="A118" t="s">
        <v>2277</v>
      </c>
      <c r="B118" t="s">
        <v>1824</v>
      </c>
      <c r="C118" t="s">
        <v>1825</v>
      </c>
      <c r="D118">
        <v>0</v>
      </c>
      <c r="E118" t="s">
        <v>1447</v>
      </c>
      <c r="F118" t="s">
        <v>1825</v>
      </c>
      <c r="G118" t="s">
        <v>1759</v>
      </c>
      <c r="H118" t="s">
        <v>2279</v>
      </c>
      <c r="I118" t="s">
        <v>2279</v>
      </c>
      <c r="J118" t="s">
        <v>2279</v>
      </c>
      <c r="K118" t="s">
        <v>2279</v>
      </c>
      <c r="L118" t="s">
        <v>1447</v>
      </c>
      <c r="M118" t="s">
        <v>2279</v>
      </c>
      <c r="N118" t="s">
        <v>2279</v>
      </c>
      <c r="O118" s="190" t="str">
        <f>"["&amp;$C118&amp;"]["&amp;$D118&amp;"]["&amp;$F118&amp;"]"</f>
        <v>[AdditionalNationalLegislation][0][AdditionalNationalLegislation]</v>
      </c>
    </row>
    <row r="119" spans="1:15" x14ac:dyDescent="0.3">
      <c r="A119" t="s">
        <v>2277</v>
      </c>
      <c r="B119" t="s">
        <v>1824</v>
      </c>
      <c r="C119" t="s">
        <v>1827</v>
      </c>
      <c r="D119">
        <v>0</v>
      </c>
      <c r="E119" t="s">
        <v>1447</v>
      </c>
      <c r="F119" t="s">
        <v>1827</v>
      </c>
      <c r="G119" t="s">
        <v>1759</v>
      </c>
      <c r="H119" t="s">
        <v>2279</v>
      </c>
      <c r="I119" t="s">
        <v>2279</v>
      </c>
      <c r="J119" t="s">
        <v>2279</v>
      </c>
      <c r="K119" t="s">
        <v>2279</v>
      </c>
      <c r="L119" t="s">
        <v>1447</v>
      </c>
      <c r="M119" t="s">
        <v>2279</v>
      </c>
      <c r="N119" t="s">
        <v>2279</v>
      </c>
      <c r="O119" s="190" t="str">
        <f>"["&amp;$C119&amp;"]["&amp;$D119&amp;"]["&amp;$F119&amp;"]"</f>
        <v>[AdditionalNationalGuidance][0][AdditionalNationalGuidance]</v>
      </c>
    </row>
    <row r="120" spans="1:15" x14ac:dyDescent="0.3">
      <c r="A120" t="s">
        <v>2277</v>
      </c>
      <c r="B120" t="s">
        <v>1829</v>
      </c>
      <c r="C120" t="s">
        <v>1830</v>
      </c>
      <c r="D120">
        <v>1</v>
      </c>
      <c r="E120" t="s">
        <v>1447</v>
      </c>
      <c r="F120" t="s">
        <v>1831</v>
      </c>
      <c r="G120" t="s">
        <v>1759</v>
      </c>
      <c r="H120" t="s">
        <v>2279</v>
      </c>
      <c r="I120" t="s">
        <v>2279</v>
      </c>
      <c r="J120" t="s">
        <v>2279</v>
      </c>
      <c r="K120" t="s">
        <v>2279</v>
      </c>
      <c r="L120" t="s">
        <v>1419</v>
      </c>
      <c r="M120" t="s">
        <v>2279</v>
      </c>
      <c r="N120" t="s">
        <v>2279</v>
      </c>
      <c r="O120" s="190" t="str">
        <f>"["&amp;$C120&amp;"]["&amp;$D120&amp;"]["&amp;$F120&amp;"]"</f>
        <v>[MeasuresStreamline][1][MeasuresStreamlineYesNo]</v>
      </c>
    </row>
    <row r="121" spans="1:15" x14ac:dyDescent="0.3">
      <c r="A121" t="s">
        <v>2277</v>
      </c>
      <c r="B121" t="s">
        <v>1829</v>
      </c>
      <c r="C121" t="s">
        <v>1830</v>
      </c>
      <c r="D121">
        <v>2</v>
      </c>
      <c r="E121" t="s">
        <v>1447</v>
      </c>
      <c r="F121" t="s">
        <v>1831</v>
      </c>
      <c r="G121" t="s">
        <v>1759</v>
      </c>
      <c r="H121" t="s">
        <v>2279</v>
      </c>
      <c r="I121" t="s">
        <v>2279</v>
      </c>
      <c r="J121" t="s">
        <v>2279</v>
      </c>
      <c r="K121" t="s">
        <v>2279</v>
      </c>
      <c r="L121" t="s">
        <v>1419</v>
      </c>
      <c r="M121" t="s">
        <v>2279</v>
      </c>
      <c r="N121" t="s">
        <v>2279</v>
      </c>
      <c r="O121" s="190" t="str">
        <f>"["&amp;$C121&amp;"]["&amp;$D121&amp;"]["&amp;$F121&amp;"]"</f>
        <v>[MeasuresStreamline][2][MeasuresStreamlineYesNo]</v>
      </c>
    </row>
    <row r="122" spans="1:15" x14ac:dyDescent="0.3">
      <c r="A122" t="s">
        <v>2277</v>
      </c>
      <c r="B122" t="s">
        <v>1829</v>
      </c>
      <c r="C122" t="s">
        <v>1830</v>
      </c>
      <c r="D122">
        <v>3</v>
      </c>
      <c r="E122" t="s">
        <v>1447</v>
      </c>
      <c r="F122" t="s">
        <v>1831</v>
      </c>
      <c r="G122" t="s">
        <v>1759</v>
      </c>
      <c r="H122" t="s">
        <v>2279</v>
      </c>
      <c r="I122" t="s">
        <v>2279</v>
      </c>
      <c r="J122" t="s">
        <v>2279</v>
      </c>
      <c r="K122" t="s">
        <v>2279</v>
      </c>
      <c r="L122" t="s">
        <v>1419</v>
      </c>
      <c r="M122" t="s">
        <v>2279</v>
      </c>
      <c r="N122" t="s">
        <v>2279</v>
      </c>
      <c r="O122" s="190" t="str">
        <f>"["&amp;$C122&amp;"]["&amp;$D122&amp;"]["&amp;$F122&amp;"]"</f>
        <v>[MeasuresStreamline][3][MeasuresStreamlineYesNo]</v>
      </c>
    </row>
    <row r="123" spans="1:15" x14ac:dyDescent="0.3">
      <c r="A123" t="s">
        <v>2277</v>
      </c>
      <c r="B123" t="s">
        <v>1829</v>
      </c>
      <c r="C123" t="s">
        <v>1830</v>
      </c>
      <c r="D123">
        <v>4</v>
      </c>
      <c r="E123" t="s">
        <v>1447</v>
      </c>
      <c r="F123" t="s">
        <v>1831</v>
      </c>
      <c r="G123" t="s">
        <v>1759</v>
      </c>
      <c r="H123" t="s">
        <v>2279</v>
      </c>
      <c r="I123" t="s">
        <v>2279</v>
      </c>
      <c r="J123" t="s">
        <v>2279</v>
      </c>
      <c r="K123" t="s">
        <v>2279</v>
      </c>
      <c r="L123" t="s">
        <v>1419</v>
      </c>
      <c r="M123" t="s">
        <v>2279</v>
      </c>
      <c r="N123" t="s">
        <v>2279</v>
      </c>
      <c r="O123" s="190" t="str">
        <f>"["&amp;$C123&amp;"]["&amp;$D123&amp;"]["&amp;$F123&amp;"]"</f>
        <v>[MeasuresStreamline][4][MeasuresStreamlineYesNo]</v>
      </c>
    </row>
    <row r="124" spans="1:15" x14ac:dyDescent="0.3">
      <c r="A124" t="s">
        <v>2277</v>
      </c>
      <c r="B124" t="s">
        <v>1829</v>
      </c>
      <c r="C124" t="s">
        <v>1830</v>
      </c>
      <c r="D124">
        <v>5</v>
      </c>
      <c r="E124" t="s">
        <v>1447</v>
      </c>
      <c r="F124" t="s">
        <v>1831</v>
      </c>
      <c r="G124" t="s">
        <v>1759</v>
      </c>
      <c r="H124" t="s">
        <v>2279</v>
      </c>
      <c r="I124" t="s">
        <v>2279</v>
      </c>
      <c r="J124" t="s">
        <v>2279</v>
      </c>
      <c r="K124" t="s">
        <v>2279</v>
      </c>
      <c r="L124" t="s">
        <v>1419</v>
      </c>
      <c r="M124" t="s">
        <v>2279</v>
      </c>
      <c r="N124" t="s">
        <v>2279</v>
      </c>
      <c r="O124" s="190" t="str">
        <f>"["&amp;$C124&amp;"]["&amp;$D124&amp;"]["&amp;$F124&amp;"]"</f>
        <v>[MeasuresStreamline][5][MeasuresStreamlineYesNo]</v>
      </c>
    </row>
    <row r="125" spans="1:15" x14ac:dyDescent="0.3">
      <c r="A125" t="s">
        <v>2277</v>
      </c>
      <c r="B125" t="s">
        <v>1829</v>
      </c>
      <c r="C125" t="s">
        <v>1830</v>
      </c>
      <c r="D125">
        <v>6</v>
      </c>
      <c r="E125" t="s">
        <v>1447</v>
      </c>
      <c r="F125" t="s">
        <v>1831</v>
      </c>
      <c r="G125" t="s">
        <v>1759</v>
      </c>
      <c r="H125" t="s">
        <v>2279</v>
      </c>
      <c r="I125" t="s">
        <v>2279</v>
      </c>
      <c r="J125" t="s">
        <v>2279</v>
      </c>
      <c r="K125" t="s">
        <v>2279</v>
      </c>
      <c r="L125" t="s">
        <v>1419</v>
      </c>
      <c r="M125" t="s">
        <v>2279</v>
      </c>
      <c r="N125" t="s">
        <v>2279</v>
      </c>
      <c r="O125" s="190" t="str">
        <f>"["&amp;$C125&amp;"]["&amp;$D125&amp;"]["&amp;$F125&amp;"]"</f>
        <v>[MeasuresStreamline][6][MeasuresStreamlineYesNo]</v>
      </c>
    </row>
    <row r="126" spans="1:15" x14ac:dyDescent="0.3">
      <c r="A126" t="s">
        <v>2277</v>
      </c>
      <c r="B126" t="s">
        <v>1829</v>
      </c>
      <c r="C126" t="s">
        <v>1830</v>
      </c>
      <c r="D126">
        <v>7</v>
      </c>
      <c r="E126" t="s">
        <v>1447</v>
      </c>
      <c r="F126" t="s">
        <v>1831</v>
      </c>
      <c r="G126" t="s">
        <v>1759</v>
      </c>
      <c r="H126" t="s">
        <v>2279</v>
      </c>
      <c r="I126" t="s">
        <v>2279</v>
      </c>
      <c r="J126" t="s">
        <v>2279</v>
      </c>
      <c r="K126" t="s">
        <v>2279</v>
      </c>
      <c r="L126" t="s">
        <v>1447</v>
      </c>
      <c r="M126" t="s">
        <v>2279</v>
      </c>
      <c r="N126" t="s">
        <v>2279</v>
      </c>
      <c r="O126" s="190" t="str">
        <f>"["&amp;$C126&amp;"]["&amp;$D126&amp;"]["&amp;$F126&amp;"]"</f>
        <v>[MeasuresStreamline][7][MeasuresStreamlineYesNo]</v>
      </c>
    </row>
    <row r="127" spans="1:15" x14ac:dyDescent="0.3">
      <c r="A127" t="s">
        <v>2277</v>
      </c>
      <c r="B127" t="s">
        <v>1829</v>
      </c>
      <c r="C127" t="s">
        <v>1830</v>
      </c>
      <c r="D127">
        <v>1</v>
      </c>
      <c r="E127" t="s">
        <v>1447</v>
      </c>
      <c r="F127" t="s">
        <v>1832</v>
      </c>
      <c r="G127" t="s">
        <v>1791</v>
      </c>
      <c r="H127" t="s">
        <v>2279</v>
      </c>
      <c r="I127" t="s">
        <v>2279</v>
      </c>
      <c r="J127" t="s">
        <v>2279</v>
      </c>
      <c r="K127" t="s">
        <v>2316</v>
      </c>
      <c r="L127" t="s">
        <v>2279</v>
      </c>
      <c r="M127" t="s">
        <v>2279</v>
      </c>
      <c r="N127" t="s">
        <v>2279</v>
      </c>
      <c r="O127" s="190" t="str">
        <f>"["&amp;$C127&amp;"]["&amp;$D127&amp;"]["&amp;$F127&amp;"]"</f>
        <v>[MeasuresStreamline][1][MeasuresStreamlineComments]</v>
      </c>
    </row>
    <row r="128" spans="1:15" x14ac:dyDescent="0.3">
      <c r="A128" t="s">
        <v>2277</v>
      </c>
      <c r="B128" t="s">
        <v>1829</v>
      </c>
      <c r="C128" t="s">
        <v>1830</v>
      </c>
      <c r="D128">
        <v>2</v>
      </c>
      <c r="E128" t="s">
        <v>1447</v>
      </c>
      <c r="F128" t="s">
        <v>1832</v>
      </c>
      <c r="G128" t="s">
        <v>1791</v>
      </c>
      <c r="H128" t="s">
        <v>2279</v>
      </c>
      <c r="I128" t="s">
        <v>2279</v>
      </c>
      <c r="J128" t="s">
        <v>2279</v>
      </c>
      <c r="K128" t="s">
        <v>2316</v>
      </c>
      <c r="L128" t="s">
        <v>2279</v>
      </c>
      <c r="M128" t="s">
        <v>2279</v>
      </c>
      <c r="N128" t="s">
        <v>2279</v>
      </c>
      <c r="O128" s="190" t="str">
        <f>"["&amp;$C128&amp;"]["&amp;$D128&amp;"]["&amp;$F128&amp;"]"</f>
        <v>[MeasuresStreamline][2][MeasuresStreamlineComments]</v>
      </c>
    </row>
    <row r="129" spans="1:15" x14ac:dyDescent="0.3">
      <c r="A129" t="s">
        <v>2277</v>
      </c>
      <c r="B129" t="s">
        <v>1829</v>
      </c>
      <c r="C129" t="s">
        <v>1830</v>
      </c>
      <c r="D129">
        <v>3</v>
      </c>
      <c r="E129" t="s">
        <v>1447</v>
      </c>
      <c r="F129" t="s">
        <v>1832</v>
      </c>
      <c r="G129" t="s">
        <v>1791</v>
      </c>
      <c r="H129" t="s">
        <v>2279</v>
      </c>
      <c r="I129" t="s">
        <v>2279</v>
      </c>
      <c r="J129" t="s">
        <v>2279</v>
      </c>
      <c r="K129" t="s">
        <v>2316</v>
      </c>
      <c r="L129" t="s">
        <v>2279</v>
      </c>
      <c r="M129" t="s">
        <v>2279</v>
      </c>
      <c r="N129" t="s">
        <v>2279</v>
      </c>
      <c r="O129" s="190" t="str">
        <f>"["&amp;$C129&amp;"]["&amp;$D129&amp;"]["&amp;$F129&amp;"]"</f>
        <v>[MeasuresStreamline][3][MeasuresStreamlineComments]</v>
      </c>
    </row>
    <row r="130" spans="1:15" x14ac:dyDescent="0.3">
      <c r="A130" t="s">
        <v>2277</v>
      </c>
      <c r="B130" t="s">
        <v>1829</v>
      </c>
      <c r="C130" t="s">
        <v>1830</v>
      </c>
      <c r="D130">
        <v>4</v>
      </c>
      <c r="E130" t="s">
        <v>1447</v>
      </c>
      <c r="F130" t="s">
        <v>1832</v>
      </c>
      <c r="G130" t="s">
        <v>1791</v>
      </c>
      <c r="H130" t="s">
        <v>2279</v>
      </c>
      <c r="I130" t="s">
        <v>2279</v>
      </c>
      <c r="J130" t="s">
        <v>2279</v>
      </c>
      <c r="K130" t="s">
        <v>2316</v>
      </c>
      <c r="L130" t="s">
        <v>2279</v>
      </c>
      <c r="M130" t="s">
        <v>2279</v>
      </c>
      <c r="N130" t="s">
        <v>2279</v>
      </c>
      <c r="O130" s="190" t="str">
        <f>"["&amp;$C130&amp;"]["&amp;$D130&amp;"]["&amp;$F130&amp;"]"</f>
        <v>[MeasuresStreamline][4][MeasuresStreamlineComments]</v>
      </c>
    </row>
    <row r="131" spans="1:15" x14ac:dyDescent="0.3">
      <c r="A131" t="s">
        <v>2277</v>
      </c>
      <c r="B131" t="s">
        <v>1829</v>
      </c>
      <c r="C131" t="s">
        <v>1830</v>
      </c>
      <c r="D131">
        <v>5</v>
      </c>
      <c r="E131" t="s">
        <v>1447</v>
      </c>
      <c r="F131" t="s">
        <v>1832</v>
      </c>
      <c r="G131" t="s">
        <v>1791</v>
      </c>
      <c r="H131" t="s">
        <v>2279</v>
      </c>
      <c r="I131" t="s">
        <v>2279</v>
      </c>
      <c r="J131" t="s">
        <v>2279</v>
      </c>
      <c r="K131" t="s">
        <v>2316</v>
      </c>
      <c r="L131" t="s">
        <v>2279</v>
      </c>
      <c r="M131" t="s">
        <v>2279</v>
      </c>
      <c r="N131" t="s">
        <v>2279</v>
      </c>
      <c r="O131" s="190" t="str">
        <f>"["&amp;$C131&amp;"]["&amp;$D131&amp;"]["&amp;$F131&amp;"]"</f>
        <v>[MeasuresStreamline][5][MeasuresStreamlineComments]</v>
      </c>
    </row>
    <row r="132" spans="1:15" x14ac:dyDescent="0.3">
      <c r="A132" t="s">
        <v>2277</v>
      </c>
      <c r="B132" t="s">
        <v>1829</v>
      </c>
      <c r="C132" t="s">
        <v>1830</v>
      </c>
      <c r="D132">
        <v>6</v>
      </c>
      <c r="E132" t="s">
        <v>1447</v>
      </c>
      <c r="F132" t="s">
        <v>1832</v>
      </c>
      <c r="G132" t="s">
        <v>1791</v>
      </c>
      <c r="H132" t="s">
        <v>2279</v>
      </c>
      <c r="I132" t="s">
        <v>2279</v>
      </c>
      <c r="J132" t="s">
        <v>2279</v>
      </c>
      <c r="K132" t="s">
        <v>2316</v>
      </c>
      <c r="L132" t="s">
        <v>2279</v>
      </c>
      <c r="M132" t="s">
        <v>2279</v>
      </c>
      <c r="N132" t="s">
        <v>2279</v>
      </c>
      <c r="O132" s="190" t="str">
        <f>"["&amp;$C132&amp;"]["&amp;$D132&amp;"]["&amp;$F132&amp;"]"</f>
        <v>[MeasuresStreamline][6][MeasuresStreamlineComments]</v>
      </c>
    </row>
    <row r="133" spans="1:15" x14ac:dyDescent="0.3">
      <c r="A133" t="s">
        <v>2277</v>
      </c>
      <c r="B133" t="s">
        <v>1833</v>
      </c>
      <c r="C133" t="s">
        <v>1834</v>
      </c>
      <c r="D133">
        <v>0</v>
      </c>
      <c r="E133" t="s">
        <v>1447</v>
      </c>
      <c r="F133" t="s">
        <v>1834</v>
      </c>
      <c r="G133" t="s">
        <v>1759</v>
      </c>
      <c r="H133" t="s">
        <v>2279</v>
      </c>
      <c r="I133" t="s">
        <v>2279</v>
      </c>
      <c r="J133" t="s">
        <v>2279</v>
      </c>
      <c r="K133" t="s">
        <v>2279</v>
      </c>
      <c r="L133" t="s">
        <v>1447</v>
      </c>
      <c r="M133" t="s">
        <v>2279</v>
      </c>
      <c r="N133" t="s">
        <v>2279</v>
      </c>
      <c r="O133" s="190" t="str">
        <f>"["&amp;$C133&amp;"]["&amp;$D133&amp;"]["&amp;$F133&amp;"]"</f>
        <v>[CommissionTemplatesMRR][0][CommissionTemplatesMRR]</v>
      </c>
    </row>
    <row r="134" spans="1:15" x14ac:dyDescent="0.3">
      <c r="A134" t="s">
        <v>2277</v>
      </c>
      <c r="B134" t="s">
        <v>1833</v>
      </c>
      <c r="C134" t="s">
        <v>1835</v>
      </c>
      <c r="D134">
        <v>1</v>
      </c>
      <c r="E134" t="s">
        <v>1447</v>
      </c>
      <c r="F134" t="s">
        <v>1836</v>
      </c>
      <c r="G134" t="s">
        <v>1737</v>
      </c>
      <c r="H134" t="s">
        <v>2279</v>
      </c>
      <c r="I134" t="s">
        <v>2279</v>
      </c>
      <c r="J134" t="s">
        <v>2279</v>
      </c>
      <c r="K134" t="s">
        <v>2279</v>
      </c>
      <c r="L134" t="s">
        <v>1424</v>
      </c>
      <c r="M134" t="s">
        <v>2279</v>
      </c>
      <c r="N134" t="s">
        <v>2279</v>
      </c>
      <c r="O134" s="190" t="str">
        <f>"["&amp;$C134&amp;"]["&amp;$D134&amp;"]["&amp;$F134&amp;"]"</f>
        <v>[S05_MSCustomisedTemplatesMRR1][1][SpecificTemplateOrFileFormat]</v>
      </c>
    </row>
    <row r="135" spans="1:15" x14ac:dyDescent="0.3">
      <c r="A135" t="s">
        <v>2277</v>
      </c>
      <c r="B135" t="s">
        <v>1833</v>
      </c>
      <c r="C135" t="s">
        <v>1835</v>
      </c>
      <c r="D135">
        <v>2</v>
      </c>
      <c r="E135" t="s">
        <v>1447</v>
      </c>
      <c r="F135" t="s">
        <v>1836</v>
      </c>
      <c r="G135" t="s">
        <v>1737</v>
      </c>
      <c r="H135" t="s">
        <v>2279</v>
      </c>
      <c r="I135" t="s">
        <v>2279</v>
      </c>
      <c r="J135" t="s">
        <v>2279</v>
      </c>
      <c r="K135" t="s">
        <v>2279</v>
      </c>
      <c r="L135" t="s">
        <v>1424</v>
      </c>
      <c r="M135" t="s">
        <v>2279</v>
      </c>
      <c r="N135" t="s">
        <v>2279</v>
      </c>
      <c r="O135" s="190" t="str">
        <f>"["&amp;$C135&amp;"]["&amp;$D135&amp;"]["&amp;$F135&amp;"]"</f>
        <v>[S05_MSCustomisedTemplatesMRR1][2][SpecificTemplateOrFileFormat]</v>
      </c>
    </row>
    <row r="136" spans="1:15" x14ac:dyDescent="0.3">
      <c r="A136" t="s">
        <v>2277</v>
      </c>
      <c r="B136" t="s">
        <v>1833</v>
      </c>
      <c r="C136" t="s">
        <v>1835</v>
      </c>
      <c r="D136">
        <v>3</v>
      </c>
      <c r="E136" t="s">
        <v>1447</v>
      </c>
      <c r="F136" t="s">
        <v>1836</v>
      </c>
      <c r="G136" t="s">
        <v>1737</v>
      </c>
      <c r="H136" t="s">
        <v>2279</v>
      </c>
      <c r="I136" t="s">
        <v>2279</v>
      </c>
      <c r="J136" t="s">
        <v>2279</v>
      </c>
      <c r="K136" t="s">
        <v>2279</v>
      </c>
      <c r="L136" t="s">
        <v>1424</v>
      </c>
      <c r="M136" t="s">
        <v>2279</v>
      </c>
      <c r="N136" t="s">
        <v>2279</v>
      </c>
      <c r="O136" s="190" t="str">
        <f>"["&amp;$C136&amp;"]["&amp;$D136&amp;"]["&amp;$F136&amp;"]"</f>
        <v>[S05_MSCustomisedTemplatesMRR1][3][SpecificTemplateOrFileFormat]</v>
      </c>
    </row>
    <row r="137" spans="1:15" x14ac:dyDescent="0.3">
      <c r="A137" t="s">
        <v>2277</v>
      </c>
      <c r="B137" t="s">
        <v>1833</v>
      </c>
      <c r="C137" t="s">
        <v>1835</v>
      </c>
      <c r="D137">
        <v>4</v>
      </c>
      <c r="E137" t="s">
        <v>1447</v>
      </c>
      <c r="F137" t="s">
        <v>1836</v>
      </c>
      <c r="G137" t="s">
        <v>1737</v>
      </c>
      <c r="H137" t="s">
        <v>2279</v>
      </c>
      <c r="I137" t="s">
        <v>2279</v>
      </c>
      <c r="J137" t="s">
        <v>2279</v>
      </c>
      <c r="K137" t="s">
        <v>2279</v>
      </c>
      <c r="L137" t="s">
        <v>1424</v>
      </c>
      <c r="M137" t="s">
        <v>2279</v>
      </c>
      <c r="N137" t="s">
        <v>2279</v>
      </c>
      <c r="O137" s="190" t="str">
        <f>"["&amp;$C137&amp;"]["&amp;$D137&amp;"]["&amp;$F137&amp;"]"</f>
        <v>[S05_MSCustomisedTemplatesMRR1][4][SpecificTemplateOrFileFormat]</v>
      </c>
    </row>
    <row r="138" spans="1:15" x14ac:dyDescent="0.3">
      <c r="A138" t="s">
        <v>2277</v>
      </c>
      <c r="B138" t="s">
        <v>1833</v>
      </c>
      <c r="C138" t="s">
        <v>1835</v>
      </c>
      <c r="D138">
        <v>1</v>
      </c>
      <c r="E138" t="s">
        <v>1447</v>
      </c>
      <c r="F138" t="s">
        <v>1837</v>
      </c>
      <c r="G138" t="s">
        <v>1741</v>
      </c>
      <c r="H138" t="s">
        <v>2317</v>
      </c>
      <c r="I138" t="s">
        <v>2279</v>
      </c>
      <c r="J138" t="s">
        <v>2279</v>
      </c>
      <c r="K138" t="s">
        <v>2279</v>
      </c>
      <c r="L138" t="s">
        <v>2279</v>
      </c>
      <c r="M138" t="s">
        <v>2279</v>
      </c>
      <c r="N138" t="s">
        <v>2279</v>
      </c>
      <c r="O138" s="190" t="str">
        <f>"["&amp;$C138&amp;"]["&amp;$D138&amp;"]["&amp;$F138&amp;"]"</f>
        <v>[S05_MSCustomisedTemplatesMRR1][1][HowTemplateSpecific]</v>
      </c>
    </row>
    <row r="139" spans="1:15" x14ac:dyDescent="0.3">
      <c r="A139" t="s">
        <v>2277</v>
      </c>
      <c r="B139" t="s">
        <v>1833</v>
      </c>
      <c r="C139" t="s">
        <v>1835</v>
      </c>
      <c r="D139">
        <v>2</v>
      </c>
      <c r="E139" t="s">
        <v>1447</v>
      </c>
      <c r="F139" t="s">
        <v>1837</v>
      </c>
      <c r="G139" t="s">
        <v>1741</v>
      </c>
      <c r="H139" t="s">
        <v>2318</v>
      </c>
      <c r="I139" t="s">
        <v>2279</v>
      </c>
      <c r="J139" t="s">
        <v>2279</v>
      </c>
      <c r="K139" t="s">
        <v>2279</v>
      </c>
      <c r="L139" t="s">
        <v>2279</v>
      </c>
      <c r="M139" t="s">
        <v>2279</v>
      </c>
      <c r="N139" t="s">
        <v>2279</v>
      </c>
      <c r="O139" s="190" t="str">
        <f>"["&amp;$C139&amp;"]["&amp;$D139&amp;"]["&amp;$F139&amp;"]"</f>
        <v>[S05_MSCustomisedTemplatesMRR1][2][HowTemplateSpecific]</v>
      </c>
    </row>
    <row r="140" spans="1:15" x14ac:dyDescent="0.3">
      <c r="A140" t="s">
        <v>2277</v>
      </c>
      <c r="B140" t="s">
        <v>1833</v>
      </c>
      <c r="C140" t="s">
        <v>1835</v>
      </c>
      <c r="D140">
        <v>3</v>
      </c>
      <c r="E140" t="s">
        <v>1447</v>
      </c>
      <c r="F140" t="s">
        <v>1837</v>
      </c>
      <c r="G140" t="s">
        <v>1741</v>
      </c>
      <c r="H140" t="s">
        <v>2319</v>
      </c>
      <c r="I140" t="s">
        <v>2279</v>
      </c>
      <c r="J140" t="s">
        <v>2279</v>
      </c>
      <c r="K140" t="s">
        <v>2279</v>
      </c>
      <c r="L140" t="s">
        <v>2279</v>
      </c>
      <c r="M140" t="s">
        <v>2279</v>
      </c>
      <c r="N140" t="s">
        <v>2279</v>
      </c>
      <c r="O140" s="190" t="str">
        <f>"["&amp;$C140&amp;"]["&amp;$D140&amp;"]["&amp;$F140&amp;"]"</f>
        <v>[S05_MSCustomisedTemplatesMRR1][3][HowTemplateSpecific]</v>
      </c>
    </row>
    <row r="141" spans="1:15" x14ac:dyDescent="0.3">
      <c r="A141" t="s">
        <v>2277</v>
      </c>
      <c r="B141" t="s">
        <v>1833</v>
      </c>
      <c r="C141" t="s">
        <v>1835</v>
      </c>
      <c r="D141">
        <v>4</v>
      </c>
      <c r="E141" t="s">
        <v>1447</v>
      </c>
      <c r="F141" t="s">
        <v>1837</v>
      </c>
      <c r="G141" t="s">
        <v>1741</v>
      </c>
      <c r="H141" t="s">
        <v>2318</v>
      </c>
      <c r="I141" t="s">
        <v>2279</v>
      </c>
      <c r="J141" t="s">
        <v>2279</v>
      </c>
      <c r="K141" t="s">
        <v>2279</v>
      </c>
      <c r="L141" t="s">
        <v>2279</v>
      </c>
      <c r="M141" t="s">
        <v>2279</v>
      </c>
      <c r="N141" t="s">
        <v>2279</v>
      </c>
      <c r="O141" s="190" t="str">
        <f>"["&amp;$C141&amp;"]["&amp;$D141&amp;"]["&amp;$F141&amp;"]"</f>
        <v>[S05_MSCustomisedTemplatesMRR1][4][HowTemplateSpecific]</v>
      </c>
    </row>
    <row r="142" spans="1:15" x14ac:dyDescent="0.3">
      <c r="A142" t="s">
        <v>2277</v>
      </c>
      <c r="B142" t="s">
        <v>1833</v>
      </c>
      <c r="C142" t="s">
        <v>1839</v>
      </c>
      <c r="D142">
        <v>0</v>
      </c>
      <c r="E142" t="s">
        <v>1447</v>
      </c>
      <c r="F142" t="s">
        <v>1839</v>
      </c>
      <c r="G142" t="s">
        <v>1741</v>
      </c>
      <c r="H142" t="s">
        <v>2320</v>
      </c>
      <c r="I142" t="s">
        <v>2279</v>
      </c>
      <c r="J142" t="s">
        <v>2279</v>
      </c>
      <c r="K142" t="s">
        <v>2279</v>
      </c>
      <c r="L142" t="s">
        <v>2279</v>
      </c>
      <c r="M142" t="s">
        <v>2279</v>
      </c>
      <c r="N142" t="s">
        <v>2279</v>
      </c>
      <c r="O142" s="190" t="str">
        <f>"["&amp;$C142&amp;"]["&amp;$D142&amp;"]["&amp;$F142&amp;"]"</f>
        <v>[ComplyMeasuresArt74][0][ComplyMeasuresArt74]</v>
      </c>
    </row>
    <row r="143" spans="1:15" x14ac:dyDescent="0.3">
      <c r="A143" t="s">
        <v>2277</v>
      </c>
      <c r="B143" t="s">
        <v>1840</v>
      </c>
      <c r="C143" t="s">
        <v>1841</v>
      </c>
      <c r="D143">
        <v>0</v>
      </c>
      <c r="E143" t="s">
        <v>1447</v>
      </c>
      <c r="F143" t="s">
        <v>1841</v>
      </c>
      <c r="G143" t="s">
        <v>1759</v>
      </c>
      <c r="H143" t="s">
        <v>2279</v>
      </c>
      <c r="I143" t="s">
        <v>2279</v>
      </c>
      <c r="J143" t="s">
        <v>2279</v>
      </c>
      <c r="K143" t="s">
        <v>2279</v>
      </c>
      <c r="L143" t="s">
        <v>1447</v>
      </c>
      <c r="M143" t="s">
        <v>2279</v>
      </c>
      <c r="N143" t="s">
        <v>2279</v>
      </c>
      <c r="O143" s="190" t="str">
        <f>"["&amp;$C143&amp;"]["&amp;$D143&amp;"]["&amp;$F143&amp;"]"</f>
        <v>[AutomatedSystemInformationExchange][0][AutomatedSystemInformationExchange]</v>
      </c>
    </row>
    <row r="144" spans="1:15" x14ac:dyDescent="0.3">
      <c r="A144" t="s">
        <v>2277</v>
      </c>
      <c r="B144" t="s">
        <v>1843</v>
      </c>
      <c r="C144" t="s">
        <v>1844</v>
      </c>
      <c r="D144">
        <v>1</v>
      </c>
      <c r="E144" t="s">
        <v>1447</v>
      </c>
      <c r="F144" t="s">
        <v>1845</v>
      </c>
      <c r="G144" t="s">
        <v>1806</v>
      </c>
      <c r="H144" t="s">
        <v>2279</v>
      </c>
      <c r="I144" t="s">
        <v>2279</v>
      </c>
      <c r="J144">
        <v>13985</v>
      </c>
      <c r="K144" t="s">
        <v>2279</v>
      </c>
      <c r="L144" t="s">
        <v>2279</v>
      </c>
      <c r="M144" t="s">
        <v>2279</v>
      </c>
      <c r="N144" t="s">
        <v>2279</v>
      </c>
      <c r="O144" s="190" t="str">
        <f>"["&amp;$C144&amp;"]["&amp;$D144&amp;"]["&amp;$F144&amp;"]"</f>
        <v>[S05_InstallationFuelConsEmissions][1][FuelConsumption]</v>
      </c>
    </row>
    <row r="145" spans="1:15" x14ac:dyDescent="0.3">
      <c r="A145" t="s">
        <v>2277</v>
      </c>
      <c r="B145" t="s">
        <v>1843</v>
      </c>
      <c r="C145" t="s">
        <v>1844</v>
      </c>
      <c r="D145">
        <v>5</v>
      </c>
      <c r="E145" t="s">
        <v>1447</v>
      </c>
      <c r="F145" t="s">
        <v>1845</v>
      </c>
      <c r="G145" t="s">
        <v>1806</v>
      </c>
      <c r="H145" t="s">
        <v>2279</v>
      </c>
      <c r="I145" t="s">
        <v>2279</v>
      </c>
      <c r="J145">
        <v>30433</v>
      </c>
      <c r="K145" t="s">
        <v>2279</v>
      </c>
      <c r="L145" t="s">
        <v>2279</v>
      </c>
      <c r="M145" t="s">
        <v>2279</v>
      </c>
      <c r="N145" t="s">
        <v>2279</v>
      </c>
      <c r="O145" s="190" t="str">
        <f>"["&amp;$C145&amp;"]["&amp;$D145&amp;"]["&amp;$F145&amp;"]"</f>
        <v>[S05_InstallationFuelConsEmissions][5][FuelConsumption]</v>
      </c>
    </row>
    <row r="146" spans="1:15" x14ac:dyDescent="0.3">
      <c r="A146" t="s">
        <v>2277</v>
      </c>
      <c r="B146" t="s">
        <v>1843</v>
      </c>
      <c r="C146" t="s">
        <v>1844</v>
      </c>
      <c r="D146">
        <v>9</v>
      </c>
      <c r="E146" t="s">
        <v>1447</v>
      </c>
      <c r="F146" t="s">
        <v>1845</v>
      </c>
      <c r="G146" t="s">
        <v>1806</v>
      </c>
      <c r="H146" t="s">
        <v>2279</v>
      </c>
      <c r="I146" t="s">
        <v>2279</v>
      </c>
      <c r="J146">
        <v>804.5</v>
      </c>
      <c r="K146" t="s">
        <v>2279</v>
      </c>
      <c r="L146" t="s">
        <v>2279</v>
      </c>
      <c r="M146" t="s">
        <v>2279</v>
      </c>
      <c r="N146" t="s">
        <v>2279</v>
      </c>
      <c r="O146" s="190" t="str">
        <f>"["&amp;$C146&amp;"]["&amp;$D146&amp;"]["&amp;$F146&amp;"]"</f>
        <v>[S05_InstallationFuelConsEmissions][9][FuelConsumption]</v>
      </c>
    </row>
    <row r="147" spans="1:15" x14ac:dyDescent="0.3">
      <c r="A147" t="s">
        <v>2277</v>
      </c>
      <c r="B147" t="s">
        <v>1843</v>
      </c>
      <c r="C147" t="s">
        <v>1844</v>
      </c>
      <c r="D147">
        <v>10</v>
      </c>
      <c r="E147" t="s">
        <v>1447</v>
      </c>
      <c r="F147" t="s">
        <v>1845</v>
      </c>
      <c r="G147" t="s">
        <v>1806</v>
      </c>
      <c r="H147" t="s">
        <v>2279</v>
      </c>
      <c r="I147" t="s">
        <v>2279</v>
      </c>
      <c r="J147">
        <v>0.2</v>
      </c>
      <c r="K147" t="s">
        <v>2279</v>
      </c>
      <c r="L147" t="s">
        <v>2279</v>
      </c>
      <c r="M147" t="s">
        <v>2279</v>
      </c>
      <c r="N147" t="s">
        <v>2279</v>
      </c>
      <c r="O147" s="190" t="str">
        <f>"["&amp;$C147&amp;"]["&amp;$D147&amp;"]["&amp;$F147&amp;"]"</f>
        <v>[S05_InstallationFuelConsEmissions][10][FuelConsumption]</v>
      </c>
    </row>
    <row r="148" spans="1:15" x14ac:dyDescent="0.3">
      <c r="A148" t="s">
        <v>2277</v>
      </c>
      <c r="B148" t="s">
        <v>1847</v>
      </c>
      <c r="C148" t="s">
        <v>1844</v>
      </c>
      <c r="D148">
        <v>12</v>
      </c>
      <c r="E148" t="s">
        <v>1447</v>
      </c>
      <c r="F148" t="s">
        <v>1845</v>
      </c>
      <c r="G148" t="s">
        <v>1806</v>
      </c>
      <c r="H148" t="s">
        <v>2279</v>
      </c>
      <c r="I148" t="s">
        <v>2279</v>
      </c>
      <c r="J148">
        <v>81</v>
      </c>
      <c r="K148" t="s">
        <v>2279</v>
      </c>
      <c r="L148" t="s">
        <v>2279</v>
      </c>
      <c r="M148" t="s">
        <v>2279</v>
      </c>
      <c r="N148" t="s">
        <v>2279</v>
      </c>
      <c r="O148" s="190" t="str">
        <f>"["&amp;$C148&amp;"]["&amp;$D148&amp;"]["&amp;$F148&amp;"]"</f>
        <v>[S05_InstallationFuelConsEmissions][12][FuelConsumption]</v>
      </c>
    </row>
    <row r="149" spans="1:15" x14ac:dyDescent="0.3">
      <c r="A149" t="s">
        <v>2277</v>
      </c>
      <c r="B149" t="s">
        <v>1843</v>
      </c>
      <c r="C149" t="s">
        <v>1844</v>
      </c>
      <c r="D149">
        <v>1</v>
      </c>
      <c r="E149" t="s">
        <v>1447</v>
      </c>
      <c r="F149" t="s">
        <v>1848</v>
      </c>
      <c r="G149" t="s">
        <v>1806</v>
      </c>
      <c r="H149" t="s">
        <v>2279</v>
      </c>
      <c r="I149" t="s">
        <v>2279</v>
      </c>
      <c r="J149">
        <v>1308351</v>
      </c>
      <c r="K149" t="s">
        <v>2279</v>
      </c>
      <c r="L149" t="s">
        <v>2279</v>
      </c>
      <c r="M149" t="s">
        <v>2279</v>
      </c>
      <c r="N149" t="s">
        <v>2279</v>
      </c>
      <c r="O149" s="190" t="str">
        <f>"["&amp;$C149&amp;"]["&amp;$D149&amp;"]["&amp;$F149&amp;"]"</f>
        <v>[S05_InstallationFuelConsEmissions][1][FuelAnnualEmissions]</v>
      </c>
    </row>
    <row r="150" spans="1:15" x14ac:dyDescent="0.3">
      <c r="A150" t="s">
        <v>2277</v>
      </c>
      <c r="B150" t="s">
        <v>1843</v>
      </c>
      <c r="C150" t="s">
        <v>1844</v>
      </c>
      <c r="D150">
        <v>5</v>
      </c>
      <c r="E150" t="s">
        <v>1447</v>
      </c>
      <c r="F150" t="s">
        <v>1848</v>
      </c>
      <c r="G150" t="s">
        <v>1806</v>
      </c>
      <c r="H150" t="s">
        <v>2279</v>
      </c>
      <c r="I150" t="s">
        <v>2279</v>
      </c>
      <c r="J150">
        <v>1737368</v>
      </c>
      <c r="K150" t="s">
        <v>2279</v>
      </c>
      <c r="L150" t="s">
        <v>2279</v>
      </c>
      <c r="M150" t="s">
        <v>2279</v>
      </c>
      <c r="N150" t="s">
        <v>2279</v>
      </c>
      <c r="O150" s="190" t="str">
        <f>"["&amp;$C150&amp;"]["&amp;$D150&amp;"]["&amp;$F150&amp;"]"</f>
        <v>[S05_InstallationFuelConsEmissions][5][FuelAnnualEmissions]</v>
      </c>
    </row>
    <row r="151" spans="1:15" x14ac:dyDescent="0.3">
      <c r="A151" t="s">
        <v>2277</v>
      </c>
      <c r="B151" t="s">
        <v>1843</v>
      </c>
      <c r="C151" t="s">
        <v>1844</v>
      </c>
      <c r="D151">
        <v>9</v>
      </c>
      <c r="E151" t="s">
        <v>1447</v>
      </c>
      <c r="F151" t="s">
        <v>1848</v>
      </c>
      <c r="G151" t="s">
        <v>1806</v>
      </c>
      <c r="H151" t="s">
        <v>2279</v>
      </c>
      <c r="I151" t="s">
        <v>2279</v>
      </c>
      <c r="J151">
        <v>62169</v>
      </c>
      <c r="K151" t="s">
        <v>2279</v>
      </c>
      <c r="L151" t="s">
        <v>2279</v>
      </c>
      <c r="M151" t="s">
        <v>2279</v>
      </c>
      <c r="N151" t="s">
        <v>2279</v>
      </c>
      <c r="O151" s="190" t="str">
        <f>"["&amp;$C151&amp;"]["&amp;$D151&amp;"]["&amp;$F151&amp;"]"</f>
        <v>[S05_InstallationFuelConsEmissions][9][FuelAnnualEmissions]</v>
      </c>
    </row>
    <row r="152" spans="1:15" x14ac:dyDescent="0.3">
      <c r="A152" t="s">
        <v>2277</v>
      </c>
      <c r="B152" t="s">
        <v>1843</v>
      </c>
      <c r="C152" t="s">
        <v>1844</v>
      </c>
      <c r="D152">
        <v>10</v>
      </c>
      <c r="E152" t="s">
        <v>1447</v>
      </c>
      <c r="F152" t="s">
        <v>1848</v>
      </c>
      <c r="G152" t="s">
        <v>1806</v>
      </c>
      <c r="H152" t="s">
        <v>2279</v>
      </c>
      <c r="I152" t="s">
        <v>2279</v>
      </c>
      <c r="J152">
        <v>13</v>
      </c>
      <c r="K152" t="s">
        <v>2279</v>
      </c>
      <c r="L152" t="s">
        <v>2279</v>
      </c>
      <c r="M152" t="s">
        <v>2279</v>
      </c>
      <c r="N152" t="s">
        <v>2279</v>
      </c>
      <c r="O152" s="190" t="str">
        <f>"["&amp;$C152&amp;"]["&amp;$D152&amp;"]["&amp;$F152&amp;"]"</f>
        <v>[S05_InstallationFuelConsEmissions][10][FuelAnnualEmissions]</v>
      </c>
    </row>
    <row r="153" spans="1:15" x14ac:dyDescent="0.3">
      <c r="A153" t="s">
        <v>2277</v>
      </c>
      <c r="B153" t="s">
        <v>1843</v>
      </c>
      <c r="C153" t="s">
        <v>1844</v>
      </c>
      <c r="D153">
        <v>12</v>
      </c>
      <c r="E153" t="s">
        <v>1447</v>
      </c>
      <c r="F153" t="s">
        <v>1848</v>
      </c>
      <c r="G153" t="s">
        <v>1806</v>
      </c>
      <c r="H153" t="s">
        <v>2279</v>
      </c>
      <c r="I153" t="s">
        <v>2279</v>
      </c>
      <c r="J153">
        <v>9665</v>
      </c>
      <c r="K153" t="s">
        <v>2279</v>
      </c>
      <c r="L153" t="s">
        <v>2279</v>
      </c>
      <c r="M153" t="s">
        <v>2279</v>
      </c>
      <c r="N153" t="s">
        <v>2279</v>
      </c>
      <c r="O153" s="190" t="str">
        <f>"["&amp;$C153&amp;"]["&amp;$D153&amp;"]["&amp;$F153&amp;"]"</f>
        <v>[S05_InstallationFuelConsEmissions][12][FuelAnnualEmissions]</v>
      </c>
    </row>
    <row r="154" spans="1:15" x14ac:dyDescent="0.3">
      <c r="A154" t="s">
        <v>2277</v>
      </c>
      <c r="B154" t="s">
        <v>1846</v>
      </c>
      <c r="C154" t="s">
        <v>1849</v>
      </c>
      <c r="D154">
        <v>1</v>
      </c>
      <c r="E154" t="s">
        <v>1447</v>
      </c>
      <c r="F154" t="s">
        <v>1850</v>
      </c>
      <c r="G154" t="s">
        <v>1737</v>
      </c>
      <c r="H154" t="s">
        <v>2279</v>
      </c>
      <c r="I154" t="s">
        <v>2279</v>
      </c>
      <c r="J154" t="s">
        <v>2279</v>
      </c>
      <c r="K154" t="s">
        <v>2279</v>
      </c>
      <c r="L154" t="s">
        <v>1453</v>
      </c>
      <c r="M154" t="s">
        <v>2279</v>
      </c>
      <c r="N154" t="s">
        <v>2279</v>
      </c>
      <c r="O154" s="190" t="str">
        <f>"["&amp;$C154&amp;"]["&amp;$D154&amp;"]["&amp;$F154&amp;"]"</f>
        <v>[S05_AggregateTotalEmissionsByCRF][1][CRFCategory1]</v>
      </c>
    </row>
    <row r="155" spans="1:15" x14ac:dyDescent="0.3">
      <c r="A155" t="s">
        <v>2277</v>
      </c>
      <c r="B155" t="s">
        <v>1846</v>
      </c>
      <c r="C155" t="s">
        <v>1849</v>
      </c>
      <c r="D155">
        <v>1</v>
      </c>
      <c r="E155" t="s">
        <v>1447</v>
      </c>
      <c r="F155" t="s">
        <v>1852</v>
      </c>
      <c r="G155" t="s">
        <v>1806</v>
      </c>
      <c r="H155" t="s">
        <v>2279</v>
      </c>
      <c r="I155" t="s">
        <v>2279</v>
      </c>
      <c r="J155">
        <v>3117565</v>
      </c>
      <c r="K155" t="s">
        <v>2279</v>
      </c>
      <c r="L155" t="s">
        <v>2279</v>
      </c>
      <c r="M155" t="s">
        <v>2279</v>
      </c>
      <c r="N155" t="s">
        <v>2279</v>
      </c>
      <c r="O155" s="190" t="str">
        <f>"["&amp;$C155&amp;"]["&amp;$D155&amp;"]["&amp;$F155&amp;"]"</f>
        <v>[S05_AggregateTotalEmissionsByCRF][1][TotalEmissionsTCo2e]</v>
      </c>
    </row>
    <row r="156" spans="1:15" x14ac:dyDescent="0.3">
      <c r="A156" t="s">
        <v>2277</v>
      </c>
      <c r="B156" t="s">
        <v>1846</v>
      </c>
      <c r="C156" t="s">
        <v>1849</v>
      </c>
      <c r="D156">
        <v>1</v>
      </c>
      <c r="E156" t="s">
        <v>1447</v>
      </c>
      <c r="F156" t="s">
        <v>1853</v>
      </c>
      <c r="G156" t="s">
        <v>1806</v>
      </c>
      <c r="H156" t="s">
        <v>2279</v>
      </c>
      <c r="I156" t="s">
        <v>2279</v>
      </c>
      <c r="J156">
        <v>3117178</v>
      </c>
      <c r="K156" t="s">
        <v>2279</v>
      </c>
      <c r="L156" t="s">
        <v>2279</v>
      </c>
      <c r="M156" t="s">
        <v>2279</v>
      </c>
      <c r="N156" t="s">
        <v>2279</v>
      </c>
      <c r="O156" s="190" t="str">
        <f>"["&amp;$C156&amp;"]["&amp;$D156&amp;"]["&amp;$F156&amp;"]"</f>
        <v>[S05_AggregateTotalEmissionsByCRF][1][TotalCombustionEmissionsTCo2e]</v>
      </c>
    </row>
    <row r="157" spans="1:15" x14ac:dyDescent="0.3">
      <c r="A157" t="s">
        <v>2277</v>
      </c>
      <c r="B157" t="s">
        <v>1846</v>
      </c>
      <c r="C157" t="s">
        <v>1849</v>
      </c>
      <c r="D157">
        <v>1</v>
      </c>
      <c r="E157" t="s">
        <v>1447</v>
      </c>
      <c r="F157" t="s">
        <v>1854</v>
      </c>
      <c r="G157" t="s">
        <v>1806</v>
      </c>
      <c r="H157" t="s">
        <v>2279</v>
      </c>
      <c r="I157" t="s">
        <v>2279</v>
      </c>
      <c r="J157">
        <v>387</v>
      </c>
      <c r="K157" t="s">
        <v>2279</v>
      </c>
      <c r="L157" t="s">
        <v>2279</v>
      </c>
      <c r="M157" t="s">
        <v>2279</v>
      </c>
      <c r="N157" t="s">
        <v>2279</v>
      </c>
      <c r="O157" s="190" t="str">
        <f>"["&amp;$C157&amp;"]["&amp;$D157&amp;"]["&amp;$F157&amp;"]"</f>
        <v>[S05_AggregateTotalEmissionsByCRF][1][TotalProcessEmissionsTCo2e]</v>
      </c>
    </row>
    <row r="158" spans="1:15" x14ac:dyDescent="0.3">
      <c r="A158" t="s">
        <v>2277</v>
      </c>
      <c r="B158" t="s">
        <v>1847</v>
      </c>
      <c r="C158" t="s">
        <v>1855</v>
      </c>
      <c r="D158">
        <v>1</v>
      </c>
      <c r="E158" t="s">
        <v>1447</v>
      </c>
      <c r="F158" t="s">
        <v>1856</v>
      </c>
      <c r="G158" t="s">
        <v>1737</v>
      </c>
      <c r="H158" t="s">
        <v>2279</v>
      </c>
      <c r="I158" t="s">
        <v>2279</v>
      </c>
      <c r="J158" t="s">
        <v>2279</v>
      </c>
      <c r="K158" t="s">
        <v>2279</v>
      </c>
      <c r="L158" t="s">
        <v>1427</v>
      </c>
      <c r="M158" t="s">
        <v>2279</v>
      </c>
      <c r="N158" t="s">
        <v>2279</v>
      </c>
      <c r="O158" s="190" t="str">
        <f>"["&amp;$C158&amp;"]["&amp;$D158&amp;"]["&amp;$F158&amp;"]"</f>
        <v>[S05_DefaultValues][1][InstallationCategory]</v>
      </c>
    </row>
    <row r="159" spans="1:15" x14ac:dyDescent="0.3">
      <c r="A159" t="s">
        <v>2277</v>
      </c>
      <c r="B159" t="s">
        <v>1847</v>
      </c>
      <c r="C159" t="s">
        <v>1855</v>
      </c>
      <c r="D159">
        <v>2</v>
      </c>
      <c r="E159" t="s">
        <v>1447</v>
      </c>
      <c r="F159" t="s">
        <v>1856</v>
      </c>
      <c r="G159" t="s">
        <v>1737</v>
      </c>
      <c r="H159" t="s">
        <v>2279</v>
      </c>
      <c r="I159" t="s">
        <v>2279</v>
      </c>
      <c r="J159" t="s">
        <v>2279</v>
      </c>
      <c r="K159" t="s">
        <v>2279</v>
      </c>
      <c r="L159" t="s">
        <v>1427</v>
      </c>
      <c r="M159" t="s">
        <v>2279</v>
      </c>
      <c r="N159" t="s">
        <v>2279</v>
      </c>
      <c r="O159" s="190" t="str">
        <f>"["&amp;$C159&amp;"]["&amp;$D159&amp;"]["&amp;$F159&amp;"]"</f>
        <v>[S05_DefaultValues][2][InstallationCategory]</v>
      </c>
    </row>
    <row r="160" spans="1:15" x14ac:dyDescent="0.3">
      <c r="A160" t="s">
        <v>2277</v>
      </c>
      <c r="B160" t="s">
        <v>1847</v>
      </c>
      <c r="C160" t="s">
        <v>1855</v>
      </c>
      <c r="D160">
        <v>3</v>
      </c>
      <c r="E160" t="s">
        <v>1447</v>
      </c>
      <c r="F160" t="s">
        <v>1856</v>
      </c>
      <c r="G160" t="s">
        <v>1737</v>
      </c>
      <c r="H160" t="s">
        <v>2279</v>
      </c>
      <c r="I160" t="s">
        <v>2279</v>
      </c>
      <c r="J160" t="s">
        <v>2279</v>
      </c>
      <c r="K160" t="s">
        <v>2279</v>
      </c>
      <c r="L160" t="s">
        <v>1427</v>
      </c>
      <c r="M160" t="s">
        <v>2279</v>
      </c>
      <c r="N160" t="s">
        <v>2279</v>
      </c>
      <c r="O160" s="190" t="str">
        <f>"["&amp;$C160&amp;"]["&amp;$D160&amp;"]["&amp;$F160&amp;"]"</f>
        <v>[S05_DefaultValues][3][InstallationCategory]</v>
      </c>
    </row>
    <row r="161" spans="1:15" x14ac:dyDescent="0.3">
      <c r="A161" t="s">
        <v>2277</v>
      </c>
      <c r="B161" t="s">
        <v>1847</v>
      </c>
      <c r="C161" t="s">
        <v>1855</v>
      </c>
      <c r="D161">
        <v>4</v>
      </c>
      <c r="E161" t="s">
        <v>1447</v>
      </c>
      <c r="F161" t="s">
        <v>1856</v>
      </c>
      <c r="G161" t="s">
        <v>1737</v>
      </c>
      <c r="H161" t="s">
        <v>2279</v>
      </c>
      <c r="I161" t="s">
        <v>2279</v>
      </c>
      <c r="J161" t="s">
        <v>2279</v>
      </c>
      <c r="K161" t="s">
        <v>2279</v>
      </c>
      <c r="L161" t="s">
        <v>1427</v>
      </c>
      <c r="M161" t="s">
        <v>2279</v>
      </c>
      <c r="N161" t="s">
        <v>2279</v>
      </c>
      <c r="O161" s="190" t="str">
        <f>"["&amp;$C161&amp;"]["&amp;$D161&amp;"]["&amp;$F161&amp;"]"</f>
        <v>[S05_DefaultValues][4][InstallationCategory]</v>
      </c>
    </row>
    <row r="162" spans="1:15" x14ac:dyDescent="0.3">
      <c r="A162" t="s">
        <v>2277</v>
      </c>
      <c r="B162" t="s">
        <v>1847</v>
      </c>
      <c r="C162" t="s">
        <v>1855</v>
      </c>
      <c r="D162">
        <v>5</v>
      </c>
      <c r="E162" t="s">
        <v>1447</v>
      </c>
      <c r="F162" t="s">
        <v>1856</v>
      </c>
      <c r="G162" t="s">
        <v>1737</v>
      </c>
      <c r="H162" t="s">
        <v>2279</v>
      </c>
      <c r="I162" t="s">
        <v>2279</v>
      </c>
      <c r="J162" t="s">
        <v>2279</v>
      </c>
      <c r="K162" t="s">
        <v>2279</v>
      </c>
      <c r="L162" t="s">
        <v>1427</v>
      </c>
      <c r="M162" t="s">
        <v>2279</v>
      </c>
      <c r="N162" t="s">
        <v>2279</v>
      </c>
      <c r="O162" s="190" t="str">
        <f>"["&amp;$C162&amp;"]["&amp;$D162&amp;"]["&amp;$F162&amp;"]"</f>
        <v>[S05_DefaultValues][5][InstallationCategory]</v>
      </c>
    </row>
    <row r="163" spans="1:15" x14ac:dyDescent="0.3">
      <c r="A163" t="s">
        <v>2277</v>
      </c>
      <c r="B163" t="s">
        <v>1847</v>
      </c>
      <c r="C163" t="s">
        <v>1855</v>
      </c>
      <c r="D163">
        <v>6</v>
      </c>
      <c r="E163" t="s">
        <v>1447</v>
      </c>
      <c r="F163" t="s">
        <v>1856</v>
      </c>
      <c r="G163" t="s">
        <v>1737</v>
      </c>
      <c r="H163" t="s">
        <v>2279</v>
      </c>
      <c r="I163" t="s">
        <v>2279</v>
      </c>
      <c r="J163" t="s">
        <v>2279</v>
      </c>
      <c r="K163" t="s">
        <v>2279</v>
      </c>
      <c r="L163" t="s">
        <v>1427</v>
      </c>
      <c r="M163" t="s">
        <v>2279</v>
      </c>
      <c r="N163" t="s">
        <v>2279</v>
      </c>
      <c r="O163" s="190" t="str">
        <f>"["&amp;$C163&amp;"]["&amp;$D163&amp;"]["&amp;$F163&amp;"]"</f>
        <v>[S05_DefaultValues][6][InstallationCategory]</v>
      </c>
    </row>
    <row r="164" spans="1:15" x14ac:dyDescent="0.3">
      <c r="A164" t="s">
        <v>2277</v>
      </c>
      <c r="B164" t="s">
        <v>1847</v>
      </c>
      <c r="C164" t="s">
        <v>1855</v>
      </c>
      <c r="D164">
        <v>7</v>
      </c>
      <c r="E164" t="s">
        <v>1447</v>
      </c>
      <c r="F164" t="s">
        <v>1856</v>
      </c>
      <c r="G164" t="s">
        <v>1737</v>
      </c>
      <c r="H164" t="s">
        <v>2279</v>
      </c>
      <c r="I164" t="s">
        <v>2279</v>
      </c>
      <c r="J164" t="s">
        <v>2279</v>
      </c>
      <c r="K164" t="s">
        <v>2279</v>
      </c>
      <c r="L164" t="s">
        <v>1483</v>
      </c>
      <c r="M164" t="s">
        <v>2279</v>
      </c>
      <c r="N164" t="s">
        <v>2279</v>
      </c>
      <c r="O164" s="190" t="str">
        <f>"["&amp;$C164&amp;"]["&amp;$D164&amp;"]["&amp;$F164&amp;"]"</f>
        <v>[S05_DefaultValues][7][InstallationCategory]</v>
      </c>
    </row>
    <row r="165" spans="1:15" x14ac:dyDescent="0.3">
      <c r="A165" t="s">
        <v>2277</v>
      </c>
      <c r="B165" t="s">
        <v>1847</v>
      </c>
      <c r="C165" t="s">
        <v>1855</v>
      </c>
      <c r="D165">
        <v>8</v>
      </c>
      <c r="E165" t="s">
        <v>1447</v>
      </c>
      <c r="F165" t="s">
        <v>1856</v>
      </c>
      <c r="G165" t="s">
        <v>1737</v>
      </c>
      <c r="H165" t="s">
        <v>2279</v>
      </c>
      <c r="I165" t="s">
        <v>2279</v>
      </c>
      <c r="J165" t="s">
        <v>2279</v>
      </c>
      <c r="K165" t="s">
        <v>2279</v>
      </c>
      <c r="L165" t="s">
        <v>1483</v>
      </c>
      <c r="M165" t="s">
        <v>2279</v>
      </c>
      <c r="N165" t="s">
        <v>2279</v>
      </c>
      <c r="O165" s="190" t="str">
        <f>"["&amp;$C165&amp;"]["&amp;$D165&amp;"]["&amp;$F165&amp;"]"</f>
        <v>[S05_DefaultValues][8][InstallationCategory]</v>
      </c>
    </row>
    <row r="166" spans="1:15" x14ac:dyDescent="0.3">
      <c r="A166" t="s">
        <v>2277</v>
      </c>
      <c r="B166" t="s">
        <v>1847</v>
      </c>
      <c r="C166" t="s">
        <v>1855</v>
      </c>
      <c r="D166">
        <v>9</v>
      </c>
      <c r="E166" t="s">
        <v>1447</v>
      </c>
      <c r="F166" t="s">
        <v>1856</v>
      </c>
      <c r="G166" t="s">
        <v>1737</v>
      </c>
      <c r="H166" t="s">
        <v>2279</v>
      </c>
      <c r="I166" t="s">
        <v>2279</v>
      </c>
      <c r="J166" t="s">
        <v>2279</v>
      </c>
      <c r="K166" t="s">
        <v>2279</v>
      </c>
      <c r="L166" t="s">
        <v>1483</v>
      </c>
      <c r="M166" t="s">
        <v>2279</v>
      </c>
      <c r="N166" t="s">
        <v>2279</v>
      </c>
      <c r="O166" s="190" t="str">
        <f>"["&amp;$C166&amp;"]["&amp;$D166&amp;"]["&amp;$F166&amp;"]"</f>
        <v>[S05_DefaultValues][9][InstallationCategory]</v>
      </c>
    </row>
    <row r="167" spans="1:15" x14ac:dyDescent="0.3">
      <c r="A167" t="s">
        <v>2277</v>
      </c>
      <c r="B167" t="s">
        <v>1847</v>
      </c>
      <c r="C167" t="s">
        <v>1855</v>
      </c>
      <c r="D167">
        <v>10</v>
      </c>
      <c r="E167" t="s">
        <v>1447</v>
      </c>
      <c r="F167" t="s">
        <v>1856</v>
      </c>
      <c r="G167" t="s">
        <v>1737</v>
      </c>
      <c r="H167" t="s">
        <v>2279</v>
      </c>
      <c r="I167" t="s">
        <v>2279</v>
      </c>
      <c r="J167" t="s">
        <v>2279</v>
      </c>
      <c r="K167" t="s">
        <v>2279</v>
      </c>
      <c r="L167" t="s">
        <v>1483</v>
      </c>
      <c r="M167" t="s">
        <v>2279</v>
      </c>
      <c r="N167" t="s">
        <v>2279</v>
      </c>
      <c r="O167" s="190" t="str">
        <f>"["&amp;$C167&amp;"]["&amp;$D167&amp;"]["&amp;$F167&amp;"]"</f>
        <v>[S05_DefaultValues][10][InstallationCategory]</v>
      </c>
    </row>
    <row r="168" spans="1:15" x14ac:dyDescent="0.3">
      <c r="A168" t="s">
        <v>2277</v>
      </c>
      <c r="B168" t="s">
        <v>1847</v>
      </c>
      <c r="C168" t="s">
        <v>1855</v>
      </c>
      <c r="D168">
        <v>11</v>
      </c>
      <c r="E168" t="s">
        <v>1447</v>
      </c>
      <c r="F168" t="s">
        <v>1856</v>
      </c>
      <c r="G168" t="s">
        <v>1737</v>
      </c>
      <c r="H168" t="s">
        <v>2279</v>
      </c>
      <c r="I168" t="s">
        <v>2279</v>
      </c>
      <c r="J168" t="s">
        <v>2279</v>
      </c>
      <c r="K168" t="s">
        <v>2279</v>
      </c>
      <c r="L168" t="s">
        <v>1483</v>
      </c>
      <c r="M168" t="s">
        <v>2279</v>
      </c>
      <c r="N168" t="s">
        <v>2279</v>
      </c>
      <c r="O168" s="190" t="str">
        <f>"["&amp;$C168&amp;"]["&amp;$D168&amp;"]["&amp;$F168&amp;"]"</f>
        <v>[S05_DefaultValues][11][InstallationCategory]</v>
      </c>
    </row>
    <row r="169" spans="1:15" x14ac:dyDescent="0.3">
      <c r="A169" t="s">
        <v>2277</v>
      </c>
      <c r="B169" t="s">
        <v>1847</v>
      </c>
      <c r="C169" t="s">
        <v>1855</v>
      </c>
      <c r="D169">
        <v>12</v>
      </c>
      <c r="E169" t="s">
        <v>1447</v>
      </c>
      <c r="F169" t="s">
        <v>1856</v>
      </c>
      <c r="G169" t="s">
        <v>1737</v>
      </c>
      <c r="H169" t="s">
        <v>2279</v>
      </c>
      <c r="I169" t="s">
        <v>2279</v>
      </c>
      <c r="J169" t="s">
        <v>2279</v>
      </c>
      <c r="K169" t="s">
        <v>2279</v>
      </c>
      <c r="L169" t="s">
        <v>1483</v>
      </c>
      <c r="M169" t="s">
        <v>2279</v>
      </c>
      <c r="N169" t="s">
        <v>2279</v>
      </c>
      <c r="O169" s="190" t="str">
        <f>"["&amp;$C169&amp;"]["&amp;$D169&amp;"]["&amp;$F169&amp;"]"</f>
        <v>[S05_DefaultValues][12][InstallationCategory]</v>
      </c>
    </row>
    <row r="170" spans="1:15" x14ac:dyDescent="0.3">
      <c r="A170" t="s">
        <v>2277</v>
      </c>
      <c r="B170" t="s">
        <v>1847</v>
      </c>
      <c r="C170" t="s">
        <v>1855</v>
      </c>
      <c r="D170">
        <v>13</v>
      </c>
      <c r="E170" t="s">
        <v>1447</v>
      </c>
      <c r="F170" t="s">
        <v>1856</v>
      </c>
      <c r="G170" t="s">
        <v>1737</v>
      </c>
      <c r="H170" t="s">
        <v>2279</v>
      </c>
      <c r="I170" t="s">
        <v>2279</v>
      </c>
      <c r="J170" t="s">
        <v>2279</v>
      </c>
      <c r="K170" t="s">
        <v>2279</v>
      </c>
      <c r="L170" t="s">
        <v>1483</v>
      </c>
      <c r="M170" t="s">
        <v>2279</v>
      </c>
      <c r="N170" t="s">
        <v>2279</v>
      </c>
      <c r="O170" s="190" t="str">
        <f>"["&amp;$C170&amp;"]["&amp;$D170&amp;"]["&amp;$F170&amp;"]"</f>
        <v>[S05_DefaultValues][13][InstallationCategory]</v>
      </c>
    </row>
    <row r="171" spans="1:15" x14ac:dyDescent="0.3">
      <c r="A171" t="s">
        <v>2277</v>
      </c>
      <c r="B171" t="s">
        <v>1847</v>
      </c>
      <c r="C171" t="s">
        <v>1855</v>
      </c>
      <c r="D171">
        <v>1</v>
      </c>
      <c r="E171" t="s">
        <v>1447</v>
      </c>
      <c r="F171" t="s">
        <v>1857</v>
      </c>
      <c r="G171" t="s">
        <v>1741</v>
      </c>
      <c r="H171" t="s">
        <v>2321</v>
      </c>
      <c r="I171" t="s">
        <v>2279</v>
      </c>
      <c r="J171" t="s">
        <v>2279</v>
      </c>
      <c r="K171" t="s">
        <v>2279</v>
      </c>
      <c r="L171" t="s">
        <v>2279</v>
      </c>
      <c r="M171" t="s">
        <v>2279</v>
      </c>
      <c r="N171" t="s">
        <v>2279</v>
      </c>
      <c r="O171" s="190" t="str">
        <f>"["&amp;$C171&amp;"]["&amp;$D171&amp;"]["&amp;$F171&amp;"]"</f>
        <v>[S05_DefaultValues][1][FuelMaterialType]</v>
      </c>
    </row>
    <row r="172" spans="1:15" x14ac:dyDescent="0.3">
      <c r="A172" t="s">
        <v>2277</v>
      </c>
      <c r="B172" t="s">
        <v>1847</v>
      </c>
      <c r="C172" t="s">
        <v>1855</v>
      </c>
      <c r="D172">
        <v>2</v>
      </c>
      <c r="E172" t="s">
        <v>1447</v>
      </c>
      <c r="F172" t="s">
        <v>1857</v>
      </c>
      <c r="G172" t="s">
        <v>1741</v>
      </c>
      <c r="H172" t="s">
        <v>2322</v>
      </c>
      <c r="I172" t="s">
        <v>2279</v>
      </c>
      <c r="J172" t="s">
        <v>2279</v>
      </c>
      <c r="K172" t="s">
        <v>2279</v>
      </c>
      <c r="L172" t="s">
        <v>2279</v>
      </c>
      <c r="M172" t="s">
        <v>2279</v>
      </c>
      <c r="N172" t="s">
        <v>2279</v>
      </c>
      <c r="O172" s="190" t="str">
        <f>"["&amp;$C172&amp;"]["&amp;$D172&amp;"]["&amp;$F172&amp;"]"</f>
        <v>[S05_DefaultValues][2][FuelMaterialType]</v>
      </c>
    </row>
    <row r="173" spans="1:15" x14ac:dyDescent="0.3">
      <c r="A173" t="s">
        <v>2277</v>
      </c>
      <c r="B173" t="s">
        <v>1847</v>
      </c>
      <c r="C173" t="s">
        <v>1855</v>
      </c>
      <c r="D173">
        <v>3</v>
      </c>
      <c r="E173" t="s">
        <v>1447</v>
      </c>
      <c r="F173" t="s">
        <v>1857</v>
      </c>
      <c r="G173" t="s">
        <v>1741</v>
      </c>
      <c r="H173" t="s">
        <v>2323</v>
      </c>
      <c r="I173" t="s">
        <v>2279</v>
      </c>
      <c r="J173" t="s">
        <v>2279</v>
      </c>
      <c r="K173" t="s">
        <v>2279</v>
      </c>
      <c r="L173" t="s">
        <v>2279</v>
      </c>
      <c r="M173" t="s">
        <v>2279</v>
      </c>
      <c r="N173" t="s">
        <v>2279</v>
      </c>
      <c r="O173" s="190" t="str">
        <f>"["&amp;$C173&amp;"]["&amp;$D173&amp;"]["&amp;$F173&amp;"]"</f>
        <v>[S05_DefaultValues][3][FuelMaterialType]</v>
      </c>
    </row>
    <row r="174" spans="1:15" x14ac:dyDescent="0.3">
      <c r="A174" t="s">
        <v>2277</v>
      </c>
      <c r="B174" t="s">
        <v>1847</v>
      </c>
      <c r="C174" t="s">
        <v>1855</v>
      </c>
      <c r="D174">
        <v>4</v>
      </c>
      <c r="E174" t="s">
        <v>1447</v>
      </c>
      <c r="F174" t="s">
        <v>1857</v>
      </c>
      <c r="G174" t="s">
        <v>1741</v>
      </c>
      <c r="H174" t="s">
        <v>2324</v>
      </c>
      <c r="I174" t="s">
        <v>2279</v>
      </c>
      <c r="J174" t="s">
        <v>2279</v>
      </c>
      <c r="K174" t="s">
        <v>2279</v>
      </c>
      <c r="L174" t="s">
        <v>2279</v>
      </c>
      <c r="M174" t="s">
        <v>2279</v>
      </c>
      <c r="N174" t="s">
        <v>2279</v>
      </c>
      <c r="O174" s="190" t="str">
        <f>"["&amp;$C174&amp;"]["&amp;$D174&amp;"]["&amp;$F174&amp;"]"</f>
        <v>[S05_DefaultValues][4][FuelMaterialType]</v>
      </c>
    </row>
    <row r="175" spans="1:15" x14ac:dyDescent="0.3">
      <c r="A175" t="s">
        <v>2277</v>
      </c>
      <c r="B175" t="s">
        <v>1847</v>
      </c>
      <c r="C175" t="s">
        <v>1855</v>
      </c>
      <c r="D175">
        <v>5</v>
      </c>
      <c r="E175" t="s">
        <v>1447</v>
      </c>
      <c r="F175" t="s">
        <v>1857</v>
      </c>
      <c r="G175" t="s">
        <v>1741</v>
      </c>
      <c r="H175" t="s">
        <v>2325</v>
      </c>
      <c r="I175" t="s">
        <v>2279</v>
      </c>
      <c r="J175" t="s">
        <v>2279</v>
      </c>
      <c r="K175" t="s">
        <v>2279</v>
      </c>
      <c r="L175" t="s">
        <v>2279</v>
      </c>
      <c r="M175" t="s">
        <v>2279</v>
      </c>
      <c r="N175" t="s">
        <v>2279</v>
      </c>
      <c r="O175" s="190" t="str">
        <f>"["&amp;$C175&amp;"]["&amp;$D175&amp;"]["&amp;$F175&amp;"]"</f>
        <v>[S05_DefaultValues][5][FuelMaterialType]</v>
      </c>
    </row>
    <row r="176" spans="1:15" x14ac:dyDescent="0.3">
      <c r="A176" t="s">
        <v>2277</v>
      </c>
      <c r="B176" t="s">
        <v>1847</v>
      </c>
      <c r="C176" t="s">
        <v>1855</v>
      </c>
      <c r="D176">
        <v>6</v>
      </c>
      <c r="E176" t="s">
        <v>1447</v>
      </c>
      <c r="F176" t="s">
        <v>1857</v>
      </c>
      <c r="G176" t="s">
        <v>1741</v>
      </c>
      <c r="H176" t="s">
        <v>2326</v>
      </c>
      <c r="I176" t="s">
        <v>2279</v>
      </c>
      <c r="J176" t="s">
        <v>2279</v>
      </c>
      <c r="K176" t="s">
        <v>2279</v>
      </c>
      <c r="L176" t="s">
        <v>2279</v>
      </c>
      <c r="M176" t="s">
        <v>2279</v>
      </c>
      <c r="N176" t="s">
        <v>2279</v>
      </c>
      <c r="O176" s="190" t="str">
        <f>"["&amp;$C176&amp;"]["&amp;$D176&amp;"]["&amp;$F176&amp;"]"</f>
        <v>[S05_DefaultValues][6][FuelMaterialType]</v>
      </c>
    </row>
    <row r="177" spans="1:15" x14ac:dyDescent="0.3">
      <c r="A177" t="s">
        <v>2277</v>
      </c>
      <c r="B177" t="s">
        <v>1847</v>
      </c>
      <c r="C177" t="s">
        <v>1855</v>
      </c>
      <c r="D177">
        <v>7</v>
      </c>
      <c r="E177" t="s">
        <v>1447</v>
      </c>
      <c r="F177" t="s">
        <v>1857</v>
      </c>
      <c r="G177" t="s">
        <v>1741</v>
      </c>
      <c r="H177" t="s">
        <v>2324</v>
      </c>
      <c r="I177" t="s">
        <v>2279</v>
      </c>
      <c r="J177" t="s">
        <v>2279</v>
      </c>
      <c r="K177" t="s">
        <v>2279</v>
      </c>
      <c r="L177" t="s">
        <v>2279</v>
      </c>
      <c r="M177" t="s">
        <v>2279</v>
      </c>
      <c r="N177" t="s">
        <v>2279</v>
      </c>
      <c r="O177" s="190" t="str">
        <f>"["&amp;$C177&amp;"]["&amp;$D177&amp;"]["&amp;$F177&amp;"]"</f>
        <v>[S05_DefaultValues][7][FuelMaterialType]</v>
      </c>
    </row>
    <row r="178" spans="1:15" x14ac:dyDescent="0.3">
      <c r="A178" t="s">
        <v>2277</v>
      </c>
      <c r="B178" t="s">
        <v>1847</v>
      </c>
      <c r="C178" t="s">
        <v>1855</v>
      </c>
      <c r="D178">
        <v>8</v>
      </c>
      <c r="E178" t="s">
        <v>1447</v>
      </c>
      <c r="F178" t="s">
        <v>1857</v>
      </c>
      <c r="G178" t="s">
        <v>1741</v>
      </c>
      <c r="H178" t="s">
        <v>2327</v>
      </c>
      <c r="I178" t="s">
        <v>2279</v>
      </c>
      <c r="J178" t="s">
        <v>2279</v>
      </c>
      <c r="K178" t="s">
        <v>2279</v>
      </c>
      <c r="L178" t="s">
        <v>2279</v>
      </c>
      <c r="M178" t="s">
        <v>2279</v>
      </c>
      <c r="N178" t="s">
        <v>2279</v>
      </c>
      <c r="O178" s="190" t="str">
        <f>"["&amp;$C178&amp;"]["&amp;$D178&amp;"]["&amp;$F178&amp;"]"</f>
        <v>[S05_DefaultValues][8][FuelMaterialType]</v>
      </c>
    </row>
    <row r="179" spans="1:15" x14ac:dyDescent="0.3">
      <c r="A179" t="s">
        <v>2277</v>
      </c>
      <c r="B179" t="s">
        <v>1847</v>
      </c>
      <c r="C179" t="s">
        <v>1855</v>
      </c>
      <c r="D179">
        <v>9</v>
      </c>
      <c r="E179" t="s">
        <v>1447</v>
      </c>
      <c r="F179" t="s">
        <v>1857</v>
      </c>
      <c r="G179" t="s">
        <v>1741</v>
      </c>
      <c r="H179" t="s">
        <v>2328</v>
      </c>
      <c r="I179" t="s">
        <v>2279</v>
      </c>
      <c r="J179" t="s">
        <v>2279</v>
      </c>
      <c r="K179" t="s">
        <v>2279</v>
      </c>
      <c r="L179" t="s">
        <v>2279</v>
      </c>
      <c r="M179" t="s">
        <v>2279</v>
      </c>
      <c r="N179" t="s">
        <v>2279</v>
      </c>
      <c r="O179" s="190" t="str">
        <f>"["&amp;$C179&amp;"]["&amp;$D179&amp;"]["&amp;$F179&amp;"]"</f>
        <v>[S05_DefaultValues][9][FuelMaterialType]</v>
      </c>
    </row>
    <row r="180" spans="1:15" x14ac:dyDescent="0.3">
      <c r="A180" t="s">
        <v>2277</v>
      </c>
      <c r="B180" t="s">
        <v>1847</v>
      </c>
      <c r="C180" t="s">
        <v>1855</v>
      </c>
      <c r="D180">
        <v>10</v>
      </c>
      <c r="E180" t="s">
        <v>1447</v>
      </c>
      <c r="F180" t="s">
        <v>1857</v>
      </c>
      <c r="G180" t="s">
        <v>1741</v>
      </c>
      <c r="H180" t="s">
        <v>2329</v>
      </c>
      <c r="I180" t="s">
        <v>2279</v>
      </c>
      <c r="J180" t="s">
        <v>2279</v>
      </c>
      <c r="K180" t="s">
        <v>2279</v>
      </c>
      <c r="L180" t="s">
        <v>2279</v>
      </c>
      <c r="M180" t="s">
        <v>2279</v>
      </c>
      <c r="N180" t="s">
        <v>2279</v>
      </c>
      <c r="O180" s="190" t="str">
        <f>"["&amp;$C180&amp;"]["&amp;$D180&amp;"]["&amp;$F180&amp;"]"</f>
        <v>[S05_DefaultValues][10][FuelMaterialType]</v>
      </c>
    </row>
    <row r="181" spans="1:15" x14ac:dyDescent="0.3">
      <c r="A181" t="s">
        <v>2277</v>
      </c>
      <c r="B181" t="s">
        <v>1847</v>
      </c>
      <c r="C181" t="s">
        <v>1855</v>
      </c>
      <c r="D181">
        <v>11</v>
      </c>
      <c r="E181" t="s">
        <v>1447</v>
      </c>
      <c r="F181" t="s">
        <v>1857</v>
      </c>
      <c r="G181" t="s">
        <v>1741</v>
      </c>
      <c r="H181" t="s">
        <v>2330</v>
      </c>
      <c r="I181" t="s">
        <v>2279</v>
      </c>
      <c r="J181" t="s">
        <v>2279</v>
      </c>
      <c r="K181" t="s">
        <v>2279</v>
      </c>
      <c r="L181" t="s">
        <v>2279</v>
      </c>
      <c r="M181" t="s">
        <v>2279</v>
      </c>
      <c r="N181" t="s">
        <v>2279</v>
      </c>
      <c r="O181" s="190" t="str">
        <f>"["&amp;$C181&amp;"]["&amp;$D181&amp;"]["&amp;$F181&amp;"]"</f>
        <v>[S05_DefaultValues][11][FuelMaterialType]</v>
      </c>
    </row>
    <row r="182" spans="1:15" x14ac:dyDescent="0.3">
      <c r="A182" t="s">
        <v>2277</v>
      </c>
      <c r="B182" t="s">
        <v>1847</v>
      </c>
      <c r="C182" t="s">
        <v>1855</v>
      </c>
      <c r="D182">
        <v>12</v>
      </c>
      <c r="E182" t="s">
        <v>1447</v>
      </c>
      <c r="F182" t="s">
        <v>1857</v>
      </c>
      <c r="G182" t="s">
        <v>1741</v>
      </c>
      <c r="H182" t="s">
        <v>2331</v>
      </c>
      <c r="I182" t="s">
        <v>2279</v>
      </c>
      <c r="J182" t="s">
        <v>2279</v>
      </c>
      <c r="K182" t="s">
        <v>2279</v>
      </c>
      <c r="L182" t="s">
        <v>2279</v>
      </c>
      <c r="M182" t="s">
        <v>2279</v>
      </c>
      <c r="N182" t="s">
        <v>2279</v>
      </c>
      <c r="O182" s="190" t="str">
        <f>"["&amp;$C182&amp;"]["&amp;$D182&amp;"]["&amp;$F182&amp;"]"</f>
        <v>[S05_DefaultValues][12][FuelMaterialType]</v>
      </c>
    </row>
    <row r="183" spans="1:15" x14ac:dyDescent="0.3">
      <c r="A183" t="s">
        <v>2277</v>
      </c>
      <c r="B183" t="s">
        <v>1847</v>
      </c>
      <c r="C183" t="s">
        <v>1855</v>
      </c>
      <c r="D183">
        <v>13</v>
      </c>
      <c r="E183" t="s">
        <v>1447</v>
      </c>
      <c r="F183" t="s">
        <v>1857</v>
      </c>
      <c r="G183" t="s">
        <v>1741</v>
      </c>
      <c r="H183" t="s">
        <v>2332</v>
      </c>
      <c r="I183" t="s">
        <v>2279</v>
      </c>
      <c r="J183" t="s">
        <v>2279</v>
      </c>
      <c r="K183" t="s">
        <v>2279</v>
      </c>
      <c r="L183" t="s">
        <v>2279</v>
      </c>
      <c r="M183" t="s">
        <v>2279</v>
      </c>
      <c r="N183" t="s">
        <v>2279</v>
      </c>
      <c r="O183" s="190" t="str">
        <f>"["&amp;$C183&amp;"]["&amp;$D183&amp;"]["&amp;$F183&amp;"]"</f>
        <v>[S05_DefaultValues][13][FuelMaterialType]</v>
      </c>
    </row>
    <row r="184" spans="1:15" x14ac:dyDescent="0.3">
      <c r="A184" t="s">
        <v>2277</v>
      </c>
      <c r="B184" t="s">
        <v>1847</v>
      </c>
      <c r="C184" t="s">
        <v>1855</v>
      </c>
      <c r="D184">
        <v>1</v>
      </c>
      <c r="E184" t="s">
        <v>1447</v>
      </c>
      <c r="F184" t="s">
        <v>1858</v>
      </c>
      <c r="G184" t="s">
        <v>1748</v>
      </c>
      <c r="H184" t="s">
        <v>2279</v>
      </c>
      <c r="I184">
        <v>1</v>
      </c>
      <c r="J184" t="s">
        <v>2279</v>
      </c>
      <c r="K184" t="s">
        <v>2279</v>
      </c>
      <c r="L184" t="s">
        <v>2279</v>
      </c>
      <c r="M184" t="s">
        <v>2279</v>
      </c>
      <c r="N184" t="s">
        <v>2279</v>
      </c>
      <c r="O184" s="190" t="str">
        <f>"["&amp;$C184&amp;"]["&amp;$D184&amp;"]["&amp;$F184&amp;"]"</f>
        <v>[S05_DefaultValues][1][InstallationNumber]</v>
      </c>
    </row>
    <row r="185" spans="1:15" x14ac:dyDescent="0.3">
      <c r="A185" t="s">
        <v>2277</v>
      </c>
      <c r="B185" t="s">
        <v>1847</v>
      </c>
      <c r="C185" t="s">
        <v>1855</v>
      </c>
      <c r="D185">
        <v>2</v>
      </c>
      <c r="E185" t="s">
        <v>1447</v>
      </c>
      <c r="F185" t="s">
        <v>1858</v>
      </c>
      <c r="G185" t="s">
        <v>1748</v>
      </c>
      <c r="H185" t="s">
        <v>2279</v>
      </c>
      <c r="I185">
        <v>1</v>
      </c>
      <c r="J185" t="s">
        <v>2279</v>
      </c>
      <c r="K185" t="s">
        <v>2279</v>
      </c>
      <c r="L185" t="s">
        <v>2279</v>
      </c>
      <c r="M185" t="s">
        <v>2279</v>
      </c>
      <c r="N185" t="s">
        <v>2279</v>
      </c>
      <c r="O185" s="190" t="str">
        <f>"["&amp;$C185&amp;"]["&amp;$D185&amp;"]["&amp;$F185&amp;"]"</f>
        <v>[S05_DefaultValues][2][InstallationNumber]</v>
      </c>
    </row>
    <row r="186" spans="1:15" x14ac:dyDescent="0.3">
      <c r="A186" t="s">
        <v>2277</v>
      </c>
      <c r="B186" t="s">
        <v>1847</v>
      </c>
      <c r="C186" t="s">
        <v>1855</v>
      </c>
      <c r="D186">
        <v>3</v>
      </c>
      <c r="E186" t="s">
        <v>1447</v>
      </c>
      <c r="F186" t="s">
        <v>1858</v>
      </c>
      <c r="G186" t="s">
        <v>1748</v>
      </c>
      <c r="H186" t="s">
        <v>2279</v>
      </c>
      <c r="I186">
        <v>1</v>
      </c>
      <c r="J186" t="s">
        <v>2279</v>
      </c>
      <c r="K186" t="s">
        <v>2279</v>
      </c>
      <c r="L186" t="s">
        <v>2279</v>
      </c>
      <c r="M186" t="s">
        <v>2279</v>
      </c>
      <c r="N186" t="s">
        <v>2279</v>
      </c>
      <c r="O186" s="190" t="str">
        <f>"["&amp;$C186&amp;"]["&amp;$D186&amp;"]["&amp;$F186&amp;"]"</f>
        <v>[S05_DefaultValues][3][InstallationNumber]</v>
      </c>
    </row>
    <row r="187" spans="1:15" x14ac:dyDescent="0.3">
      <c r="A187" t="s">
        <v>2277</v>
      </c>
      <c r="B187" t="s">
        <v>1847</v>
      </c>
      <c r="C187" t="s">
        <v>1855</v>
      </c>
      <c r="D187">
        <v>4</v>
      </c>
      <c r="E187" t="s">
        <v>1447</v>
      </c>
      <c r="F187" t="s">
        <v>1858</v>
      </c>
      <c r="G187" t="s">
        <v>1748</v>
      </c>
      <c r="H187" t="s">
        <v>2279</v>
      </c>
      <c r="I187">
        <v>2</v>
      </c>
      <c r="J187" t="s">
        <v>2279</v>
      </c>
      <c r="K187" t="s">
        <v>2279</v>
      </c>
      <c r="L187" t="s">
        <v>2279</v>
      </c>
      <c r="M187" t="s">
        <v>2279</v>
      </c>
      <c r="N187" t="s">
        <v>2279</v>
      </c>
      <c r="O187" s="190" t="str">
        <f>"["&amp;$C187&amp;"]["&amp;$D187&amp;"]["&amp;$F187&amp;"]"</f>
        <v>[S05_DefaultValues][4][InstallationNumber]</v>
      </c>
    </row>
    <row r="188" spans="1:15" x14ac:dyDescent="0.3">
      <c r="A188" t="s">
        <v>2277</v>
      </c>
      <c r="B188" t="s">
        <v>1847</v>
      </c>
      <c r="C188" t="s">
        <v>1855</v>
      </c>
      <c r="D188">
        <v>5</v>
      </c>
      <c r="E188" t="s">
        <v>1447</v>
      </c>
      <c r="F188" t="s">
        <v>1858</v>
      </c>
      <c r="G188" t="s">
        <v>1748</v>
      </c>
      <c r="H188" t="s">
        <v>2279</v>
      </c>
      <c r="I188">
        <v>1</v>
      </c>
      <c r="J188" t="s">
        <v>2279</v>
      </c>
      <c r="K188" t="s">
        <v>2279</v>
      </c>
      <c r="L188" t="s">
        <v>2279</v>
      </c>
      <c r="M188" t="s">
        <v>2279</v>
      </c>
      <c r="N188" t="s">
        <v>2279</v>
      </c>
      <c r="O188" s="190" t="str">
        <f>"["&amp;$C188&amp;"]["&amp;$D188&amp;"]["&amp;$F188&amp;"]"</f>
        <v>[S05_DefaultValues][5][InstallationNumber]</v>
      </c>
    </row>
    <row r="189" spans="1:15" x14ac:dyDescent="0.3">
      <c r="A189" t="s">
        <v>2277</v>
      </c>
      <c r="B189" t="s">
        <v>1847</v>
      </c>
      <c r="C189" t="s">
        <v>1855</v>
      </c>
      <c r="D189">
        <v>6</v>
      </c>
      <c r="E189" t="s">
        <v>1447</v>
      </c>
      <c r="F189" t="s">
        <v>1858</v>
      </c>
      <c r="G189" t="s">
        <v>1748</v>
      </c>
      <c r="H189" t="s">
        <v>2279</v>
      </c>
      <c r="I189">
        <v>1</v>
      </c>
      <c r="J189" t="s">
        <v>2279</v>
      </c>
      <c r="K189" t="s">
        <v>2279</v>
      </c>
      <c r="L189" t="s">
        <v>2279</v>
      </c>
      <c r="M189" t="s">
        <v>2279</v>
      </c>
      <c r="N189" t="s">
        <v>2279</v>
      </c>
      <c r="O189" s="190" t="str">
        <f>"["&amp;$C189&amp;"]["&amp;$D189&amp;"]["&amp;$F189&amp;"]"</f>
        <v>[S05_DefaultValues][6][InstallationNumber]</v>
      </c>
    </row>
    <row r="190" spans="1:15" x14ac:dyDescent="0.3">
      <c r="A190" t="s">
        <v>2277</v>
      </c>
      <c r="B190" t="s">
        <v>1847</v>
      </c>
      <c r="C190" t="s">
        <v>1855</v>
      </c>
      <c r="D190">
        <v>7</v>
      </c>
      <c r="E190" t="s">
        <v>1447</v>
      </c>
      <c r="F190" t="s">
        <v>1858</v>
      </c>
      <c r="G190" t="s">
        <v>1748</v>
      </c>
      <c r="H190" t="s">
        <v>2279</v>
      </c>
      <c r="I190">
        <v>3</v>
      </c>
      <c r="J190" t="s">
        <v>2279</v>
      </c>
      <c r="K190" t="s">
        <v>2279</v>
      </c>
      <c r="L190" t="s">
        <v>2279</v>
      </c>
      <c r="M190" t="s">
        <v>2279</v>
      </c>
      <c r="N190" t="s">
        <v>2279</v>
      </c>
      <c r="O190" s="190" t="str">
        <f>"["&amp;$C190&amp;"]["&amp;$D190&amp;"]["&amp;$F190&amp;"]"</f>
        <v>[S05_DefaultValues][7][InstallationNumber]</v>
      </c>
    </row>
    <row r="191" spans="1:15" x14ac:dyDescent="0.3">
      <c r="A191" t="s">
        <v>2277</v>
      </c>
      <c r="B191" t="s">
        <v>1847</v>
      </c>
      <c r="C191" t="s">
        <v>1855</v>
      </c>
      <c r="D191">
        <v>8</v>
      </c>
      <c r="E191" t="s">
        <v>1447</v>
      </c>
      <c r="F191" t="s">
        <v>1858</v>
      </c>
      <c r="G191" t="s">
        <v>1748</v>
      </c>
      <c r="H191" t="s">
        <v>2279</v>
      </c>
      <c r="I191">
        <v>2</v>
      </c>
      <c r="J191" t="s">
        <v>2279</v>
      </c>
      <c r="K191" t="s">
        <v>2279</v>
      </c>
      <c r="L191" t="s">
        <v>2279</v>
      </c>
      <c r="M191" t="s">
        <v>2279</v>
      </c>
      <c r="N191" t="s">
        <v>2279</v>
      </c>
      <c r="O191" s="190" t="str">
        <f>"["&amp;$C191&amp;"]["&amp;$D191&amp;"]["&amp;$F191&amp;"]"</f>
        <v>[S05_DefaultValues][8][InstallationNumber]</v>
      </c>
    </row>
    <row r="192" spans="1:15" x14ac:dyDescent="0.3">
      <c r="A192" t="s">
        <v>2277</v>
      </c>
      <c r="B192" t="s">
        <v>1847</v>
      </c>
      <c r="C192" t="s">
        <v>1855</v>
      </c>
      <c r="D192">
        <v>9</v>
      </c>
      <c r="E192" t="s">
        <v>1447</v>
      </c>
      <c r="F192" t="s">
        <v>1858</v>
      </c>
      <c r="G192" t="s">
        <v>1748</v>
      </c>
      <c r="H192" t="s">
        <v>2279</v>
      </c>
      <c r="I192">
        <v>1</v>
      </c>
      <c r="J192" t="s">
        <v>2279</v>
      </c>
      <c r="K192" t="s">
        <v>2279</v>
      </c>
      <c r="L192" t="s">
        <v>2279</v>
      </c>
      <c r="M192" t="s">
        <v>2279</v>
      </c>
      <c r="N192" t="s">
        <v>2279</v>
      </c>
      <c r="O192" s="190" t="str">
        <f>"["&amp;$C192&amp;"]["&amp;$D192&amp;"]["&amp;$F192&amp;"]"</f>
        <v>[S05_DefaultValues][9][InstallationNumber]</v>
      </c>
    </row>
    <row r="193" spans="1:15" x14ac:dyDescent="0.3">
      <c r="A193" t="s">
        <v>2277</v>
      </c>
      <c r="B193" t="s">
        <v>1847</v>
      </c>
      <c r="C193" t="s">
        <v>1855</v>
      </c>
      <c r="D193">
        <v>10</v>
      </c>
      <c r="E193" t="s">
        <v>1447</v>
      </c>
      <c r="F193" t="s">
        <v>1858</v>
      </c>
      <c r="G193" t="s">
        <v>1748</v>
      </c>
      <c r="H193" t="s">
        <v>2279</v>
      </c>
      <c r="I193">
        <v>1</v>
      </c>
      <c r="J193" t="s">
        <v>2279</v>
      </c>
      <c r="K193" t="s">
        <v>2279</v>
      </c>
      <c r="L193" t="s">
        <v>2279</v>
      </c>
      <c r="M193" t="s">
        <v>2279</v>
      </c>
      <c r="N193" t="s">
        <v>2279</v>
      </c>
      <c r="O193" s="190" t="str">
        <f>"["&amp;$C193&amp;"]["&amp;$D193&amp;"]["&amp;$F193&amp;"]"</f>
        <v>[S05_DefaultValues][10][InstallationNumber]</v>
      </c>
    </row>
    <row r="194" spans="1:15" x14ac:dyDescent="0.3">
      <c r="A194" t="s">
        <v>2277</v>
      </c>
      <c r="B194" t="s">
        <v>1847</v>
      </c>
      <c r="C194" t="s">
        <v>1855</v>
      </c>
      <c r="D194">
        <v>11</v>
      </c>
      <c r="E194" t="s">
        <v>1447</v>
      </c>
      <c r="F194" t="s">
        <v>1858</v>
      </c>
      <c r="G194" t="s">
        <v>1748</v>
      </c>
      <c r="H194" t="s">
        <v>2279</v>
      </c>
      <c r="I194">
        <v>2</v>
      </c>
      <c r="J194" t="s">
        <v>2279</v>
      </c>
      <c r="K194" t="s">
        <v>2279</v>
      </c>
      <c r="L194" t="s">
        <v>2279</v>
      </c>
      <c r="M194" t="s">
        <v>2279</v>
      </c>
      <c r="N194" t="s">
        <v>2279</v>
      </c>
      <c r="O194" s="190" t="str">
        <f>"["&amp;$C194&amp;"]["&amp;$D194&amp;"]["&amp;$F194&amp;"]"</f>
        <v>[S05_DefaultValues][11][InstallationNumber]</v>
      </c>
    </row>
    <row r="195" spans="1:15" x14ac:dyDescent="0.3">
      <c r="A195" t="s">
        <v>2277</v>
      </c>
      <c r="B195" t="s">
        <v>1847</v>
      </c>
      <c r="C195" t="s">
        <v>1855</v>
      </c>
      <c r="D195">
        <v>12</v>
      </c>
      <c r="E195" t="s">
        <v>1447</v>
      </c>
      <c r="F195" t="s">
        <v>1858</v>
      </c>
      <c r="G195" t="s">
        <v>1748</v>
      </c>
      <c r="H195" t="s">
        <v>2279</v>
      </c>
      <c r="I195">
        <v>1</v>
      </c>
      <c r="J195" t="s">
        <v>2279</v>
      </c>
      <c r="K195" t="s">
        <v>2279</v>
      </c>
      <c r="L195" t="s">
        <v>2279</v>
      </c>
      <c r="M195" t="s">
        <v>2279</v>
      </c>
      <c r="N195" t="s">
        <v>2279</v>
      </c>
      <c r="O195" s="190" t="str">
        <f>"["&amp;$C195&amp;"]["&amp;$D195&amp;"]["&amp;$F195&amp;"]"</f>
        <v>[S05_DefaultValues][12][InstallationNumber]</v>
      </c>
    </row>
    <row r="196" spans="1:15" x14ac:dyDescent="0.3">
      <c r="A196" t="s">
        <v>2277</v>
      </c>
      <c r="B196" t="s">
        <v>1847</v>
      </c>
      <c r="C196" t="s">
        <v>1855</v>
      </c>
      <c r="D196">
        <v>13</v>
      </c>
      <c r="E196" t="s">
        <v>1447</v>
      </c>
      <c r="F196" t="s">
        <v>1858</v>
      </c>
      <c r="G196" t="s">
        <v>1748</v>
      </c>
      <c r="H196" t="s">
        <v>2279</v>
      </c>
      <c r="I196">
        <v>1</v>
      </c>
      <c r="J196" t="s">
        <v>2279</v>
      </c>
      <c r="K196" t="s">
        <v>2279</v>
      </c>
      <c r="L196" t="s">
        <v>2279</v>
      </c>
      <c r="M196" t="s">
        <v>2279</v>
      </c>
      <c r="N196" t="s">
        <v>2279</v>
      </c>
      <c r="O196" s="190" t="str">
        <f>"["&amp;$C196&amp;"]["&amp;$D196&amp;"]["&amp;$F196&amp;"]"</f>
        <v>[S05_DefaultValues][13][InstallationNumber]</v>
      </c>
    </row>
    <row r="197" spans="1:15" x14ac:dyDescent="0.3">
      <c r="A197" t="s">
        <v>2277</v>
      </c>
      <c r="B197" t="s">
        <v>1874</v>
      </c>
      <c r="C197" t="s">
        <v>1875</v>
      </c>
      <c r="D197">
        <v>1</v>
      </c>
      <c r="E197" t="s">
        <v>1447</v>
      </c>
      <c r="F197" t="s">
        <v>1878</v>
      </c>
      <c r="G197" t="s">
        <v>1748</v>
      </c>
      <c r="H197" t="s">
        <v>2279</v>
      </c>
      <c r="I197">
        <v>0</v>
      </c>
      <c r="J197" t="s">
        <v>2279</v>
      </c>
      <c r="K197" t="s">
        <v>2279</v>
      </c>
      <c r="L197" t="s">
        <v>2279</v>
      </c>
      <c r="M197" t="s">
        <v>2279</v>
      </c>
      <c r="N197" t="s">
        <v>2279</v>
      </c>
      <c r="O197" s="190" t="str">
        <f>"["&amp;$C197&amp;"]["&amp;$D197&amp;"]["&amp;$F197&amp;"]"</f>
        <v>[S05_CategoryBHighestTierNotApplied][1][CategoryBInstallationsAffected]</v>
      </c>
    </row>
    <row r="198" spans="1:15" x14ac:dyDescent="0.3">
      <c r="A198" t="s">
        <v>2277</v>
      </c>
      <c r="B198" t="s">
        <v>1879</v>
      </c>
      <c r="C198" t="s">
        <v>1880</v>
      </c>
      <c r="D198">
        <v>0</v>
      </c>
      <c r="E198" t="s">
        <v>1447</v>
      </c>
      <c r="F198" t="s">
        <v>1880</v>
      </c>
      <c r="G198" t="s">
        <v>1759</v>
      </c>
      <c r="H198" t="s">
        <v>2279</v>
      </c>
      <c r="I198" t="s">
        <v>2279</v>
      </c>
      <c r="J198" t="s">
        <v>2279</v>
      </c>
      <c r="K198" t="s">
        <v>2279</v>
      </c>
      <c r="L198" t="s">
        <v>1447</v>
      </c>
      <c r="M198" t="s">
        <v>2279</v>
      </c>
      <c r="N198" t="s">
        <v>2279</v>
      </c>
      <c r="O198" s="190" t="str">
        <f>"["&amp;$C198&amp;"]["&amp;$D198&amp;"]["&amp;$F198&amp;"]"</f>
        <v>[FallBackApproachApplied][0][FallBackApproachApplied]</v>
      </c>
    </row>
    <row r="199" spans="1:15" x14ac:dyDescent="0.3">
      <c r="A199" t="s">
        <v>2277</v>
      </c>
      <c r="B199" t="s">
        <v>1886</v>
      </c>
      <c r="C199" t="s">
        <v>1887</v>
      </c>
      <c r="D199">
        <v>1</v>
      </c>
      <c r="E199" t="s">
        <v>1447</v>
      </c>
      <c r="F199" t="s">
        <v>1856</v>
      </c>
      <c r="G199" t="s">
        <v>1737</v>
      </c>
      <c r="H199" t="s">
        <v>2279</v>
      </c>
      <c r="I199" t="s">
        <v>2279</v>
      </c>
      <c r="J199" t="s">
        <v>2279</v>
      </c>
      <c r="K199" t="s">
        <v>2279</v>
      </c>
      <c r="L199" t="s">
        <v>1432</v>
      </c>
      <c r="M199" t="s">
        <v>2279</v>
      </c>
      <c r="N199" t="s">
        <v>2279</v>
      </c>
      <c r="O199" s="190" t="str">
        <f>"["&amp;$C199&amp;"]["&amp;$D199&amp;"]["&amp;$F199&amp;"]"</f>
        <v>[S05_ImprovementReportArt69][1][InstallationCategory]</v>
      </c>
    </row>
    <row r="200" spans="1:15" x14ac:dyDescent="0.3">
      <c r="A200" t="s">
        <v>2277</v>
      </c>
      <c r="B200" t="s">
        <v>1886</v>
      </c>
      <c r="C200" t="s">
        <v>1887</v>
      </c>
      <c r="D200">
        <v>2</v>
      </c>
      <c r="E200" t="s">
        <v>1447</v>
      </c>
      <c r="F200" t="s">
        <v>1856</v>
      </c>
      <c r="G200" t="s">
        <v>1737</v>
      </c>
      <c r="H200" t="s">
        <v>2279</v>
      </c>
      <c r="I200" t="s">
        <v>2279</v>
      </c>
      <c r="J200" t="s">
        <v>2279</v>
      </c>
      <c r="K200" t="s">
        <v>2279</v>
      </c>
      <c r="L200" t="s">
        <v>1487</v>
      </c>
      <c r="M200" t="s">
        <v>2279</v>
      </c>
      <c r="N200" t="s">
        <v>2279</v>
      </c>
      <c r="O200" s="190" t="str">
        <f>"["&amp;$C200&amp;"]["&amp;$D200&amp;"]["&amp;$F200&amp;"]"</f>
        <v>[S05_ImprovementReportArt69][2][InstallationCategory]</v>
      </c>
    </row>
    <row r="201" spans="1:15" x14ac:dyDescent="0.3">
      <c r="A201" t="s">
        <v>2277</v>
      </c>
      <c r="B201" t="s">
        <v>1886</v>
      </c>
      <c r="C201" t="s">
        <v>1887</v>
      </c>
      <c r="D201">
        <v>3</v>
      </c>
      <c r="E201" t="s">
        <v>1447</v>
      </c>
      <c r="F201" t="s">
        <v>1856</v>
      </c>
      <c r="G201" t="s">
        <v>1737</v>
      </c>
      <c r="H201" t="s">
        <v>2279</v>
      </c>
      <c r="I201" t="s">
        <v>2279</v>
      </c>
      <c r="J201" t="s">
        <v>2279</v>
      </c>
      <c r="K201" t="s">
        <v>2279</v>
      </c>
      <c r="L201" t="s">
        <v>1432</v>
      </c>
      <c r="M201" t="s">
        <v>2279</v>
      </c>
      <c r="N201" t="s">
        <v>2279</v>
      </c>
      <c r="O201" s="190" t="str">
        <f>"["&amp;$C201&amp;"]["&amp;$D201&amp;"]["&amp;$F201&amp;"]"</f>
        <v>[S05_ImprovementReportArt69][3][InstallationCategory]</v>
      </c>
    </row>
    <row r="202" spans="1:15" x14ac:dyDescent="0.3">
      <c r="A202" t="s">
        <v>2277</v>
      </c>
      <c r="B202" t="s">
        <v>1886</v>
      </c>
      <c r="C202" t="s">
        <v>1887</v>
      </c>
      <c r="D202">
        <v>4</v>
      </c>
      <c r="E202" t="s">
        <v>1447</v>
      </c>
      <c r="F202" t="s">
        <v>1856</v>
      </c>
      <c r="G202" t="s">
        <v>1737</v>
      </c>
      <c r="H202" t="s">
        <v>2279</v>
      </c>
      <c r="I202" t="s">
        <v>2279</v>
      </c>
      <c r="J202" t="s">
        <v>2279</v>
      </c>
      <c r="K202" t="s">
        <v>2279</v>
      </c>
      <c r="L202" t="s">
        <v>1487</v>
      </c>
      <c r="M202" t="s">
        <v>2279</v>
      </c>
      <c r="N202" t="s">
        <v>2279</v>
      </c>
      <c r="O202" s="190" t="str">
        <f>"["&amp;$C202&amp;"]["&amp;$D202&amp;"]["&amp;$F202&amp;"]"</f>
        <v>[S05_ImprovementReportArt69][4][InstallationCategory]</v>
      </c>
    </row>
    <row r="203" spans="1:15" x14ac:dyDescent="0.3">
      <c r="A203" t="s">
        <v>2277</v>
      </c>
      <c r="B203" t="s">
        <v>1886</v>
      </c>
      <c r="C203" t="s">
        <v>1887</v>
      </c>
      <c r="D203">
        <v>5</v>
      </c>
      <c r="E203" t="s">
        <v>1447</v>
      </c>
      <c r="F203" t="s">
        <v>1856</v>
      </c>
      <c r="G203" t="s">
        <v>1737</v>
      </c>
      <c r="H203" t="s">
        <v>2279</v>
      </c>
      <c r="I203" t="s">
        <v>2279</v>
      </c>
      <c r="J203" t="s">
        <v>2279</v>
      </c>
      <c r="K203" t="s">
        <v>2279</v>
      </c>
      <c r="L203" t="s">
        <v>1432</v>
      </c>
      <c r="M203" t="s">
        <v>2279</v>
      </c>
      <c r="N203" t="s">
        <v>2279</v>
      </c>
      <c r="O203" s="190" t="str">
        <f>"["&amp;$C203&amp;"]["&amp;$D203&amp;"]["&amp;$F203&amp;"]"</f>
        <v>[S05_ImprovementReportArt69][5][InstallationCategory]</v>
      </c>
    </row>
    <row r="204" spans="1:15" x14ac:dyDescent="0.3">
      <c r="A204" t="s">
        <v>2277</v>
      </c>
      <c r="B204" t="s">
        <v>1886</v>
      </c>
      <c r="C204" t="s">
        <v>1887</v>
      </c>
      <c r="D204">
        <v>6</v>
      </c>
      <c r="E204" t="s">
        <v>1447</v>
      </c>
      <c r="F204" t="s">
        <v>1856</v>
      </c>
      <c r="G204" t="s">
        <v>1737</v>
      </c>
      <c r="H204" t="s">
        <v>2279</v>
      </c>
      <c r="I204" t="s">
        <v>2279</v>
      </c>
      <c r="J204" t="s">
        <v>2279</v>
      </c>
      <c r="K204" t="s">
        <v>2279</v>
      </c>
      <c r="L204" t="s">
        <v>1487</v>
      </c>
      <c r="M204" t="s">
        <v>2279</v>
      </c>
      <c r="N204" t="s">
        <v>2279</v>
      </c>
      <c r="O204" s="190" t="str">
        <f>"["&amp;$C204&amp;"]["&amp;$D204&amp;"]["&amp;$F204&amp;"]"</f>
        <v>[S05_ImprovementReportArt69][6][InstallationCategory]</v>
      </c>
    </row>
    <row r="205" spans="1:15" x14ac:dyDescent="0.3">
      <c r="A205" t="s">
        <v>2277</v>
      </c>
      <c r="B205" t="s">
        <v>1886</v>
      </c>
      <c r="C205" t="s">
        <v>1887</v>
      </c>
      <c r="D205">
        <v>1</v>
      </c>
      <c r="E205" t="s">
        <v>1447</v>
      </c>
      <c r="F205" t="s">
        <v>1888</v>
      </c>
      <c r="G205" t="s">
        <v>1737</v>
      </c>
      <c r="H205" t="s">
        <v>2279</v>
      </c>
      <c r="I205" t="s">
        <v>2279</v>
      </c>
      <c r="J205" t="s">
        <v>2279</v>
      </c>
      <c r="K205" t="s">
        <v>2279</v>
      </c>
      <c r="L205" t="s">
        <v>1420</v>
      </c>
      <c r="M205" t="s">
        <v>2279</v>
      </c>
      <c r="N205" t="s">
        <v>2279</v>
      </c>
      <c r="O205" s="190" t="str">
        <f>"["&amp;$C205&amp;"]["&amp;$D205&amp;"]["&amp;$F205&amp;"]"</f>
        <v>[S05_ImprovementReportArt69][1][Annex1Activity]</v>
      </c>
    </row>
    <row r="206" spans="1:15" x14ac:dyDescent="0.3">
      <c r="A206" t="s">
        <v>2277</v>
      </c>
      <c r="B206" t="s">
        <v>1886</v>
      </c>
      <c r="C206" t="s">
        <v>1887</v>
      </c>
      <c r="D206">
        <v>2</v>
      </c>
      <c r="E206" t="s">
        <v>1447</v>
      </c>
      <c r="F206" t="s">
        <v>1888</v>
      </c>
      <c r="G206" t="s">
        <v>1737</v>
      </c>
      <c r="H206" t="s">
        <v>2279</v>
      </c>
      <c r="I206" t="s">
        <v>2279</v>
      </c>
      <c r="J206" t="s">
        <v>2279</v>
      </c>
      <c r="K206" t="s">
        <v>2279</v>
      </c>
      <c r="L206" t="s">
        <v>1420</v>
      </c>
      <c r="M206" t="s">
        <v>2279</v>
      </c>
      <c r="N206" t="s">
        <v>2279</v>
      </c>
      <c r="O206" s="190" t="str">
        <f>"["&amp;$C206&amp;"]["&amp;$D206&amp;"]["&amp;$F206&amp;"]"</f>
        <v>[S05_ImprovementReportArt69][2][Annex1Activity]</v>
      </c>
    </row>
    <row r="207" spans="1:15" x14ac:dyDescent="0.3">
      <c r="A207" t="s">
        <v>2277</v>
      </c>
      <c r="B207" t="s">
        <v>1886</v>
      </c>
      <c r="C207" t="s">
        <v>1887</v>
      </c>
      <c r="D207">
        <v>3</v>
      </c>
      <c r="E207" t="s">
        <v>1447</v>
      </c>
      <c r="F207" t="s">
        <v>1888</v>
      </c>
      <c r="G207" t="s">
        <v>1737</v>
      </c>
      <c r="H207" t="s">
        <v>2279</v>
      </c>
      <c r="I207" t="s">
        <v>2279</v>
      </c>
      <c r="J207" t="s">
        <v>2279</v>
      </c>
      <c r="K207" t="s">
        <v>2279</v>
      </c>
      <c r="L207" t="s">
        <v>1420</v>
      </c>
      <c r="M207" t="s">
        <v>2279</v>
      </c>
      <c r="N207" t="s">
        <v>2279</v>
      </c>
      <c r="O207" s="190" t="str">
        <f>"["&amp;$C207&amp;"]["&amp;$D207&amp;"]["&amp;$F207&amp;"]"</f>
        <v>[S05_ImprovementReportArt69][3][Annex1Activity]</v>
      </c>
    </row>
    <row r="208" spans="1:15" x14ac:dyDescent="0.3">
      <c r="A208" t="s">
        <v>2277</v>
      </c>
      <c r="B208" t="s">
        <v>1886</v>
      </c>
      <c r="C208" t="s">
        <v>1887</v>
      </c>
      <c r="D208">
        <v>4</v>
      </c>
      <c r="E208" t="s">
        <v>1447</v>
      </c>
      <c r="F208" t="s">
        <v>1888</v>
      </c>
      <c r="G208" t="s">
        <v>1737</v>
      </c>
      <c r="H208" t="s">
        <v>2279</v>
      </c>
      <c r="I208" t="s">
        <v>2279</v>
      </c>
      <c r="J208" t="s">
        <v>2279</v>
      </c>
      <c r="K208" t="s">
        <v>2279</v>
      </c>
      <c r="L208" t="s">
        <v>1420</v>
      </c>
      <c r="M208" t="s">
        <v>2279</v>
      </c>
      <c r="N208" t="s">
        <v>2279</v>
      </c>
      <c r="O208" s="190" t="str">
        <f>"["&amp;$C208&amp;"]["&amp;$D208&amp;"]["&amp;$F208&amp;"]"</f>
        <v>[S05_ImprovementReportArt69][4][Annex1Activity]</v>
      </c>
    </row>
    <row r="209" spans="1:15" x14ac:dyDescent="0.3">
      <c r="A209" t="s">
        <v>2277</v>
      </c>
      <c r="B209" t="s">
        <v>1886</v>
      </c>
      <c r="C209" t="s">
        <v>1887</v>
      </c>
      <c r="D209">
        <v>5</v>
      </c>
      <c r="E209" t="s">
        <v>1447</v>
      </c>
      <c r="F209" t="s">
        <v>1888</v>
      </c>
      <c r="G209" t="s">
        <v>1737</v>
      </c>
      <c r="H209" t="s">
        <v>2279</v>
      </c>
      <c r="I209" t="s">
        <v>2279</v>
      </c>
      <c r="J209" t="s">
        <v>2279</v>
      </c>
      <c r="K209" t="s">
        <v>2279</v>
      </c>
      <c r="L209" t="s">
        <v>1420</v>
      </c>
      <c r="M209" t="s">
        <v>2279</v>
      </c>
      <c r="N209" t="s">
        <v>2279</v>
      </c>
      <c r="O209" s="190" t="str">
        <f>"["&amp;$C209&amp;"]["&amp;$D209&amp;"]["&amp;$F209&amp;"]"</f>
        <v>[S05_ImprovementReportArt69][5][Annex1Activity]</v>
      </c>
    </row>
    <row r="210" spans="1:15" x14ac:dyDescent="0.3">
      <c r="A210" t="s">
        <v>2277</v>
      </c>
      <c r="B210" t="s">
        <v>1886</v>
      </c>
      <c r="C210" t="s">
        <v>1887</v>
      </c>
      <c r="D210">
        <v>6</v>
      </c>
      <c r="E210" t="s">
        <v>1447</v>
      </c>
      <c r="F210" t="s">
        <v>1888</v>
      </c>
      <c r="G210" t="s">
        <v>1737</v>
      </c>
      <c r="H210" t="s">
        <v>2279</v>
      </c>
      <c r="I210" t="s">
        <v>2279</v>
      </c>
      <c r="J210" t="s">
        <v>2279</v>
      </c>
      <c r="K210" t="s">
        <v>2279</v>
      </c>
      <c r="L210" t="s">
        <v>1420</v>
      </c>
      <c r="M210" t="s">
        <v>2279</v>
      </c>
      <c r="N210" t="s">
        <v>2279</v>
      </c>
      <c r="O210" s="190" t="str">
        <f>"["&amp;$C210&amp;"]["&amp;$D210&amp;"]["&amp;$F210&amp;"]"</f>
        <v>[S05_ImprovementReportArt69][6][Annex1Activity]</v>
      </c>
    </row>
    <row r="211" spans="1:15" x14ac:dyDescent="0.3">
      <c r="A211" t="s">
        <v>2277</v>
      </c>
      <c r="B211" t="s">
        <v>1886</v>
      </c>
      <c r="C211" t="s">
        <v>1887</v>
      </c>
      <c r="D211">
        <v>1</v>
      </c>
      <c r="E211" t="s">
        <v>1447</v>
      </c>
      <c r="F211" t="s">
        <v>1889</v>
      </c>
      <c r="G211" t="s">
        <v>1737</v>
      </c>
      <c r="H211" t="s">
        <v>2279</v>
      </c>
      <c r="I211" t="s">
        <v>2279</v>
      </c>
      <c r="J211" t="s">
        <v>2279</v>
      </c>
      <c r="K211" t="s">
        <v>2279</v>
      </c>
      <c r="L211" t="s">
        <v>1433</v>
      </c>
      <c r="M211" t="s">
        <v>2279</v>
      </c>
      <c r="N211" t="s">
        <v>2279</v>
      </c>
      <c r="O211" s="190" t="str">
        <f>"["&amp;$C211&amp;"]["&amp;$D211&amp;"]["&amp;$F211&amp;"]"</f>
        <v>[S05_ImprovementReportArt69][1][ImprovementReportType]</v>
      </c>
    </row>
    <row r="212" spans="1:15" x14ac:dyDescent="0.3">
      <c r="A212" t="s">
        <v>2277</v>
      </c>
      <c r="B212" t="s">
        <v>1886</v>
      </c>
      <c r="C212" t="s">
        <v>1887</v>
      </c>
      <c r="D212">
        <v>2</v>
      </c>
      <c r="E212" t="s">
        <v>1447</v>
      </c>
      <c r="F212" t="s">
        <v>1889</v>
      </c>
      <c r="G212" t="s">
        <v>1737</v>
      </c>
      <c r="H212" t="s">
        <v>2279</v>
      </c>
      <c r="I212" t="s">
        <v>2279</v>
      </c>
      <c r="J212" t="s">
        <v>2279</v>
      </c>
      <c r="K212" t="s">
        <v>2279</v>
      </c>
      <c r="L212" t="s">
        <v>1433</v>
      </c>
      <c r="M212" t="s">
        <v>2279</v>
      </c>
      <c r="N212" t="s">
        <v>2279</v>
      </c>
      <c r="O212" s="190" t="str">
        <f>"["&amp;$C212&amp;"]["&amp;$D212&amp;"]["&amp;$F212&amp;"]"</f>
        <v>[S05_ImprovementReportArt69][2][ImprovementReportType]</v>
      </c>
    </row>
    <row r="213" spans="1:15" x14ac:dyDescent="0.3">
      <c r="A213" t="s">
        <v>2277</v>
      </c>
      <c r="B213" t="s">
        <v>1886</v>
      </c>
      <c r="C213" t="s">
        <v>1887</v>
      </c>
      <c r="D213">
        <v>3</v>
      </c>
      <c r="E213" t="s">
        <v>1447</v>
      </c>
      <c r="F213" t="s">
        <v>1889</v>
      </c>
      <c r="G213" t="s">
        <v>1737</v>
      </c>
      <c r="H213" t="s">
        <v>2279</v>
      </c>
      <c r="I213" t="s">
        <v>2279</v>
      </c>
      <c r="J213" t="s">
        <v>2279</v>
      </c>
      <c r="K213" t="s">
        <v>2279</v>
      </c>
      <c r="L213" t="s">
        <v>1461</v>
      </c>
      <c r="M213" t="s">
        <v>2279</v>
      </c>
      <c r="N213" t="s">
        <v>2279</v>
      </c>
      <c r="O213" s="190" t="str">
        <f>"["&amp;$C213&amp;"]["&amp;$D213&amp;"]["&amp;$F213&amp;"]"</f>
        <v>[S05_ImprovementReportArt69][3][ImprovementReportType]</v>
      </c>
    </row>
    <row r="214" spans="1:15" x14ac:dyDescent="0.3">
      <c r="A214" t="s">
        <v>2277</v>
      </c>
      <c r="B214" t="s">
        <v>1886</v>
      </c>
      <c r="C214" t="s">
        <v>1887</v>
      </c>
      <c r="D214">
        <v>4</v>
      </c>
      <c r="E214" t="s">
        <v>1447</v>
      </c>
      <c r="F214" t="s">
        <v>1889</v>
      </c>
      <c r="G214" t="s">
        <v>1737</v>
      </c>
      <c r="H214" t="s">
        <v>2279</v>
      </c>
      <c r="I214" t="s">
        <v>2279</v>
      </c>
      <c r="J214" t="s">
        <v>2279</v>
      </c>
      <c r="K214" t="s">
        <v>2279</v>
      </c>
      <c r="L214" t="s">
        <v>1461</v>
      </c>
      <c r="M214" t="s">
        <v>2279</v>
      </c>
      <c r="N214" t="s">
        <v>2279</v>
      </c>
      <c r="O214" s="190" t="str">
        <f>"["&amp;$C214&amp;"]["&amp;$D214&amp;"]["&amp;$F214&amp;"]"</f>
        <v>[S05_ImprovementReportArt69][4][ImprovementReportType]</v>
      </c>
    </row>
    <row r="215" spans="1:15" x14ac:dyDescent="0.3">
      <c r="A215" t="s">
        <v>2277</v>
      </c>
      <c r="B215" t="s">
        <v>1886</v>
      </c>
      <c r="C215" t="s">
        <v>1887</v>
      </c>
      <c r="D215">
        <v>5</v>
      </c>
      <c r="E215" t="s">
        <v>1447</v>
      </c>
      <c r="F215" t="s">
        <v>1889</v>
      </c>
      <c r="G215" t="s">
        <v>1737</v>
      </c>
      <c r="H215" t="s">
        <v>2279</v>
      </c>
      <c r="I215" t="s">
        <v>2279</v>
      </c>
      <c r="J215" t="s">
        <v>2279</v>
      </c>
      <c r="K215" t="s">
        <v>2279</v>
      </c>
      <c r="L215" t="s">
        <v>1488</v>
      </c>
      <c r="M215" t="s">
        <v>2279</v>
      </c>
      <c r="N215" t="s">
        <v>2279</v>
      </c>
      <c r="O215" s="190" t="str">
        <f>"["&amp;$C215&amp;"]["&amp;$D215&amp;"]["&amp;$F215&amp;"]"</f>
        <v>[S05_ImprovementReportArt69][5][ImprovementReportType]</v>
      </c>
    </row>
    <row r="216" spans="1:15" x14ac:dyDescent="0.3">
      <c r="A216" t="s">
        <v>2277</v>
      </c>
      <c r="B216" t="s">
        <v>1886</v>
      </c>
      <c r="C216" t="s">
        <v>1887</v>
      </c>
      <c r="D216">
        <v>6</v>
      </c>
      <c r="E216" t="s">
        <v>1447</v>
      </c>
      <c r="F216" t="s">
        <v>1889</v>
      </c>
      <c r="G216" t="s">
        <v>1737</v>
      </c>
      <c r="H216" t="s">
        <v>2279</v>
      </c>
      <c r="I216" t="s">
        <v>2279</v>
      </c>
      <c r="J216" t="s">
        <v>2279</v>
      </c>
      <c r="K216" t="s">
        <v>2279</v>
      </c>
      <c r="L216" t="s">
        <v>1488</v>
      </c>
      <c r="M216" t="s">
        <v>2279</v>
      </c>
      <c r="N216" t="s">
        <v>2279</v>
      </c>
      <c r="O216" s="190" t="str">
        <f>"["&amp;$C216&amp;"]["&amp;$D216&amp;"]["&amp;$F216&amp;"]"</f>
        <v>[S05_ImprovementReportArt69][6][ImprovementReportType]</v>
      </c>
    </row>
    <row r="217" spans="1:15" x14ac:dyDescent="0.3">
      <c r="A217" t="s">
        <v>2277</v>
      </c>
      <c r="B217" t="s">
        <v>1886</v>
      </c>
      <c r="C217" t="s">
        <v>1887</v>
      </c>
      <c r="D217">
        <v>1</v>
      </c>
      <c r="E217" t="s">
        <v>1447</v>
      </c>
      <c r="F217" t="s">
        <v>1890</v>
      </c>
      <c r="G217" t="s">
        <v>1748</v>
      </c>
      <c r="H217" t="s">
        <v>2279</v>
      </c>
      <c r="I217">
        <v>0</v>
      </c>
      <c r="J217" t="s">
        <v>2279</v>
      </c>
      <c r="K217" t="s">
        <v>2279</v>
      </c>
      <c r="L217" t="s">
        <v>2279</v>
      </c>
      <c r="M217" t="s">
        <v>2279</v>
      </c>
      <c r="N217" t="s">
        <v>2279</v>
      </c>
      <c r="O217" s="190" t="str">
        <f>"["&amp;$C217&amp;"]["&amp;$D217&amp;"]["&amp;$F217&amp;"]"</f>
        <v>[S05_ImprovementReportArt69][1][ImprovementReportRequired]</v>
      </c>
    </row>
    <row r="218" spans="1:15" x14ac:dyDescent="0.3">
      <c r="A218" t="s">
        <v>2277</v>
      </c>
      <c r="B218" t="s">
        <v>1886</v>
      </c>
      <c r="C218" t="s">
        <v>1887</v>
      </c>
      <c r="D218">
        <v>2</v>
      </c>
      <c r="E218" t="s">
        <v>1447</v>
      </c>
      <c r="F218" t="s">
        <v>1890</v>
      </c>
      <c r="G218" t="s">
        <v>1748</v>
      </c>
      <c r="H218" t="s">
        <v>2279</v>
      </c>
      <c r="I218">
        <v>0</v>
      </c>
      <c r="J218" t="s">
        <v>2279</v>
      </c>
      <c r="K218" t="s">
        <v>2279</v>
      </c>
      <c r="L218" t="s">
        <v>2279</v>
      </c>
      <c r="M218" t="s">
        <v>2279</v>
      </c>
      <c r="N218" t="s">
        <v>2279</v>
      </c>
      <c r="O218" s="190" t="str">
        <f>"["&amp;$C218&amp;"]["&amp;$D218&amp;"]["&amp;$F218&amp;"]"</f>
        <v>[S05_ImprovementReportArt69][2][ImprovementReportRequired]</v>
      </c>
    </row>
    <row r="219" spans="1:15" x14ac:dyDescent="0.3">
      <c r="A219" t="s">
        <v>2277</v>
      </c>
      <c r="B219" t="s">
        <v>1886</v>
      </c>
      <c r="C219" t="s">
        <v>1887</v>
      </c>
      <c r="D219">
        <v>3</v>
      </c>
      <c r="E219" t="s">
        <v>1447</v>
      </c>
      <c r="F219" t="s">
        <v>1890</v>
      </c>
      <c r="G219" t="s">
        <v>1748</v>
      </c>
      <c r="H219" t="s">
        <v>2279</v>
      </c>
      <c r="I219">
        <v>0</v>
      </c>
      <c r="J219" t="s">
        <v>2279</v>
      </c>
      <c r="K219" t="s">
        <v>2279</v>
      </c>
      <c r="L219" t="s">
        <v>2279</v>
      </c>
      <c r="M219" t="s">
        <v>2279</v>
      </c>
      <c r="N219" t="s">
        <v>2279</v>
      </c>
      <c r="O219" s="190" t="str">
        <f>"["&amp;$C219&amp;"]["&amp;$D219&amp;"]["&amp;$F219&amp;"]"</f>
        <v>[S05_ImprovementReportArt69][3][ImprovementReportRequired]</v>
      </c>
    </row>
    <row r="220" spans="1:15" x14ac:dyDescent="0.3">
      <c r="A220" t="s">
        <v>2277</v>
      </c>
      <c r="B220" t="s">
        <v>1886</v>
      </c>
      <c r="C220" t="s">
        <v>1887</v>
      </c>
      <c r="D220">
        <v>4</v>
      </c>
      <c r="E220" t="s">
        <v>1447</v>
      </c>
      <c r="F220" t="s">
        <v>1890</v>
      </c>
      <c r="G220" t="s">
        <v>1748</v>
      </c>
      <c r="H220" t="s">
        <v>2279</v>
      </c>
      <c r="I220">
        <v>0</v>
      </c>
      <c r="J220" t="s">
        <v>2279</v>
      </c>
      <c r="K220" t="s">
        <v>2279</v>
      </c>
      <c r="L220" t="s">
        <v>2279</v>
      </c>
      <c r="M220" t="s">
        <v>2279</v>
      </c>
      <c r="N220" t="s">
        <v>2279</v>
      </c>
      <c r="O220" s="190" t="str">
        <f>"["&amp;$C220&amp;"]["&amp;$D220&amp;"]["&amp;$F220&amp;"]"</f>
        <v>[S05_ImprovementReportArt69][4][ImprovementReportRequired]</v>
      </c>
    </row>
    <row r="221" spans="1:15" x14ac:dyDescent="0.3">
      <c r="A221" t="s">
        <v>2277</v>
      </c>
      <c r="B221" t="s">
        <v>1886</v>
      </c>
      <c r="C221" t="s">
        <v>1887</v>
      </c>
      <c r="D221">
        <v>5</v>
      </c>
      <c r="E221" t="s">
        <v>1447</v>
      </c>
      <c r="F221" t="s">
        <v>1890</v>
      </c>
      <c r="G221" t="s">
        <v>1748</v>
      </c>
      <c r="H221" t="s">
        <v>2279</v>
      </c>
      <c r="I221">
        <v>0</v>
      </c>
      <c r="J221" t="s">
        <v>2279</v>
      </c>
      <c r="K221" t="s">
        <v>2279</v>
      </c>
      <c r="L221" t="s">
        <v>2279</v>
      </c>
      <c r="M221" t="s">
        <v>2279</v>
      </c>
      <c r="N221" t="s">
        <v>2279</v>
      </c>
      <c r="O221" s="190" t="str">
        <f>"["&amp;$C221&amp;"]["&amp;$D221&amp;"]["&amp;$F221&amp;"]"</f>
        <v>[S05_ImprovementReportArt69][5][ImprovementReportRequired]</v>
      </c>
    </row>
    <row r="222" spans="1:15" x14ac:dyDescent="0.3">
      <c r="A222" t="s">
        <v>2277</v>
      </c>
      <c r="B222" t="s">
        <v>1886</v>
      </c>
      <c r="C222" t="s">
        <v>1887</v>
      </c>
      <c r="D222">
        <v>6</v>
      </c>
      <c r="E222" t="s">
        <v>1447</v>
      </c>
      <c r="F222" t="s">
        <v>1890</v>
      </c>
      <c r="G222" t="s">
        <v>1748</v>
      </c>
      <c r="H222" t="s">
        <v>2279</v>
      </c>
      <c r="I222">
        <v>0</v>
      </c>
      <c r="J222" t="s">
        <v>2279</v>
      </c>
      <c r="K222" t="s">
        <v>2279</v>
      </c>
      <c r="L222" t="s">
        <v>2279</v>
      </c>
      <c r="M222" t="s">
        <v>2279</v>
      </c>
      <c r="N222" t="s">
        <v>2279</v>
      </c>
      <c r="O222" s="190" t="str">
        <f>"["&amp;$C222&amp;"]["&amp;$D222&amp;"]["&amp;$F222&amp;"]"</f>
        <v>[S05_ImprovementReportArt69][6][ImprovementReportRequired]</v>
      </c>
    </row>
    <row r="223" spans="1:15" x14ac:dyDescent="0.3">
      <c r="A223" t="s">
        <v>2277</v>
      </c>
      <c r="B223" t="s">
        <v>1886</v>
      </c>
      <c r="C223" t="s">
        <v>1887</v>
      </c>
      <c r="D223">
        <v>1</v>
      </c>
      <c r="E223" t="s">
        <v>1447</v>
      </c>
      <c r="F223" t="s">
        <v>1891</v>
      </c>
      <c r="G223" t="s">
        <v>1748</v>
      </c>
      <c r="H223" t="s">
        <v>2279</v>
      </c>
      <c r="I223">
        <v>0</v>
      </c>
      <c r="J223" t="s">
        <v>2279</v>
      </c>
      <c r="K223" t="s">
        <v>2279</v>
      </c>
      <c r="L223" t="s">
        <v>2279</v>
      </c>
      <c r="M223" t="s">
        <v>2279</v>
      </c>
      <c r="N223" t="s">
        <v>2279</v>
      </c>
      <c r="O223" s="190" t="str">
        <f>"["&amp;$C223&amp;"]["&amp;$D223&amp;"]["&amp;$F223&amp;"]"</f>
        <v>[S05_ImprovementReportArt69][1][ImprovementReportSubmitted]</v>
      </c>
    </row>
    <row r="224" spans="1:15" x14ac:dyDescent="0.3">
      <c r="A224" t="s">
        <v>2277</v>
      </c>
      <c r="B224" t="s">
        <v>1886</v>
      </c>
      <c r="C224" t="s">
        <v>1887</v>
      </c>
      <c r="D224">
        <v>2</v>
      </c>
      <c r="E224" t="s">
        <v>1447</v>
      </c>
      <c r="F224" t="s">
        <v>1891</v>
      </c>
      <c r="G224" t="s">
        <v>1748</v>
      </c>
      <c r="H224" t="s">
        <v>2279</v>
      </c>
      <c r="I224">
        <v>0</v>
      </c>
      <c r="J224" t="s">
        <v>2279</v>
      </c>
      <c r="K224" t="s">
        <v>2279</v>
      </c>
      <c r="L224" t="s">
        <v>2279</v>
      </c>
      <c r="M224" t="s">
        <v>2279</v>
      </c>
      <c r="N224" t="s">
        <v>2279</v>
      </c>
      <c r="O224" s="190" t="str">
        <f>"["&amp;$C224&amp;"]["&amp;$D224&amp;"]["&amp;$F224&amp;"]"</f>
        <v>[S05_ImprovementReportArt69][2][ImprovementReportSubmitted]</v>
      </c>
    </row>
    <row r="225" spans="1:15" x14ac:dyDescent="0.3">
      <c r="A225" t="s">
        <v>2277</v>
      </c>
      <c r="B225" t="s">
        <v>1886</v>
      </c>
      <c r="C225" t="s">
        <v>1887</v>
      </c>
      <c r="D225">
        <v>3</v>
      </c>
      <c r="E225" t="s">
        <v>1447</v>
      </c>
      <c r="F225" t="s">
        <v>1891</v>
      </c>
      <c r="G225" t="s">
        <v>1748</v>
      </c>
      <c r="H225" t="s">
        <v>2279</v>
      </c>
      <c r="I225">
        <v>0</v>
      </c>
      <c r="J225" t="s">
        <v>2279</v>
      </c>
      <c r="K225" t="s">
        <v>2279</v>
      </c>
      <c r="L225" t="s">
        <v>2279</v>
      </c>
      <c r="M225" t="s">
        <v>2279</v>
      </c>
      <c r="N225" t="s">
        <v>2279</v>
      </c>
      <c r="O225" s="190" t="str">
        <f>"["&amp;$C225&amp;"]["&amp;$D225&amp;"]["&amp;$F225&amp;"]"</f>
        <v>[S05_ImprovementReportArt69][3][ImprovementReportSubmitted]</v>
      </c>
    </row>
    <row r="226" spans="1:15" x14ac:dyDescent="0.3">
      <c r="A226" t="s">
        <v>2277</v>
      </c>
      <c r="B226" t="s">
        <v>1886</v>
      </c>
      <c r="C226" t="s">
        <v>1887</v>
      </c>
      <c r="D226">
        <v>4</v>
      </c>
      <c r="E226" t="s">
        <v>1447</v>
      </c>
      <c r="F226" t="s">
        <v>1891</v>
      </c>
      <c r="G226" t="s">
        <v>1748</v>
      </c>
      <c r="H226" t="s">
        <v>2279</v>
      </c>
      <c r="I226">
        <v>0</v>
      </c>
      <c r="J226" t="s">
        <v>2279</v>
      </c>
      <c r="K226" t="s">
        <v>2279</v>
      </c>
      <c r="L226" t="s">
        <v>2279</v>
      </c>
      <c r="M226" t="s">
        <v>2279</v>
      </c>
      <c r="N226" t="s">
        <v>2279</v>
      </c>
      <c r="O226" s="190" t="str">
        <f>"["&amp;$C226&amp;"]["&amp;$D226&amp;"]["&amp;$F226&amp;"]"</f>
        <v>[S05_ImprovementReportArt69][4][ImprovementReportSubmitted]</v>
      </c>
    </row>
    <row r="227" spans="1:15" x14ac:dyDescent="0.3">
      <c r="A227" t="s">
        <v>2277</v>
      </c>
      <c r="B227" t="s">
        <v>1886</v>
      </c>
      <c r="C227" t="s">
        <v>1887</v>
      </c>
      <c r="D227">
        <v>5</v>
      </c>
      <c r="E227" t="s">
        <v>1447</v>
      </c>
      <c r="F227" t="s">
        <v>1891</v>
      </c>
      <c r="G227" t="s">
        <v>1748</v>
      </c>
      <c r="H227" t="s">
        <v>2279</v>
      </c>
      <c r="I227">
        <v>0</v>
      </c>
      <c r="J227" t="s">
        <v>2279</v>
      </c>
      <c r="K227" t="s">
        <v>2279</v>
      </c>
      <c r="L227" t="s">
        <v>2279</v>
      </c>
      <c r="M227" t="s">
        <v>2279</v>
      </c>
      <c r="N227" t="s">
        <v>2279</v>
      </c>
      <c r="O227" s="190" t="str">
        <f>"["&amp;$C227&amp;"]["&amp;$D227&amp;"]["&amp;$F227&amp;"]"</f>
        <v>[S05_ImprovementReportArt69][5][ImprovementReportSubmitted]</v>
      </c>
    </row>
    <row r="228" spans="1:15" x14ac:dyDescent="0.3">
      <c r="A228" t="s">
        <v>2277</v>
      </c>
      <c r="B228" t="s">
        <v>1886</v>
      </c>
      <c r="C228" t="s">
        <v>1887</v>
      </c>
      <c r="D228">
        <v>6</v>
      </c>
      <c r="E228" t="s">
        <v>1447</v>
      </c>
      <c r="F228" t="s">
        <v>1891</v>
      </c>
      <c r="G228" t="s">
        <v>1748</v>
      </c>
      <c r="H228" t="s">
        <v>2279</v>
      </c>
      <c r="I228">
        <v>0</v>
      </c>
      <c r="J228" t="s">
        <v>2279</v>
      </c>
      <c r="K228" t="s">
        <v>2279</v>
      </c>
      <c r="L228" t="s">
        <v>2279</v>
      </c>
      <c r="M228" t="s">
        <v>2279</v>
      </c>
      <c r="N228" t="s">
        <v>2279</v>
      </c>
      <c r="O228" s="190" t="str">
        <f>"["&amp;$C228&amp;"]["&amp;$D228&amp;"]["&amp;$F228&amp;"]"</f>
        <v>[S05_ImprovementReportArt69][6][ImprovementReportSubmitted]</v>
      </c>
    </row>
    <row r="229" spans="1:15" x14ac:dyDescent="0.3">
      <c r="A229" t="s">
        <v>2277</v>
      </c>
      <c r="B229" t="s">
        <v>1892</v>
      </c>
      <c r="C229" t="s">
        <v>1893</v>
      </c>
      <c r="D229">
        <v>0</v>
      </c>
      <c r="E229" t="s">
        <v>1447</v>
      </c>
      <c r="F229" t="s">
        <v>1893</v>
      </c>
      <c r="G229" t="s">
        <v>1759</v>
      </c>
      <c r="H229" t="s">
        <v>2279</v>
      </c>
      <c r="I229" t="s">
        <v>2279</v>
      </c>
      <c r="J229" t="s">
        <v>2279</v>
      </c>
      <c r="K229" t="s">
        <v>2279</v>
      </c>
      <c r="L229" t="s">
        <v>1447</v>
      </c>
      <c r="M229" t="s">
        <v>2279</v>
      </c>
      <c r="N229" t="s">
        <v>2279</v>
      </c>
      <c r="O229" s="190" t="str">
        <f>"["&amp;$C229&amp;"]["&amp;$D229&amp;"]["&amp;$F229&amp;"]"</f>
        <v>[InherentCarbonTransferred][0][InherentCarbonTransferred]</v>
      </c>
    </row>
    <row r="230" spans="1:15" x14ac:dyDescent="0.3">
      <c r="A230" t="s">
        <v>2277</v>
      </c>
      <c r="B230" t="s">
        <v>1902</v>
      </c>
      <c r="C230" t="s">
        <v>1903</v>
      </c>
      <c r="D230">
        <v>0</v>
      </c>
      <c r="E230" t="s">
        <v>1447</v>
      </c>
      <c r="F230" t="s">
        <v>1903</v>
      </c>
      <c r="G230" t="s">
        <v>1759</v>
      </c>
      <c r="H230" t="s">
        <v>2279</v>
      </c>
      <c r="I230" t="s">
        <v>2279</v>
      </c>
      <c r="J230" t="s">
        <v>2279</v>
      </c>
      <c r="K230" t="s">
        <v>2279</v>
      </c>
      <c r="L230" t="s">
        <v>1447</v>
      </c>
      <c r="M230" t="s">
        <v>2279</v>
      </c>
      <c r="N230" t="s">
        <v>2279</v>
      </c>
      <c r="O230" s="190" t="str">
        <f>"["&amp;$C230&amp;"]["&amp;$D230&amp;"]["&amp;$F230&amp;"]"</f>
        <v>[ContinuousEmissionsMeasurement][0][ContinuousEmissionsMeasurement]</v>
      </c>
    </row>
    <row r="231" spans="1:15" x14ac:dyDescent="0.3">
      <c r="A231" t="s">
        <v>2277</v>
      </c>
      <c r="B231" t="s">
        <v>1910</v>
      </c>
      <c r="C231" t="s">
        <v>1911</v>
      </c>
      <c r="D231">
        <v>0</v>
      </c>
      <c r="E231" t="s">
        <v>1447</v>
      </c>
      <c r="F231" t="s">
        <v>1911</v>
      </c>
      <c r="G231" t="s">
        <v>1741</v>
      </c>
      <c r="H231" t="s">
        <v>2333</v>
      </c>
      <c r="I231" t="s">
        <v>2279</v>
      </c>
      <c r="J231" t="s">
        <v>2279</v>
      </c>
      <c r="K231" t="s">
        <v>2279</v>
      </c>
      <c r="L231" t="s">
        <v>2279</v>
      </c>
      <c r="M231" t="s">
        <v>2279</v>
      </c>
      <c r="N231" t="s">
        <v>2279</v>
      </c>
      <c r="O231" s="190" t="str">
        <f>"["&amp;$C231&amp;"]["&amp;$D231&amp;"]["&amp;$F231&amp;"]"</f>
        <v>[SustainabilityComplianceDemonstrate][0][SustainabilityComplianceDemonstrate]</v>
      </c>
    </row>
    <row r="232" spans="1:15" x14ac:dyDescent="0.3">
      <c r="A232" t="s">
        <v>2277</v>
      </c>
      <c r="B232" t="s">
        <v>1910</v>
      </c>
      <c r="C232" t="s">
        <v>1912</v>
      </c>
      <c r="D232">
        <v>1</v>
      </c>
      <c r="E232" t="s">
        <v>1447</v>
      </c>
      <c r="F232" t="s">
        <v>1888</v>
      </c>
      <c r="G232" t="s">
        <v>1737</v>
      </c>
      <c r="H232" t="s">
        <v>2279</v>
      </c>
      <c r="I232" t="s">
        <v>2279</v>
      </c>
      <c r="J232" t="s">
        <v>2279</v>
      </c>
      <c r="K232" t="s">
        <v>2279</v>
      </c>
      <c r="L232" t="s">
        <v>1420</v>
      </c>
      <c r="M232" t="s">
        <v>2279</v>
      </c>
      <c r="N232" t="s">
        <v>2279</v>
      </c>
      <c r="O232" s="190" t="str">
        <f>"["&amp;$C232&amp;"]["&amp;$D232&amp;"]["&amp;$F232&amp;"]"</f>
        <v>[S05_BiomassInstallations][1][Annex1Activity]</v>
      </c>
    </row>
    <row r="233" spans="1:15" x14ac:dyDescent="0.3">
      <c r="A233" t="s">
        <v>2277</v>
      </c>
      <c r="B233" t="s">
        <v>1910</v>
      </c>
      <c r="C233" t="s">
        <v>1912</v>
      </c>
      <c r="D233">
        <v>1</v>
      </c>
      <c r="E233" t="s">
        <v>1447</v>
      </c>
      <c r="F233" t="s">
        <v>1913</v>
      </c>
      <c r="G233" t="s">
        <v>1737</v>
      </c>
      <c r="H233" t="s">
        <v>2279</v>
      </c>
      <c r="I233" t="s">
        <v>2279</v>
      </c>
      <c r="J233" t="s">
        <v>2279</v>
      </c>
      <c r="K233" t="s">
        <v>2279</v>
      </c>
      <c r="L233" t="s">
        <v>1432</v>
      </c>
      <c r="M233" t="s">
        <v>2279</v>
      </c>
      <c r="N233" t="s">
        <v>2279</v>
      </c>
      <c r="O233" s="190" t="str">
        <f>"["&amp;$C233&amp;"]["&amp;$D233&amp;"]["&amp;$F233&amp;"]"</f>
        <v>[S05_BiomassInstallations][1][BiomassInstallationCategory]</v>
      </c>
    </row>
    <row r="234" spans="1:15" x14ac:dyDescent="0.3">
      <c r="A234" t="s">
        <v>2277</v>
      </c>
      <c r="B234" t="s">
        <v>1910</v>
      </c>
      <c r="C234" t="s">
        <v>1912</v>
      </c>
      <c r="D234">
        <v>1</v>
      </c>
      <c r="E234" t="s">
        <v>1447</v>
      </c>
      <c r="F234" t="s">
        <v>1914</v>
      </c>
      <c r="G234" t="s">
        <v>1748</v>
      </c>
      <c r="H234" t="s">
        <v>2279</v>
      </c>
      <c r="I234">
        <v>1</v>
      </c>
      <c r="J234" t="s">
        <v>2279</v>
      </c>
      <c r="K234" t="s">
        <v>2279</v>
      </c>
      <c r="L234" t="s">
        <v>2279</v>
      </c>
      <c r="M234" t="s">
        <v>2279</v>
      </c>
      <c r="N234" t="s">
        <v>2279</v>
      </c>
      <c r="O234" s="190" t="str">
        <f>"["&amp;$C234&amp;"]["&amp;$D234&amp;"]["&amp;$F234&amp;"]"</f>
        <v>[S05_BiomassInstallations][1][NumberUsingBiomass]</v>
      </c>
    </row>
    <row r="235" spans="1:15" x14ac:dyDescent="0.3">
      <c r="A235" t="s">
        <v>2277</v>
      </c>
      <c r="B235" t="s">
        <v>1910</v>
      </c>
      <c r="C235" t="s">
        <v>1912</v>
      </c>
      <c r="D235">
        <v>1</v>
      </c>
      <c r="E235" t="s">
        <v>1447</v>
      </c>
      <c r="F235" t="s">
        <v>1915</v>
      </c>
      <c r="G235" t="s">
        <v>1806</v>
      </c>
      <c r="H235" t="s">
        <v>2279</v>
      </c>
      <c r="I235" t="s">
        <v>2279</v>
      </c>
      <c r="J235">
        <v>172341.416</v>
      </c>
      <c r="K235" t="s">
        <v>2279</v>
      </c>
      <c r="L235" t="s">
        <v>2279</v>
      </c>
      <c r="M235" t="s">
        <v>2279</v>
      </c>
      <c r="N235" t="s">
        <v>2279</v>
      </c>
      <c r="O235" s="190" t="str">
        <f>"["&amp;$C235&amp;"]["&amp;$D235&amp;"]["&amp;$F235&amp;"]"</f>
        <v>[S05_BiomassInstallations][1][EmissionsBiomassSustainabilitySatisfied]</v>
      </c>
    </row>
    <row r="236" spans="1:15" x14ac:dyDescent="0.3">
      <c r="A236" t="s">
        <v>2277</v>
      </c>
      <c r="B236" t="s">
        <v>1910</v>
      </c>
      <c r="C236" t="s">
        <v>1912</v>
      </c>
      <c r="D236">
        <v>1</v>
      </c>
      <c r="E236" t="s">
        <v>1447</v>
      </c>
      <c r="F236" t="s">
        <v>1917</v>
      </c>
      <c r="G236" t="s">
        <v>1806</v>
      </c>
      <c r="H236" t="s">
        <v>2279</v>
      </c>
      <c r="I236" t="s">
        <v>2279</v>
      </c>
      <c r="J236">
        <v>9622.7000000000007</v>
      </c>
      <c r="K236" t="s">
        <v>2279</v>
      </c>
      <c r="L236" t="s">
        <v>2279</v>
      </c>
      <c r="M236" t="s">
        <v>2279</v>
      </c>
      <c r="N236" t="s">
        <v>2279</v>
      </c>
      <c r="O236" s="190" t="str">
        <f>"["&amp;$C236&amp;"]["&amp;$D236&amp;"]["&amp;$F236&amp;"]"</f>
        <v>[S05_BiomassInstallations][1][EmissionsFossil]</v>
      </c>
    </row>
    <row r="237" spans="1:15" x14ac:dyDescent="0.3">
      <c r="A237" t="s">
        <v>2277</v>
      </c>
      <c r="B237" t="s">
        <v>1910</v>
      </c>
      <c r="C237" t="s">
        <v>1912</v>
      </c>
      <c r="D237">
        <v>1</v>
      </c>
      <c r="E237" t="s">
        <v>1447</v>
      </c>
      <c r="F237" t="s">
        <v>1920</v>
      </c>
      <c r="G237" t="s">
        <v>1806</v>
      </c>
      <c r="H237" t="s">
        <v>2279</v>
      </c>
      <c r="I237" t="s">
        <v>2279</v>
      </c>
      <c r="J237">
        <v>112</v>
      </c>
      <c r="K237" t="s">
        <v>2279</v>
      </c>
      <c r="L237" t="s">
        <v>2279</v>
      </c>
      <c r="M237" t="s">
        <v>2279</v>
      </c>
      <c r="N237" t="s">
        <v>2279</v>
      </c>
      <c r="O237" s="190" t="str">
        <f>"["&amp;$C237&amp;"]["&amp;$D237&amp;"]["&amp;$F237&amp;"]"</f>
        <v>[S05_BiomassInstallations][1][EnergyFossil]</v>
      </c>
    </row>
    <row r="238" spans="1:15" x14ac:dyDescent="0.3">
      <c r="A238" t="s">
        <v>2277</v>
      </c>
      <c r="B238" t="s">
        <v>1921</v>
      </c>
      <c r="C238" t="s">
        <v>1922</v>
      </c>
      <c r="D238">
        <v>0</v>
      </c>
      <c r="E238" t="s">
        <v>1447</v>
      </c>
      <c r="F238" t="s">
        <v>1922</v>
      </c>
      <c r="G238" t="s">
        <v>1806</v>
      </c>
      <c r="H238" t="s">
        <v>2279</v>
      </c>
      <c r="I238" t="s">
        <v>2279</v>
      </c>
      <c r="J238">
        <v>172341</v>
      </c>
      <c r="K238" t="s">
        <v>2279</v>
      </c>
      <c r="L238" t="s">
        <v>2279</v>
      </c>
      <c r="M238" t="s">
        <v>2279</v>
      </c>
      <c r="N238" t="s">
        <v>2279</v>
      </c>
      <c r="O238" s="190" t="str">
        <f>"["&amp;$C238&amp;"]["&amp;$D238&amp;"]["&amp;$F238&amp;"]"</f>
        <v>[WasteFuelFossilCO2][0][WasteFuelFossilCO2]</v>
      </c>
    </row>
    <row r="239" spans="1:15" x14ac:dyDescent="0.3">
      <c r="A239" t="s">
        <v>2277</v>
      </c>
      <c r="B239" t="s">
        <v>1923</v>
      </c>
      <c r="C239" t="s">
        <v>1924</v>
      </c>
      <c r="D239">
        <v>0</v>
      </c>
      <c r="E239" t="s">
        <v>1447</v>
      </c>
      <c r="F239" t="s">
        <v>1924</v>
      </c>
      <c r="G239" t="s">
        <v>1759</v>
      </c>
      <c r="H239" t="s">
        <v>2279</v>
      </c>
      <c r="I239" t="s">
        <v>2279</v>
      </c>
      <c r="J239" t="s">
        <v>2279</v>
      </c>
      <c r="K239" t="s">
        <v>2279</v>
      </c>
      <c r="L239" t="s">
        <v>1447</v>
      </c>
      <c r="M239" t="s">
        <v>2279</v>
      </c>
      <c r="N239" t="s">
        <v>2279</v>
      </c>
      <c r="O239" s="190" t="str">
        <f>"["&amp;$C239&amp;"]["&amp;$D239&amp;"]["&amp;$F239&amp;"]"</f>
        <v>[SimplifiedMonitoringArt13][0][SimplifiedMonitoringArt13]</v>
      </c>
    </row>
    <row r="240" spans="1:15" x14ac:dyDescent="0.3">
      <c r="A240" t="s">
        <v>2277</v>
      </c>
      <c r="B240" t="s">
        <v>1940</v>
      </c>
      <c r="C240" t="s">
        <v>1941</v>
      </c>
      <c r="D240">
        <v>1</v>
      </c>
      <c r="E240" t="s">
        <v>1447</v>
      </c>
      <c r="F240" t="s">
        <v>1942</v>
      </c>
      <c r="G240" t="s">
        <v>1748</v>
      </c>
      <c r="H240" t="s">
        <v>2279</v>
      </c>
      <c r="I240">
        <v>0</v>
      </c>
      <c r="J240" t="s">
        <v>2279</v>
      </c>
      <c r="K240" t="s">
        <v>2279</v>
      </c>
      <c r="L240" t="s">
        <v>2279</v>
      </c>
      <c r="M240" t="s">
        <v>2279</v>
      </c>
      <c r="N240" t="s">
        <v>2279</v>
      </c>
      <c r="O240" s="190" t="str">
        <f>"["&amp;$C240&amp;"]["&amp;$D240&amp;"]["&amp;$F240&amp;"]"</f>
        <v>[S05_SmallEmittersTool][1][CountSmallEmitters]</v>
      </c>
    </row>
    <row r="241" spans="1:15" x14ac:dyDescent="0.3">
      <c r="A241" t="s">
        <v>2277</v>
      </c>
      <c r="B241" t="s">
        <v>1940</v>
      </c>
      <c r="C241" t="s">
        <v>1941</v>
      </c>
      <c r="D241">
        <v>2</v>
      </c>
      <c r="E241" t="s">
        <v>1447</v>
      </c>
      <c r="F241" t="s">
        <v>1942</v>
      </c>
      <c r="G241" t="s">
        <v>1748</v>
      </c>
      <c r="H241" t="s">
        <v>2279</v>
      </c>
      <c r="I241">
        <v>0</v>
      </c>
      <c r="J241" t="s">
        <v>2279</v>
      </c>
      <c r="K241" t="s">
        <v>2279</v>
      </c>
      <c r="L241" t="s">
        <v>2279</v>
      </c>
      <c r="M241" t="s">
        <v>2279</v>
      </c>
      <c r="N241" t="s">
        <v>2279</v>
      </c>
      <c r="O241" s="190" t="str">
        <f>"["&amp;$C241&amp;"]["&amp;$D241&amp;"]["&amp;$F241&amp;"]"</f>
        <v>[S05_SmallEmittersTool][2][CountSmallEmitters]</v>
      </c>
    </row>
    <row r="242" spans="1:15" x14ac:dyDescent="0.3">
      <c r="A242" t="s">
        <v>2277</v>
      </c>
      <c r="B242" t="s">
        <v>1940</v>
      </c>
      <c r="C242" t="s">
        <v>1941</v>
      </c>
      <c r="D242">
        <v>3</v>
      </c>
      <c r="E242" t="s">
        <v>1447</v>
      </c>
      <c r="F242" t="s">
        <v>1942</v>
      </c>
      <c r="G242" t="s">
        <v>1748</v>
      </c>
      <c r="H242" t="s">
        <v>2279</v>
      </c>
      <c r="I242">
        <v>0</v>
      </c>
      <c r="J242" t="s">
        <v>2279</v>
      </c>
      <c r="K242" t="s">
        <v>2279</v>
      </c>
      <c r="L242" t="s">
        <v>2279</v>
      </c>
      <c r="M242" t="s">
        <v>2279</v>
      </c>
      <c r="N242" t="s">
        <v>2279</v>
      </c>
      <c r="O242" s="190" t="str">
        <f>"["&amp;$C242&amp;"]["&amp;$D242&amp;"]["&amp;$F242&amp;"]"</f>
        <v>[S05_SmallEmittersTool][3][CountSmallEmitters]</v>
      </c>
    </row>
    <row r="243" spans="1:15" x14ac:dyDescent="0.3">
      <c r="A243" t="s">
        <v>2277</v>
      </c>
      <c r="B243" t="s">
        <v>1940</v>
      </c>
      <c r="C243" t="s">
        <v>1941</v>
      </c>
      <c r="D243">
        <v>4</v>
      </c>
      <c r="E243" t="s">
        <v>1447</v>
      </c>
      <c r="F243" t="s">
        <v>1942</v>
      </c>
      <c r="G243" t="s">
        <v>1748</v>
      </c>
      <c r="H243" t="s">
        <v>2279</v>
      </c>
      <c r="I243">
        <v>0</v>
      </c>
      <c r="J243" t="s">
        <v>2279</v>
      </c>
      <c r="K243" t="s">
        <v>2279</v>
      </c>
      <c r="L243" t="s">
        <v>2279</v>
      </c>
      <c r="M243" t="s">
        <v>2279</v>
      </c>
      <c r="N243" t="s">
        <v>2279</v>
      </c>
      <c r="O243" s="190" t="str">
        <f>"["&amp;$C243&amp;"]["&amp;$D243&amp;"]["&amp;$F243&amp;"]"</f>
        <v>[S05_SmallEmittersTool][4][CountSmallEmitters]</v>
      </c>
    </row>
    <row r="244" spans="1:15" x14ac:dyDescent="0.3">
      <c r="A244" t="s">
        <v>2277</v>
      </c>
      <c r="B244" t="s">
        <v>1946</v>
      </c>
      <c r="C244" t="s">
        <v>1947</v>
      </c>
      <c r="D244">
        <v>0</v>
      </c>
      <c r="E244" t="s">
        <v>1447</v>
      </c>
      <c r="F244" t="s">
        <v>1947</v>
      </c>
      <c r="G244" t="s">
        <v>1759</v>
      </c>
      <c r="H244" t="s">
        <v>2279</v>
      </c>
      <c r="I244" t="s">
        <v>2279</v>
      </c>
      <c r="J244" t="s">
        <v>2279</v>
      </c>
      <c r="K244" t="s">
        <v>2279</v>
      </c>
      <c r="L244" t="s">
        <v>1447</v>
      </c>
      <c r="M244" t="s">
        <v>2279</v>
      </c>
      <c r="N244" t="s">
        <v>2279</v>
      </c>
      <c r="O244" s="190" t="str">
        <f>"["&amp;$C244&amp;"]["&amp;$D244&amp;"]["&amp;$F244&amp;"]"</f>
        <v>[AircraftSimplifiedMonitoringArt13][0][AircraftSimplifiedMonitoringArt13]</v>
      </c>
    </row>
    <row r="245" spans="1:15" x14ac:dyDescent="0.3">
      <c r="A245" t="s">
        <v>2277</v>
      </c>
      <c r="B245" t="s">
        <v>1951</v>
      </c>
      <c r="C245" t="s">
        <v>1952</v>
      </c>
      <c r="D245">
        <v>1</v>
      </c>
      <c r="E245" t="s">
        <v>1447</v>
      </c>
      <c r="F245" t="s">
        <v>1953</v>
      </c>
      <c r="G245" t="s">
        <v>1748</v>
      </c>
      <c r="H245" t="s">
        <v>2279</v>
      </c>
      <c r="I245">
        <v>0</v>
      </c>
      <c r="J245" t="s">
        <v>2279</v>
      </c>
      <c r="K245" t="s">
        <v>2279</v>
      </c>
      <c r="L245" t="s">
        <v>2279</v>
      </c>
      <c r="M245" t="s">
        <v>2279</v>
      </c>
      <c r="N245" t="s">
        <v>2279</v>
      </c>
      <c r="O245" s="190" t="str">
        <f>"["&amp;$C245&amp;"]["&amp;$D245&amp;"]["&amp;$F245&amp;"]"</f>
        <v>[S06_TotalVerifiers][1][CountVerifiersInstallations]</v>
      </c>
    </row>
    <row r="246" spans="1:15" x14ac:dyDescent="0.3">
      <c r="A246" t="s">
        <v>2277</v>
      </c>
      <c r="B246" t="s">
        <v>1951</v>
      </c>
      <c r="C246" t="s">
        <v>1952</v>
      </c>
      <c r="D246">
        <v>2</v>
      </c>
      <c r="E246" t="s">
        <v>1447</v>
      </c>
      <c r="F246" t="s">
        <v>1953</v>
      </c>
      <c r="G246" t="s">
        <v>1748</v>
      </c>
      <c r="H246" t="s">
        <v>2279</v>
      </c>
      <c r="I246">
        <v>0</v>
      </c>
      <c r="J246" t="s">
        <v>2279</v>
      </c>
      <c r="K246" t="s">
        <v>2279</v>
      </c>
      <c r="L246" t="s">
        <v>2279</v>
      </c>
      <c r="M246" t="s">
        <v>2279</v>
      </c>
      <c r="N246" t="s">
        <v>2279</v>
      </c>
      <c r="O246" s="190" t="str">
        <f>"["&amp;$C246&amp;"]["&amp;$D246&amp;"]["&amp;$F246&amp;"]"</f>
        <v>[S06_TotalVerifiers][2][CountVerifiersInstallations]</v>
      </c>
    </row>
    <row r="247" spans="1:15" x14ac:dyDescent="0.3">
      <c r="A247" t="s">
        <v>2277</v>
      </c>
      <c r="B247" t="s">
        <v>1951</v>
      </c>
      <c r="C247" t="s">
        <v>1952</v>
      </c>
      <c r="D247">
        <v>3</v>
      </c>
      <c r="E247" t="s">
        <v>1447</v>
      </c>
      <c r="F247" t="s">
        <v>1953</v>
      </c>
      <c r="G247" t="s">
        <v>1748</v>
      </c>
      <c r="H247" t="s">
        <v>2279</v>
      </c>
      <c r="I247">
        <v>2</v>
      </c>
      <c r="J247" t="s">
        <v>2279</v>
      </c>
      <c r="K247" t="s">
        <v>2279</v>
      </c>
      <c r="L247" t="s">
        <v>2279</v>
      </c>
      <c r="M247" t="s">
        <v>2279</v>
      </c>
      <c r="N247" t="s">
        <v>2279</v>
      </c>
      <c r="O247" s="190" t="str">
        <f>"["&amp;$C247&amp;"]["&amp;$D247&amp;"]["&amp;$F247&amp;"]"</f>
        <v>[S06_TotalVerifiers][3][CountVerifiersInstallations]</v>
      </c>
    </row>
    <row r="248" spans="1:15" x14ac:dyDescent="0.3">
      <c r="A248" t="s">
        <v>2277</v>
      </c>
      <c r="B248" t="s">
        <v>1951</v>
      </c>
      <c r="C248" t="s">
        <v>1952</v>
      </c>
      <c r="D248">
        <v>4</v>
      </c>
      <c r="E248" t="s">
        <v>1447</v>
      </c>
      <c r="F248" t="s">
        <v>1953</v>
      </c>
      <c r="G248" t="s">
        <v>1748</v>
      </c>
      <c r="H248" t="s">
        <v>2279</v>
      </c>
      <c r="I248">
        <v>2</v>
      </c>
      <c r="J248" t="s">
        <v>2279</v>
      </c>
      <c r="K248" t="s">
        <v>2279</v>
      </c>
      <c r="L248" t="s">
        <v>2279</v>
      </c>
      <c r="M248" t="s">
        <v>2279</v>
      </c>
      <c r="N248" t="s">
        <v>2279</v>
      </c>
      <c r="O248" s="190" t="str">
        <f>"["&amp;$C248&amp;"]["&amp;$D248&amp;"]["&amp;$F248&amp;"]"</f>
        <v>[S06_TotalVerifiers][4][CountVerifiersInstallations]</v>
      </c>
    </row>
    <row r="249" spans="1:15" x14ac:dyDescent="0.3">
      <c r="A249" t="s">
        <v>2277</v>
      </c>
      <c r="B249" t="s">
        <v>1951</v>
      </c>
      <c r="C249" t="s">
        <v>1952</v>
      </c>
      <c r="D249">
        <v>1</v>
      </c>
      <c r="E249" t="s">
        <v>1447</v>
      </c>
      <c r="F249" t="s">
        <v>1955</v>
      </c>
      <c r="G249" t="s">
        <v>1748</v>
      </c>
      <c r="H249" t="s">
        <v>2279</v>
      </c>
      <c r="I249">
        <v>0</v>
      </c>
      <c r="J249" t="s">
        <v>2279</v>
      </c>
      <c r="K249" t="s">
        <v>2279</v>
      </c>
      <c r="L249" t="s">
        <v>2279</v>
      </c>
      <c r="M249" t="s">
        <v>2279</v>
      </c>
      <c r="N249" t="s">
        <v>2279</v>
      </c>
      <c r="O249" s="190" t="str">
        <f>"["&amp;$C249&amp;"]["&amp;$D249&amp;"]["&amp;$F249&amp;"]"</f>
        <v>[S06_TotalVerifiers][1][CountVerifiersAviation]</v>
      </c>
    </row>
    <row r="250" spans="1:15" x14ac:dyDescent="0.3">
      <c r="A250" t="s">
        <v>2277</v>
      </c>
      <c r="B250" t="s">
        <v>1951</v>
      </c>
      <c r="C250" t="s">
        <v>1952</v>
      </c>
      <c r="D250">
        <v>2</v>
      </c>
      <c r="E250" t="s">
        <v>1447</v>
      </c>
      <c r="F250" t="s">
        <v>1955</v>
      </c>
      <c r="G250" t="s">
        <v>1748</v>
      </c>
      <c r="H250" t="s">
        <v>2279</v>
      </c>
      <c r="I250">
        <v>0</v>
      </c>
      <c r="J250" t="s">
        <v>2279</v>
      </c>
      <c r="K250" t="s">
        <v>2279</v>
      </c>
      <c r="L250" t="s">
        <v>2279</v>
      </c>
      <c r="M250" t="s">
        <v>2279</v>
      </c>
      <c r="N250" t="s">
        <v>2279</v>
      </c>
      <c r="O250" s="190" t="str">
        <f>"["&amp;$C250&amp;"]["&amp;$D250&amp;"]["&amp;$F250&amp;"]"</f>
        <v>[S06_TotalVerifiers][2][CountVerifiersAviation]</v>
      </c>
    </row>
    <row r="251" spans="1:15" x14ac:dyDescent="0.3">
      <c r="A251" t="s">
        <v>2277</v>
      </c>
      <c r="B251" t="s">
        <v>1951</v>
      </c>
      <c r="C251" t="s">
        <v>1952</v>
      </c>
      <c r="D251">
        <v>3</v>
      </c>
      <c r="E251" t="s">
        <v>1447</v>
      </c>
      <c r="F251" t="s">
        <v>1955</v>
      </c>
      <c r="G251" t="s">
        <v>1748</v>
      </c>
      <c r="H251" t="s">
        <v>2279</v>
      </c>
      <c r="I251">
        <v>0</v>
      </c>
      <c r="J251" t="s">
        <v>2279</v>
      </c>
      <c r="K251" t="s">
        <v>2279</v>
      </c>
      <c r="L251" t="s">
        <v>2279</v>
      </c>
      <c r="M251" t="s">
        <v>2279</v>
      </c>
      <c r="N251" t="s">
        <v>2279</v>
      </c>
      <c r="O251" s="190" t="str">
        <f>"["&amp;$C251&amp;"]["&amp;$D251&amp;"]["&amp;$F251&amp;"]"</f>
        <v>[S06_TotalVerifiers][3][CountVerifiersAviation]</v>
      </c>
    </row>
    <row r="252" spans="1:15" x14ac:dyDescent="0.3">
      <c r="A252" t="s">
        <v>2277</v>
      </c>
      <c r="B252" t="s">
        <v>1951</v>
      </c>
      <c r="C252" t="s">
        <v>1952</v>
      </c>
      <c r="D252">
        <v>4</v>
      </c>
      <c r="E252" t="s">
        <v>1447</v>
      </c>
      <c r="F252" t="s">
        <v>1955</v>
      </c>
      <c r="G252" t="s">
        <v>1748</v>
      </c>
      <c r="H252" t="s">
        <v>2279</v>
      </c>
      <c r="I252">
        <v>0</v>
      </c>
      <c r="J252" t="s">
        <v>2279</v>
      </c>
      <c r="K252" t="s">
        <v>2279</v>
      </c>
      <c r="L252" t="s">
        <v>2279</v>
      </c>
      <c r="M252" t="s">
        <v>2279</v>
      </c>
      <c r="N252" t="s">
        <v>2279</v>
      </c>
      <c r="O252" s="190" t="str">
        <f>"["&amp;$C252&amp;"]["&amp;$D252&amp;"]["&amp;$F252&amp;"]"</f>
        <v>[S06_TotalVerifiers][4][CountVerifiersAviation]</v>
      </c>
    </row>
    <row r="253" spans="1:15" x14ac:dyDescent="0.3">
      <c r="A253" t="s">
        <v>2277</v>
      </c>
      <c r="B253" t="s">
        <v>1951</v>
      </c>
      <c r="C253" t="s">
        <v>1957</v>
      </c>
      <c r="D253">
        <v>1</v>
      </c>
      <c r="E253" t="s">
        <v>1447</v>
      </c>
      <c r="F253" t="s">
        <v>1958</v>
      </c>
      <c r="G253" t="s">
        <v>1737</v>
      </c>
      <c r="H253" t="s">
        <v>2279</v>
      </c>
      <c r="I253" t="s">
        <v>2279</v>
      </c>
      <c r="J253" t="s">
        <v>2279</v>
      </c>
      <c r="K253" t="s">
        <v>2279</v>
      </c>
      <c r="L253" t="s">
        <v>1436</v>
      </c>
      <c r="M253" t="s">
        <v>2279</v>
      </c>
      <c r="N253" t="s">
        <v>2279</v>
      </c>
      <c r="O253" s="190" t="str">
        <f>"["&amp;$C253&amp;"]["&amp;$D253&amp;"]["&amp;$F253&amp;"]"</f>
        <v>[S06_AccredCertVerifiersAnnexI][1][AccredCertScope]</v>
      </c>
    </row>
    <row r="254" spans="1:15" x14ac:dyDescent="0.3">
      <c r="A254" t="s">
        <v>2277</v>
      </c>
      <c r="B254" t="s">
        <v>1951</v>
      </c>
      <c r="C254" t="s">
        <v>1957</v>
      </c>
      <c r="D254">
        <v>2</v>
      </c>
      <c r="E254" t="s">
        <v>1447</v>
      </c>
      <c r="F254" t="s">
        <v>1958</v>
      </c>
      <c r="G254" t="s">
        <v>1737</v>
      </c>
      <c r="H254" t="s">
        <v>2279</v>
      </c>
      <c r="I254" t="s">
        <v>2279</v>
      </c>
      <c r="J254" t="s">
        <v>2279</v>
      </c>
      <c r="K254" t="s">
        <v>2279</v>
      </c>
      <c r="L254" t="s">
        <v>1465</v>
      </c>
      <c r="M254" t="s">
        <v>2279</v>
      </c>
      <c r="N254" t="s">
        <v>2279</v>
      </c>
      <c r="O254" s="190" t="str">
        <f>"["&amp;$C254&amp;"]["&amp;$D254&amp;"]["&amp;$F254&amp;"]"</f>
        <v>[S06_AccredCertVerifiersAnnexI][2][AccredCertScope]</v>
      </c>
    </row>
    <row r="255" spans="1:15" x14ac:dyDescent="0.3">
      <c r="A255" t="s">
        <v>2277</v>
      </c>
      <c r="B255" t="s">
        <v>1951</v>
      </c>
      <c r="C255" t="s">
        <v>1957</v>
      </c>
      <c r="D255">
        <v>1</v>
      </c>
      <c r="E255" t="s">
        <v>1447</v>
      </c>
      <c r="F255" t="s">
        <v>1959</v>
      </c>
      <c r="G255" t="s">
        <v>1748</v>
      </c>
      <c r="H255" t="s">
        <v>2279</v>
      </c>
      <c r="I255">
        <v>0</v>
      </c>
      <c r="J255" t="s">
        <v>2279</v>
      </c>
      <c r="K255" t="s">
        <v>2279</v>
      </c>
      <c r="L255" t="s">
        <v>2279</v>
      </c>
      <c r="M255" t="s">
        <v>2279</v>
      </c>
      <c r="N255" t="s">
        <v>2279</v>
      </c>
      <c r="O255" s="190" t="str">
        <f>"["&amp;$C255&amp;"]["&amp;$D255&amp;"]["&amp;$F255&amp;"]"</f>
        <v>[S06_AccredCertVerifiersAnnexI][1][NumberAccredited]</v>
      </c>
    </row>
    <row r="256" spans="1:15" x14ac:dyDescent="0.3">
      <c r="A256" t="s">
        <v>2277</v>
      </c>
      <c r="B256" t="s">
        <v>1951</v>
      </c>
      <c r="C256" t="s">
        <v>1957</v>
      </c>
      <c r="D256">
        <v>2</v>
      </c>
      <c r="E256" t="s">
        <v>1447</v>
      </c>
      <c r="F256" t="s">
        <v>1959</v>
      </c>
      <c r="G256" t="s">
        <v>1748</v>
      </c>
      <c r="H256" t="s">
        <v>2279</v>
      </c>
      <c r="I256">
        <v>0</v>
      </c>
      <c r="J256" t="s">
        <v>2279</v>
      </c>
      <c r="K256" t="s">
        <v>2279</v>
      </c>
      <c r="L256" t="s">
        <v>2279</v>
      </c>
      <c r="M256" t="s">
        <v>2279</v>
      </c>
      <c r="N256" t="s">
        <v>2279</v>
      </c>
      <c r="O256" s="190" t="str">
        <f>"["&amp;$C256&amp;"]["&amp;$D256&amp;"]["&amp;$F256&amp;"]"</f>
        <v>[S06_AccredCertVerifiersAnnexI][2][NumberAccredited]</v>
      </c>
    </row>
    <row r="257" spans="1:15" x14ac:dyDescent="0.3">
      <c r="A257" t="s">
        <v>2277</v>
      </c>
      <c r="B257" t="s">
        <v>1951</v>
      </c>
      <c r="C257" t="s">
        <v>1957</v>
      </c>
      <c r="D257">
        <v>1</v>
      </c>
      <c r="E257" t="s">
        <v>1447</v>
      </c>
      <c r="F257" t="s">
        <v>1960</v>
      </c>
      <c r="G257" t="s">
        <v>1748</v>
      </c>
      <c r="H257" t="s">
        <v>2279</v>
      </c>
      <c r="I257">
        <v>0</v>
      </c>
      <c r="J257" t="s">
        <v>2279</v>
      </c>
      <c r="K257" t="s">
        <v>2279</v>
      </c>
      <c r="L257" t="s">
        <v>2279</v>
      </c>
      <c r="M257" t="s">
        <v>2279</v>
      </c>
      <c r="N257" t="s">
        <v>2279</v>
      </c>
      <c r="O257" s="190" t="str">
        <f>"["&amp;$C257&amp;"]["&amp;$D257&amp;"]["&amp;$F257&amp;"]"</f>
        <v>[S06_AccredCertVerifiersAnnexI][1][NumberCertified]</v>
      </c>
    </row>
    <row r="258" spans="1:15" x14ac:dyDescent="0.3">
      <c r="A258" t="s">
        <v>2277</v>
      </c>
      <c r="B258" t="s">
        <v>1951</v>
      </c>
      <c r="C258" t="s">
        <v>1957</v>
      </c>
      <c r="D258">
        <v>2</v>
      </c>
      <c r="E258" t="s">
        <v>1447</v>
      </c>
      <c r="F258" t="s">
        <v>1960</v>
      </c>
      <c r="G258" t="s">
        <v>1748</v>
      </c>
      <c r="H258" t="s">
        <v>2279</v>
      </c>
      <c r="I258">
        <v>0</v>
      </c>
      <c r="J258" t="s">
        <v>2279</v>
      </c>
      <c r="K258" t="s">
        <v>2279</v>
      </c>
      <c r="L258" t="s">
        <v>2279</v>
      </c>
      <c r="M258" t="s">
        <v>2279</v>
      </c>
      <c r="N258" t="s">
        <v>2279</v>
      </c>
      <c r="O258" s="190" t="str">
        <f>"["&amp;$C258&amp;"]["&amp;$D258&amp;"]["&amp;$F258&amp;"]"</f>
        <v>[S06_AccredCertVerifiersAnnexI][2][NumberCertified]</v>
      </c>
    </row>
    <row r="259" spans="1:15" x14ac:dyDescent="0.3">
      <c r="A259" t="s">
        <v>2277</v>
      </c>
      <c r="B259" t="s">
        <v>1961</v>
      </c>
      <c r="C259" t="s">
        <v>1962</v>
      </c>
      <c r="D259">
        <v>1</v>
      </c>
      <c r="E259" t="s">
        <v>1447</v>
      </c>
      <c r="F259" t="s">
        <v>1963</v>
      </c>
      <c r="G259" t="s">
        <v>1759</v>
      </c>
      <c r="H259" t="s">
        <v>2279</v>
      </c>
      <c r="I259" t="s">
        <v>2279</v>
      </c>
      <c r="J259" t="s">
        <v>2279</v>
      </c>
      <c r="K259" t="s">
        <v>2279</v>
      </c>
      <c r="L259" t="s">
        <v>1447</v>
      </c>
      <c r="M259" t="s">
        <v>2279</v>
      </c>
      <c r="N259" t="s">
        <v>2279</v>
      </c>
      <c r="O259" s="190" t="str">
        <f>"["&amp;$C259&amp;"]["&amp;$D259&amp;"]["&amp;$F259&amp;"]"</f>
        <v>[S06_ApplicationInformationExchangeRequirements1][1][FromOwnMS]</v>
      </c>
    </row>
    <row r="260" spans="1:15" x14ac:dyDescent="0.3">
      <c r="A260" t="s">
        <v>2277</v>
      </c>
      <c r="B260" t="s">
        <v>1961</v>
      </c>
      <c r="C260" t="s">
        <v>1962</v>
      </c>
      <c r="D260">
        <v>1</v>
      </c>
      <c r="E260" t="s">
        <v>1447</v>
      </c>
      <c r="F260" t="s">
        <v>1964</v>
      </c>
      <c r="G260" t="s">
        <v>1759</v>
      </c>
      <c r="H260" t="s">
        <v>2279</v>
      </c>
      <c r="I260" t="s">
        <v>2279</v>
      </c>
      <c r="J260" t="s">
        <v>2279</v>
      </c>
      <c r="K260" t="s">
        <v>2279</v>
      </c>
      <c r="L260" t="s">
        <v>1419</v>
      </c>
      <c r="M260" t="s">
        <v>2279</v>
      </c>
      <c r="N260" t="s">
        <v>2279</v>
      </c>
      <c r="O260" s="190" t="str">
        <f>"["&amp;$C260&amp;"]["&amp;$D260&amp;"]["&amp;$F260&amp;"]"</f>
        <v>[S06_ApplicationInformationExchangeRequirements1][1][FromOtherMS]</v>
      </c>
    </row>
    <row r="261" spans="1:15" x14ac:dyDescent="0.3">
      <c r="A261" t="s">
        <v>2277</v>
      </c>
      <c r="B261" t="s">
        <v>1961</v>
      </c>
      <c r="C261" t="s">
        <v>1962</v>
      </c>
      <c r="D261">
        <v>2</v>
      </c>
      <c r="E261" t="s">
        <v>1447</v>
      </c>
      <c r="F261" t="s">
        <v>1963</v>
      </c>
      <c r="G261" t="s">
        <v>1759</v>
      </c>
      <c r="H261" t="s">
        <v>2279</v>
      </c>
      <c r="I261" t="s">
        <v>2279</v>
      </c>
      <c r="J261" t="s">
        <v>2279</v>
      </c>
      <c r="K261" t="s">
        <v>2279</v>
      </c>
      <c r="L261" t="s">
        <v>1447</v>
      </c>
      <c r="M261" t="s">
        <v>2279</v>
      </c>
      <c r="N261" t="s">
        <v>2279</v>
      </c>
      <c r="O261" s="190" t="str">
        <f>"["&amp;$C261&amp;"]["&amp;$D261&amp;"]["&amp;$F261&amp;"]"</f>
        <v>[S06_ApplicationInformationExchangeRequirements1][2][FromOwnMS]</v>
      </c>
    </row>
    <row r="262" spans="1:15" x14ac:dyDescent="0.3">
      <c r="A262" t="s">
        <v>2277</v>
      </c>
      <c r="B262" t="s">
        <v>1961</v>
      </c>
      <c r="C262" t="s">
        <v>1962</v>
      </c>
      <c r="D262">
        <v>2</v>
      </c>
      <c r="E262" t="s">
        <v>1447</v>
      </c>
      <c r="F262" t="s">
        <v>1964</v>
      </c>
      <c r="G262" t="s">
        <v>1759</v>
      </c>
      <c r="H262" t="s">
        <v>2279</v>
      </c>
      <c r="I262" t="s">
        <v>2279</v>
      </c>
      <c r="J262" t="s">
        <v>2279</v>
      </c>
      <c r="K262" t="s">
        <v>2279</v>
      </c>
      <c r="L262" t="s">
        <v>1419</v>
      </c>
      <c r="M262" t="s">
        <v>2279</v>
      </c>
      <c r="N262" t="s">
        <v>2279</v>
      </c>
      <c r="O262" s="190" t="str">
        <f>"["&amp;$C262&amp;"]["&amp;$D262&amp;"]["&amp;$F262&amp;"]"</f>
        <v>[S06_ApplicationInformationExchangeRequirements1][2][FromOtherMS]</v>
      </c>
    </row>
    <row r="263" spans="1:15" x14ac:dyDescent="0.3">
      <c r="A263" t="s">
        <v>2277</v>
      </c>
      <c r="B263" t="s">
        <v>1961</v>
      </c>
      <c r="C263" t="s">
        <v>1965</v>
      </c>
      <c r="D263">
        <v>1</v>
      </c>
      <c r="E263" t="s">
        <v>1447</v>
      </c>
      <c r="F263" t="s">
        <v>1966</v>
      </c>
      <c r="G263" t="s">
        <v>1748</v>
      </c>
      <c r="H263" t="s">
        <v>2279</v>
      </c>
      <c r="I263">
        <v>0</v>
      </c>
      <c r="J263" t="s">
        <v>2279</v>
      </c>
      <c r="K263" t="s">
        <v>2279</v>
      </c>
      <c r="L263" t="s">
        <v>2279</v>
      </c>
      <c r="M263" t="s">
        <v>2279</v>
      </c>
      <c r="N263" t="s">
        <v>2279</v>
      </c>
      <c r="O263" s="190" t="str">
        <f>"["&amp;$C263&amp;"]["&amp;$D263&amp;"]["&amp;$F263&amp;"]"</f>
        <v>[S06_ApplicationInformationExchangeRequirements2][1][NumberImposedOnVerifiersSuspension]</v>
      </c>
    </row>
    <row r="264" spans="1:15" x14ac:dyDescent="0.3">
      <c r="A264" t="s">
        <v>2277</v>
      </c>
      <c r="B264" t="s">
        <v>1961</v>
      </c>
      <c r="C264" t="s">
        <v>1965</v>
      </c>
      <c r="D264">
        <v>1</v>
      </c>
      <c r="E264" t="s">
        <v>1447</v>
      </c>
      <c r="F264" t="s">
        <v>1967</v>
      </c>
      <c r="G264" t="s">
        <v>1748</v>
      </c>
      <c r="H264" t="s">
        <v>2279</v>
      </c>
      <c r="I264">
        <v>0</v>
      </c>
      <c r="J264" t="s">
        <v>2279</v>
      </c>
      <c r="K264" t="s">
        <v>2279</v>
      </c>
      <c r="L264" t="s">
        <v>2279</v>
      </c>
      <c r="M264" t="s">
        <v>2279</v>
      </c>
      <c r="N264" t="s">
        <v>2279</v>
      </c>
      <c r="O264" s="190" t="str">
        <f>"["&amp;$C264&amp;"]["&amp;$D264&amp;"]["&amp;$F264&amp;"]"</f>
        <v>[S06_ApplicationInformationExchangeRequirements2][1][NumberImposedOnVerifiersWithdrawal]</v>
      </c>
    </row>
    <row r="265" spans="1:15" x14ac:dyDescent="0.3">
      <c r="A265" t="s">
        <v>2277</v>
      </c>
      <c r="B265" t="s">
        <v>1961</v>
      </c>
      <c r="C265" t="s">
        <v>1965</v>
      </c>
      <c r="D265">
        <v>1</v>
      </c>
      <c r="E265" t="s">
        <v>1447</v>
      </c>
      <c r="F265" t="s">
        <v>1968</v>
      </c>
      <c r="G265" t="s">
        <v>1748</v>
      </c>
      <c r="H265" t="s">
        <v>2279</v>
      </c>
      <c r="I265">
        <v>0</v>
      </c>
      <c r="J265" t="s">
        <v>2279</v>
      </c>
      <c r="K265" t="s">
        <v>2279</v>
      </c>
      <c r="L265" t="s">
        <v>2279</v>
      </c>
      <c r="M265" t="s">
        <v>2279</v>
      </c>
      <c r="N265" t="s">
        <v>2279</v>
      </c>
      <c r="O265" s="190" t="str">
        <f>"["&amp;$C265&amp;"]["&amp;$D265&amp;"]["&amp;$F265&amp;"]"</f>
        <v>[S06_ApplicationInformationExchangeRequirements2][1][NumberImposedOnVerifiersReductionOfScope]</v>
      </c>
    </row>
    <row r="266" spans="1:15" x14ac:dyDescent="0.3">
      <c r="A266" t="s">
        <v>2277</v>
      </c>
      <c r="B266" t="s">
        <v>1961</v>
      </c>
      <c r="C266" t="s">
        <v>1965</v>
      </c>
      <c r="D266">
        <v>2</v>
      </c>
      <c r="E266" t="s">
        <v>1447</v>
      </c>
      <c r="F266" t="s">
        <v>1966</v>
      </c>
      <c r="G266" t="s">
        <v>1748</v>
      </c>
      <c r="H266" t="s">
        <v>2279</v>
      </c>
      <c r="I266">
        <v>0</v>
      </c>
      <c r="J266" t="s">
        <v>2279</v>
      </c>
      <c r="K266" t="s">
        <v>2279</v>
      </c>
      <c r="L266" t="s">
        <v>2279</v>
      </c>
      <c r="M266" t="s">
        <v>2279</v>
      </c>
      <c r="N266" t="s">
        <v>2279</v>
      </c>
      <c r="O266" s="190" t="str">
        <f>"["&amp;$C266&amp;"]["&amp;$D266&amp;"]["&amp;$F266&amp;"]"</f>
        <v>[S06_ApplicationInformationExchangeRequirements2][2][NumberImposedOnVerifiersSuspension]</v>
      </c>
    </row>
    <row r="267" spans="1:15" x14ac:dyDescent="0.3">
      <c r="A267" t="s">
        <v>2277</v>
      </c>
      <c r="B267" t="s">
        <v>1961</v>
      </c>
      <c r="C267" t="s">
        <v>1965</v>
      </c>
      <c r="D267">
        <v>2</v>
      </c>
      <c r="E267" t="s">
        <v>1447</v>
      </c>
      <c r="F267" t="s">
        <v>1967</v>
      </c>
      <c r="G267" t="s">
        <v>1748</v>
      </c>
      <c r="H267" t="s">
        <v>2279</v>
      </c>
      <c r="I267">
        <v>0</v>
      </c>
      <c r="J267" t="s">
        <v>2279</v>
      </c>
      <c r="K267" t="s">
        <v>2279</v>
      </c>
      <c r="L267" t="s">
        <v>2279</v>
      </c>
      <c r="M267" t="s">
        <v>2279</v>
      </c>
      <c r="N267" t="s">
        <v>2279</v>
      </c>
      <c r="O267" s="190" t="str">
        <f>"["&amp;$C267&amp;"]["&amp;$D267&amp;"]["&amp;$F267&amp;"]"</f>
        <v>[S06_ApplicationInformationExchangeRequirements2][2][NumberImposedOnVerifiersWithdrawal]</v>
      </c>
    </row>
    <row r="268" spans="1:15" x14ac:dyDescent="0.3">
      <c r="A268" t="s">
        <v>2277</v>
      </c>
      <c r="B268" t="s">
        <v>1961</v>
      </c>
      <c r="C268" t="s">
        <v>1965</v>
      </c>
      <c r="D268">
        <v>2</v>
      </c>
      <c r="E268" t="s">
        <v>1447</v>
      </c>
      <c r="F268" t="s">
        <v>1968</v>
      </c>
      <c r="G268" t="s">
        <v>1748</v>
      </c>
      <c r="H268" t="s">
        <v>2279</v>
      </c>
      <c r="I268">
        <v>0</v>
      </c>
      <c r="J268" t="s">
        <v>2279</v>
      </c>
      <c r="K268" t="s">
        <v>2279</v>
      </c>
      <c r="L268" t="s">
        <v>2279</v>
      </c>
      <c r="M268" t="s">
        <v>2279</v>
      </c>
      <c r="N268" t="s">
        <v>2279</v>
      </c>
      <c r="O268" s="190" t="str">
        <f>"["&amp;$C268&amp;"]["&amp;$D268&amp;"]["&amp;$F268&amp;"]"</f>
        <v>[S06_ApplicationInformationExchangeRequirements2][2][NumberImposedOnVerifiersReductionOfScope]</v>
      </c>
    </row>
    <row r="269" spans="1:15" x14ac:dyDescent="0.3">
      <c r="A269" t="s">
        <v>2277</v>
      </c>
      <c r="B269" t="s">
        <v>1961</v>
      </c>
      <c r="C269" t="s">
        <v>1969</v>
      </c>
      <c r="D269">
        <v>0</v>
      </c>
      <c r="E269" t="s">
        <v>1447</v>
      </c>
      <c r="F269" t="s">
        <v>1970</v>
      </c>
      <c r="G269" t="s">
        <v>1748</v>
      </c>
      <c r="H269" t="s">
        <v>2279</v>
      </c>
      <c r="I269">
        <v>0</v>
      </c>
      <c r="J269" t="s">
        <v>2279</v>
      </c>
      <c r="K269" t="s">
        <v>2279</v>
      </c>
      <c r="L269" t="s">
        <v>2279</v>
      </c>
      <c r="M269" t="s">
        <v>2279</v>
      </c>
      <c r="N269" t="s">
        <v>2279</v>
      </c>
      <c r="O269" s="190" t="str">
        <f>"["&amp;$C269&amp;"]["&amp;$D269&amp;"]["&amp;$F269&amp;"]"</f>
        <v>[S06_ApplicationInformationExchangeRequirements3][0][TimesSurveillanceRequested]</v>
      </c>
    </row>
    <row r="270" spans="1:15" x14ac:dyDescent="0.3">
      <c r="A270" t="s">
        <v>2277</v>
      </c>
      <c r="B270" t="s">
        <v>1961</v>
      </c>
      <c r="C270" t="s">
        <v>1971</v>
      </c>
      <c r="D270">
        <v>1</v>
      </c>
      <c r="E270" t="s">
        <v>1447</v>
      </c>
      <c r="F270" t="s">
        <v>1972</v>
      </c>
      <c r="G270" t="s">
        <v>1748</v>
      </c>
      <c r="H270" t="s">
        <v>2279</v>
      </c>
      <c r="I270">
        <v>0</v>
      </c>
      <c r="J270" t="s">
        <v>2279</v>
      </c>
      <c r="K270" t="s">
        <v>2279</v>
      </c>
      <c r="L270" t="s">
        <v>2279</v>
      </c>
      <c r="M270" t="s">
        <v>2279</v>
      </c>
      <c r="N270" t="s">
        <v>2279</v>
      </c>
      <c r="O270" s="190" t="str">
        <f>"["&amp;$C270&amp;"]["&amp;$D270&amp;"]["&amp;$F270&amp;"]"</f>
        <v>[S06_ApplicationInformationExchangeRequirements4][1][NumberOfIssues]</v>
      </c>
    </row>
    <row r="271" spans="1:15" x14ac:dyDescent="0.3">
      <c r="A271" t="s">
        <v>2277</v>
      </c>
      <c r="B271" t="s">
        <v>1961</v>
      </c>
      <c r="C271" t="s">
        <v>1971</v>
      </c>
      <c r="D271">
        <v>1</v>
      </c>
      <c r="E271" t="s">
        <v>1447</v>
      </c>
      <c r="F271" t="s">
        <v>1973</v>
      </c>
      <c r="G271" t="s">
        <v>1748</v>
      </c>
      <c r="H271" t="s">
        <v>2279</v>
      </c>
      <c r="I271">
        <v>0</v>
      </c>
      <c r="J271" t="s">
        <v>2279</v>
      </c>
      <c r="K271" t="s">
        <v>2279</v>
      </c>
      <c r="L271" t="s">
        <v>2279</v>
      </c>
      <c r="M271" t="s">
        <v>2279</v>
      </c>
      <c r="N271" t="s">
        <v>2279</v>
      </c>
      <c r="O271" s="190" t="str">
        <f>"["&amp;$C271&amp;"]["&amp;$D271&amp;"]["&amp;$F271&amp;"]"</f>
        <v>[S06_ApplicationInformationExchangeRequirements4][1][NumberOfIssuesResolved]</v>
      </c>
    </row>
    <row r="272" spans="1:15" x14ac:dyDescent="0.3">
      <c r="A272" t="s">
        <v>2277</v>
      </c>
      <c r="B272" t="s">
        <v>1961</v>
      </c>
      <c r="C272" t="s">
        <v>1971</v>
      </c>
      <c r="D272">
        <v>1</v>
      </c>
      <c r="E272" t="s">
        <v>1447</v>
      </c>
      <c r="F272" t="s">
        <v>1974</v>
      </c>
      <c r="G272" t="s">
        <v>1748</v>
      </c>
      <c r="H272" t="s">
        <v>2279</v>
      </c>
      <c r="I272">
        <v>0</v>
      </c>
      <c r="J272" t="s">
        <v>2279</v>
      </c>
      <c r="K272" t="s">
        <v>2279</v>
      </c>
      <c r="L272" t="s">
        <v>2279</v>
      </c>
      <c r="M272" t="s">
        <v>2279</v>
      </c>
      <c r="N272" t="s">
        <v>2279</v>
      </c>
      <c r="O272" s="190" t="str">
        <f>"["&amp;$C272&amp;"]["&amp;$D272&amp;"]["&amp;$F272&amp;"]"</f>
        <v>[S06_ApplicationInformationExchangeRequirements4][1][NumberOfPriorIssuesResolved]</v>
      </c>
    </row>
    <row r="273" spans="1:15" x14ac:dyDescent="0.3">
      <c r="A273" t="s">
        <v>2277</v>
      </c>
      <c r="B273" t="s">
        <v>1961</v>
      </c>
      <c r="C273" t="s">
        <v>1971</v>
      </c>
      <c r="D273">
        <v>2</v>
      </c>
      <c r="E273" t="s">
        <v>1447</v>
      </c>
      <c r="F273" t="s">
        <v>1972</v>
      </c>
      <c r="G273" t="s">
        <v>1748</v>
      </c>
      <c r="H273" t="s">
        <v>2279</v>
      </c>
      <c r="I273">
        <v>0</v>
      </c>
      <c r="J273" t="s">
        <v>2279</v>
      </c>
      <c r="K273" t="s">
        <v>2279</v>
      </c>
      <c r="L273" t="s">
        <v>2279</v>
      </c>
      <c r="M273" t="s">
        <v>2279</v>
      </c>
      <c r="N273" t="s">
        <v>2279</v>
      </c>
      <c r="O273" s="190" t="str">
        <f>"["&amp;$C273&amp;"]["&amp;$D273&amp;"]["&amp;$F273&amp;"]"</f>
        <v>[S06_ApplicationInformationExchangeRequirements4][2][NumberOfIssues]</v>
      </c>
    </row>
    <row r="274" spans="1:15" x14ac:dyDescent="0.3">
      <c r="A274" t="s">
        <v>2277</v>
      </c>
      <c r="B274" t="s">
        <v>1961</v>
      </c>
      <c r="C274" t="s">
        <v>1971</v>
      </c>
      <c r="D274">
        <v>2</v>
      </c>
      <c r="E274" t="s">
        <v>1447</v>
      </c>
      <c r="F274" t="s">
        <v>1973</v>
      </c>
      <c r="G274" t="s">
        <v>1748</v>
      </c>
      <c r="H274" t="s">
        <v>2279</v>
      </c>
      <c r="I274">
        <v>0</v>
      </c>
      <c r="J274" t="s">
        <v>2279</v>
      </c>
      <c r="K274" t="s">
        <v>2279</v>
      </c>
      <c r="L274" t="s">
        <v>2279</v>
      </c>
      <c r="M274" t="s">
        <v>2279</v>
      </c>
      <c r="N274" t="s">
        <v>2279</v>
      </c>
      <c r="O274" s="190" t="str">
        <f>"["&amp;$C274&amp;"]["&amp;$D274&amp;"]["&amp;$F274&amp;"]"</f>
        <v>[S06_ApplicationInformationExchangeRequirements4][2][NumberOfIssuesResolved]</v>
      </c>
    </row>
    <row r="275" spans="1:15" x14ac:dyDescent="0.3">
      <c r="A275" t="s">
        <v>2277</v>
      </c>
      <c r="B275" t="s">
        <v>1961</v>
      </c>
      <c r="C275" t="s">
        <v>1971</v>
      </c>
      <c r="D275">
        <v>2</v>
      </c>
      <c r="E275" t="s">
        <v>1447</v>
      </c>
      <c r="F275" t="s">
        <v>1974</v>
      </c>
      <c r="G275" t="s">
        <v>1748</v>
      </c>
      <c r="H275" t="s">
        <v>2279</v>
      </c>
      <c r="I275">
        <v>0</v>
      </c>
      <c r="J275" t="s">
        <v>2279</v>
      </c>
      <c r="K275" t="s">
        <v>2279</v>
      </c>
      <c r="L275" t="s">
        <v>2279</v>
      </c>
      <c r="M275" t="s">
        <v>2279</v>
      </c>
      <c r="N275" t="s">
        <v>2279</v>
      </c>
      <c r="O275" s="190" t="str">
        <f>"["&amp;$C275&amp;"]["&amp;$D275&amp;"]["&amp;$F275&amp;"]"</f>
        <v>[S06_ApplicationInformationExchangeRequirements4][2][NumberOfPriorIssuesResolved]</v>
      </c>
    </row>
    <row r="276" spans="1:15" x14ac:dyDescent="0.3">
      <c r="A276" t="s">
        <v>2277</v>
      </c>
      <c r="B276" t="s">
        <v>1961</v>
      </c>
      <c r="C276" t="s">
        <v>1971</v>
      </c>
      <c r="D276">
        <v>3</v>
      </c>
      <c r="E276" t="s">
        <v>1447</v>
      </c>
      <c r="F276" t="s">
        <v>1972</v>
      </c>
      <c r="G276" t="s">
        <v>1748</v>
      </c>
      <c r="H276" t="s">
        <v>2279</v>
      </c>
      <c r="I276">
        <v>0</v>
      </c>
      <c r="J276" t="s">
        <v>2279</v>
      </c>
      <c r="K276" t="s">
        <v>2279</v>
      </c>
      <c r="L276" t="s">
        <v>2279</v>
      </c>
      <c r="M276" t="s">
        <v>2279</v>
      </c>
      <c r="N276" t="s">
        <v>2279</v>
      </c>
      <c r="O276" s="190" t="str">
        <f>"["&amp;$C276&amp;"]["&amp;$D276&amp;"]["&amp;$F276&amp;"]"</f>
        <v>[S06_ApplicationInformationExchangeRequirements4][3][NumberOfIssues]</v>
      </c>
    </row>
    <row r="277" spans="1:15" x14ac:dyDescent="0.3">
      <c r="A277" t="s">
        <v>2277</v>
      </c>
      <c r="B277" t="s">
        <v>1961</v>
      </c>
      <c r="C277" t="s">
        <v>1971</v>
      </c>
      <c r="D277">
        <v>3</v>
      </c>
      <c r="E277" t="s">
        <v>1447</v>
      </c>
      <c r="F277" t="s">
        <v>1973</v>
      </c>
      <c r="G277" t="s">
        <v>1748</v>
      </c>
      <c r="H277" t="s">
        <v>2279</v>
      </c>
      <c r="I277">
        <v>0</v>
      </c>
      <c r="J277" t="s">
        <v>2279</v>
      </c>
      <c r="K277" t="s">
        <v>2279</v>
      </c>
      <c r="L277" t="s">
        <v>2279</v>
      </c>
      <c r="M277" t="s">
        <v>2279</v>
      </c>
      <c r="N277" t="s">
        <v>2279</v>
      </c>
      <c r="O277" s="190" t="str">
        <f>"["&amp;$C277&amp;"]["&amp;$D277&amp;"]["&amp;$F277&amp;"]"</f>
        <v>[S06_ApplicationInformationExchangeRequirements4][3][NumberOfIssuesResolved]</v>
      </c>
    </row>
    <row r="278" spans="1:15" x14ac:dyDescent="0.3">
      <c r="A278" t="s">
        <v>2277</v>
      </c>
      <c r="B278" t="s">
        <v>1961</v>
      </c>
      <c r="C278" t="s">
        <v>1971</v>
      </c>
      <c r="D278">
        <v>3</v>
      </c>
      <c r="E278" t="s">
        <v>1447</v>
      </c>
      <c r="F278" t="s">
        <v>1974</v>
      </c>
      <c r="G278" t="s">
        <v>1748</v>
      </c>
      <c r="H278" t="s">
        <v>2279</v>
      </c>
      <c r="I278">
        <v>0</v>
      </c>
      <c r="J278" t="s">
        <v>2279</v>
      </c>
      <c r="K278" t="s">
        <v>2279</v>
      </c>
      <c r="L278" t="s">
        <v>2279</v>
      </c>
      <c r="M278" t="s">
        <v>2279</v>
      </c>
      <c r="N278" t="s">
        <v>2279</v>
      </c>
      <c r="O278" s="190" t="str">
        <f>"["&amp;$C278&amp;"]["&amp;$D278&amp;"]["&amp;$F278&amp;"]"</f>
        <v>[S06_ApplicationInformationExchangeRequirements4][3][NumberOfPriorIssuesResolved]</v>
      </c>
    </row>
    <row r="279" spans="1:15" x14ac:dyDescent="0.3">
      <c r="A279" t="s">
        <v>2277</v>
      </c>
      <c r="B279" t="s">
        <v>1975</v>
      </c>
      <c r="C279" t="s">
        <v>1983</v>
      </c>
      <c r="D279">
        <v>1</v>
      </c>
      <c r="E279" t="s">
        <v>1447</v>
      </c>
      <c r="F279" t="s">
        <v>1984</v>
      </c>
      <c r="G279" t="s">
        <v>1748</v>
      </c>
      <c r="H279" t="s">
        <v>2279</v>
      </c>
      <c r="I279">
        <v>0</v>
      </c>
      <c r="J279" t="s">
        <v>2279</v>
      </c>
      <c r="K279" t="s">
        <v>2279</v>
      </c>
      <c r="L279" t="s">
        <v>2279</v>
      </c>
      <c r="M279" t="s">
        <v>2279</v>
      </c>
      <c r="N279" t="s">
        <v>2279</v>
      </c>
      <c r="O279" s="190" t="str">
        <f>"["&amp;$C279&amp;"]["&amp;$D279&amp;"]["&amp;$F279&amp;"]"</f>
        <v>[S06_NegativeOpinionInstallations][1][CountNegativeOpinions]</v>
      </c>
    </row>
    <row r="280" spans="1:15" x14ac:dyDescent="0.3">
      <c r="A280" t="s">
        <v>2277</v>
      </c>
      <c r="B280" t="s">
        <v>1975</v>
      </c>
      <c r="C280" t="s">
        <v>1983</v>
      </c>
      <c r="D280">
        <v>2</v>
      </c>
      <c r="E280" t="s">
        <v>1447</v>
      </c>
      <c r="F280" t="s">
        <v>1984</v>
      </c>
      <c r="G280" t="s">
        <v>1748</v>
      </c>
      <c r="H280" t="s">
        <v>2279</v>
      </c>
      <c r="I280">
        <v>0</v>
      </c>
      <c r="J280" t="s">
        <v>2279</v>
      </c>
      <c r="K280" t="s">
        <v>2279</v>
      </c>
      <c r="L280" t="s">
        <v>2279</v>
      </c>
      <c r="M280" t="s">
        <v>2279</v>
      </c>
      <c r="N280" t="s">
        <v>2279</v>
      </c>
      <c r="O280" s="190" t="str">
        <f>"["&amp;$C280&amp;"]["&amp;$D280&amp;"]["&amp;$F280&amp;"]"</f>
        <v>[S06_NegativeOpinionInstallations][2][CountNegativeOpinions]</v>
      </c>
    </row>
    <row r="281" spans="1:15" x14ac:dyDescent="0.3">
      <c r="A281" t="s">
        <v>2277</v>
      </c>
      <c r="B281" t="s">
        <v>1975</v>
      </c>
      <c r="C281" t="s">
        <v>1983</v>
      </c>
      <c r="D281">
        <v>3</v>
      </c>
      <c r="E281" t="s">
        <v>1447</v>
      </c>
      <c r="F281" t="s">
        <v>1984</v>
      </c>
      <c r="G281" t="s">
        <v>1748</v>
      </c>
      <c r="H281" t="s">
        <v>2279</v>
      </c>
      <c r="I281">
        <v>0</v>
      </c>
      <c r="J281" t="s">
        <v>2279</v>
      </c>
      <c r="K281" t="s">
        <v>2279</v>
      </c>
      <c r="L281" t="s">
        <v>2279</v>
      </c>
      <c r="M281" t="s">
        <v>2279</v>
      </c>
      <c r="N281" t="s">
        <v>2279</v>
      </c>
      <c r="O281" s="190" t="str">
        <f>"["&amp;$C281&amp;"]["&amp;$D281&amp;"]["&amp;$F281&amp;"]"</f>
        <v>[S06_NegativeOpinionInstallations][3][CountNegativeOpinions]</v>
      </c>
    </row>
    <row r="282" spans="1:15" x14ac:dyDescent="0.3">
      <c r="A282" t="s">
        <v>2277</v>
      </c>
      <c r="B282" t="s">
        <v>1975</v>
      </c>
      <c r="C282" t="s">
        <v>1983</v>
      </c>
      <c r="D282">
        <v>4</v>
      </c>
      <c r="E282" t="s">
        <v>1447</v>
      </c>
      <c r="F282" t="s">
        <v>1984</v>
      </c>
      <c r="G282" t="s">
        <v>1748</v>
      </c>
      <c r="H282" t="s">
        <v>2279</v>
      </c>
      <c r="I282">
        <v>0</v>
      </c>
      <c r="J282" t="s">
        <v>2279</v>
      </c>
      <c r="K282" t="s">
        <v>2279</v>
      </c>
      <c r="L282" t="s">
        <v>2279</v>
      </c>
      <c r="M282" t="s">
        <v>2279</v>
      </c>
      <c r="N282" t="s">
        <v>2279</v>
      </c>
      <c r="O282" s="190" t="str">
        <f>"["&amp;$C282&amp;"]["&amp;$D282&amp;"]["&amp;$F282&amp;"]"</f>
        <v>[S06_NegativeOpinionInstallations][4][CountNegativeOpinions]</v>
      </c>
    </row>
    <row r="283" spans="1:15" x14ac:dyDescent="0.3">
      <c r="A283" t="s">
        <v>2277</v>
      </c>
      <c r="B283" t="s">
        <v>1985</v>
      </c>
      <c r="C283" t="s">
        <v>1986</v>
      </c>
      <c r="D283">
        <v>0</v>
      </c>
      <c r="E283" t="s">
        <v>1447</v>
      </c>
      <c r="F283" t="s">
        <v>1986</v>
      </c>
      <c r="G283" t="s">
        <v>1759</v>
      </c>
      <c r="H283" t="s">
        <v>2279</v>
      </c>
      <c r="I283" t="s">
        <v>2279</v>
      </c>
      <c r="J283" t="s">
        <v>2279</v>
      </c>
      <c r="K283" t="s">
        <v>2279</v>
      </c>
      <c r="L283" t="s">
        <v>1419</v>
      </c>
      <c r="M283" t="s">
        <v>2279</v>
      </c>
      <c r="N283" t="s">
        <v>2279</v>
      </c>
      <c r="O283" s="190" t="str">
        <f>"["&amp;$C283&amp;"]["&amp;$D283&amp;"]["&amp;$F283&amp;"]"</f>
        <v>[InstallationsVerificationReportIssues][0][InstallationsVerificationReportIssues]</v>
      </c>
    </row>
    <row r="284" spans="1:15" x14ac:dyDescent="0.3">
      <c r="A284" t="s">
        <v>2277</v>
      </c>
      <c r="B284" t="s">
        <v>1985</v>
      </c>
      <c r="C284" t="s">
        <v>1987</v>
      </c>
      <c r="D284">
        <v>1</v>
      </c>
      <c r="E284" t="s">
        <v>1447</v>
      </c>
      <c r="F284" t="s">
        <v>1988</v>
      </c>
      <c r="G284" t="s">
        <v>1737</v>
      </c>
      <c r="H284" t="s">
        <v>2279</v>
      </c>
      <c r="I284" t="s">
        <v>2279</v>
      </c>
      <c r="J284" t="s">
        <v>2279</v>
      </c>
      <c r="K284" t="s">
        <v>2279</v>
      </c>
      <c r="L284" t="s">
        <v>1420</v>
      </c>
      <c r="M284" t="s">
        <v>2279</v>
      </c>
      <c r="N284" t="s">
        <v>2279</v>
      </c>
      <c r="O284" s="190" t="str">
        <f>"["&amp;$C284&amp;"]["&amp;$D284&amp;"]["&amp;$F284&amp;"]"</f>
        <v>[S06_InstallationsVerificationReportsIssueDetail][1][AnnexIActivity]</v>
      </c>
    </row>
    <row r="285" spans="1:15" x14ac:dyDescent="0.3">
      <c r="A285" t="s">
        <v>2277</v>
      </c>
      <c r="B285" t="s">
        <v>1985</v>
      </c>
      <c r="C285" t="s">
        <v>1987</v>
      </c>
      <c r="D285">
        <v>2</v>
      </c>
      <c r="E285" t="s">
        <v>1447</v>
      </c>
      <c r="F285" t="s">
        <v>1988</v>
      </c>
      <c r="G285" t="s">
        <v>1737</v>
      </c>
      <c r="H285" t="s">
        <v>2279</v>
      </c>
      <c r="I285" t="s">
        <v>2279</v>
      </c>
      <c r="J285" t="s">
        <v>2279</v>
      </c>
      <c r="K285" t="s">
        <v>2279</v>
      </c>
      <c r="L285" t="s">
        <v>1420</v>
      </c>
      <c r="M285" t="s">
        <v>2279</v>
      </c>
      <c r="N285" t="s">
        <v>2279</v>
      </c>
      <c r="O285" s="190" t="str">
        <f>"["&amp;$C285&amp;"]["&amp;$D285&amp;"]["&amp;$F285&amp;"]"</f>
        <v>[S06_InstallationsVerificationReportsIssueDetail][2][AnnexIActivity]</v>
      </c>
    </row>
    <row r="286" spans="1:15" x14ac:dyDescent="0.3">
      <c r="A286" t="s">
        <v>2277</v>
      </c>
      <c r="B286" t="s">
        <v>1985</v>
      </c>
      <c r="C286" t="s">
        <v>1987</v>
      </c>
      <c r="D286">
        <v>1</v>
      </c>
      <c r="E286" t="s">
        <v>1447</v>
      </c>
      <c r="F286" t="s">
        <v>1989</v>
      </c>
      <c r="G286" t="s">
        <v>1737</v>
      </c>
      <c r="H286" t="s">
        <v>2279</v>
      </c>
      <c r="I286" t="s">
        <v>2279</v>
      </c>
      <c r="J286" t="s">
        <v>2279</v>
      </c>
      <c r="K286" t="s">
        <v>2279</v>
      </c>
      <c r="L286" t="s">
        <v>1467</v>
      </c>
      <c r="M286" t="s">
        <v>2279</v>
      </c>
      <c r="N286" t="s">
        <v>2279</v>
      </c>
      <c r="O286" s="190" t="str">
        <f>"["&amp;$C286&amp;"]["&amp;$D286&amp;"]["&amp;$F286&amp;"]"</f>
        <v>[S06_InstallationsVerificationReportsIssueDetail][1][TypeOfIssue]</v>
      </c>
    </row>
    <row r="287" spans="1:15" x14ac:dyDescent="0.3">
      <c r="A287" t="s">
        <v>2277</v>
      </c>
      <c r="B287" t="s">
        <v>1985</v>
      </c>
      <c r="C287" t="s">
        <v>1987</v>
      </c>
      <c r="D287">
        <v>2</v>
      </c>
      <c r="E287" t="s">
        <v>1447</v>
      </c>
      <c r="F287" t="s">
        <v>1989</v>
      </c>
      <c r="G287" t="s">
        <v>1737</v>
      </c>
      <c r="H287" t="s">
        <v>2279</v>
      </c>
      <c r="I287" t="s">
        <v>2279</v>
      </c>
      <c r="J287" t="s">
        <v>2279</v>
      </c>
      <c r="K287" t="s">
        <v>2279</v>
      </c>
      <c r="L287" t="s">
        <v>1512</v>
      </c>
      <c r="M287" t="s">
        <v>2279</v>
      </c>
      <c r="N287" t="s">
        <v>2279</v>
      </c>
      <c r="O287" s="190" t="str">
        <f>"["&amp;$C287&amp;"]["&amp;$D287&amp;"]["&amp;$F287&amp;"]"</f>
        <v>[S06_InstallationsVerificationReportsIssueDetail][2][TypeOfIssue]</v>
      </c>
    </row>
    <row r="288" spans="1:15" x14ac:dyDescent="0.3">
      <c r="A288" t="s">
        <v>2277</v>
      </c>
      <c r="B288" t="s">
        <v>1985</v>
      </c>
      <c r="C288" t="s">
        <v>1987</v>
      </c>
      <c r="D288">
        <v>1</v>
      </c>
      <c r="E288" t="s">
        <v>1447</v>
      </c>
      <c r="F288" t="s">
        <v>1798</v>
      </c>
      <c r="G288" t="s">
        <v>1748</v>
      </c>
      <c r="H288" t="s">
        <v>2279</v>
      </c>
      <c r="I288">
        <v>2</v>
      </c>
      <c r="J288" t="s">
        <v>2279</v>
      </c>
      <c r="K288" t="s">
        <v>2279</v>
      </c>
      <c r="L288" t="s">
        <v>2279</v>
      </c>
      <c r="M288" t="s">
        <v>2279</v>
      </c>
      <c r="N288" t="s">
        <v>2279</v>
      </c>
      <c r="O288" s="190" t="str">
        <f>"["&amp;$C288&amp;"]["&amp;$D288&amp;"]["&amp;$F288&amp;"]"</f>
        <v>[S06_InstallationsVerificationReportsIssueDetail][1][NumberOfInstallations]</v>
      </c>
    </row>
    <row r="289" spans="1:15" x14ac:dyDescent="0.3">
      <c r="A289" t="s">
        <v>2277</v>
      </c>
      <c r="B289" t="s">
        <v>1985</v>
      </c>
      <c r="C289" t="s">
        <v>1987</v>
      </c>
      <c r="D289">
        <v>2</v>
      </c>
      <c r="E289" t="s">
        <v>1447</v>
      </c>
      <c r="F289" t="s">
        <v>1798</v>
      </c>
      <c r="G289" t="s">
        <v>1748</v>
      </c>
      <c r="H289" t="s">
        <v>2279</v>
      </c>
      <c r="I289">
        <v>2</v>
      </c>
      <c r="J289" t="s">
        <v>2279</v>
      </c>
      <c r="K289" t="s">
        <v>2279</v>
      </c>
      <c r="L289" t="s">
        <v>2279</v>
      </c>
      <c r="M289" t="s">
        <v>2279</v>
      </c>
      <c r="N289" t="s">
        <v>2279</v>
      </c>
      <c r="O289" s="190" t="str">
        <f>"["&amp;$C289&amp;"]["&amp;$D289&amp;"]["&amp;$F289&amp;"]"</f>
        <v>[S06_InstallationsVerificationReportsIssueDetail][2][NumberOfInstallations]</v>
      </c>
    </row>
    <row r="290" spans="1:15" x14ac:dyDescent="0.3">
      <c r="A290" t="s">
        <v>2277</v>
      </c>
      <c r="B290" t="s">
        <v>1985</v>
      </c>
      <c r="C290" t="s">
        <v>1987</v>
      </c>
      <c r="D290">
        <v>1</v>
      </c>
      <c r="E290" t="s">
        <v>1447</v>
      </c>
      <c r="F290" t="s">
        <v>1972</v>
      </c>
      <c r="G290" t="s">
        <v>1748</v>
      </c>
      <c r="H290" t="s">
        <v>2279</v>
      </c>
      <c r="I290">
        <v>2</v>
      </c>
      <c r="J290" t="s">
        <v>2279</v>
      </c>
      <c r="K290" t="s">
        <v>2279</v>
      </c>
      <c r="L290" t="s">
        <v>2279</v>
      </c>
      <c r="M290" t="s">
        <v>2279</v>
      </c>
      <c r="N290" t="s">
        <v>2279</v>
      </c>
      <c r="O290" s="190" t="str">
        <f>"["&amp;$C290&amp;"]["&amp;$D290&amp;"]["&amp;$F290&amp;"]"</f>
        <v>[S06_InstallationsVerificationReportsIssueDetail][1][NumberOfIssues]</v>
      </c>
    </row>
    <row r="291" spans="1:15" x14ac:dyDescent="0.3">
      <c r="A291" t="s">
        <v>2277</v>
      </c>
      <c r="B291" t="s">
        <v>1985</v>
      </c>
      <c r="C291" t="s">
        <v>1987</v>
      </c>
      <c r="D291">
        <v>2</v>
      </c>
      <c r="E291" t="s">
        <v>1447</v>
      </c>
      <c r="F291" t="s">
        <v>1972</v>
      </c>
      <c r="G291" t="s">
        <v>1748</v>
      </c>
      <c r="H291" t="s">
        <v>2279</v>
      </c>
      <c r="I291">
        <v>7</v>
      </c>
      <c r="J291" t="s">
        <v>2279</v>
      </c>
      <c r="K291" t="s">
        <v>2279</v>
      </c>
      <c r="L291" t="s">
        <v>2279</v>
      </c>
      <c r="M291" t="s">
        <v>2279</v>
      </c>
      <c r="N291" t="s">
        <v>2279</v>
      </c>
      <c r="O291" s="190" t="str">
        <f>"["&amp;$C291&amp;"]["&amp;$D291&amp;"]["&amp;$F291&amp;"]"</f>
        <v>[S06_InstallationsVerificationReportsIssueDetail][2][NumberOfIssues]</v>
      </c>
    </row>
    <row r="292" spans="1:15" x14ac:dyDescent="0.3">
      <c r="A292" t="s">
        <v>2277</v>
      </c>
      <c r="B292" t="s">
        <v>1991</v>
      </c>
      <c r="C292" t="s">
        <v>1992</v>
      </c>
      <c r="D292">
        <v>0</v>
      </c>
      <c r="E292" t="s">
        <v>1447</v>
      </c>
      <c r="F292" t="s">
        <v>1992</v>
      </c>
      <c r="G292" t="s">
        <v>1759</v>
      </c>
      <c r="H292" t="s">
        <v>2279</v>
      </c>
      <c r="I292" t="s">
        <v>2279</v>
      </c>
      <c r="J292" t="s">
        <v>2279</v>
      </c>
      <c r="K292" t="s">
        <v>2279</v>
      </c>
      <c r="L292" t="s">
        <v>1419</v>
      </c>
      <c r="M292" t="s">
        <v>2279</v>
      </c>
      <c r="N292" t="s">
        <v>2279</v>
      </c>
      <c r="O292" s="190" t="str">
        <f>"["&amp;$C292&amp;"]["&amp;$D292&amp;"]["&amp;$F292&amp;"]"</f>
        <v>[InstallationsVerificationReportChecks][0][InstallationsVerificationReportChecks]</v>
      </c>
    </row>
    <row r="293" spans="1:15" x14ac:dyDescent="0.3">
      <c r="A293" t="s">
        <v>2277</v>
      </c>
      <c r="B293" t="s">
        <v>1991</v>
      </c>
      <c r="C293" t="s">
        <v>1993</v>
      </c>
      <c r="D293">
        <v>1</v>
      </c>
      <c r="E293" t="s">
        <v>1447</v>
      </c>
      <c r="F293" t="s">
        <v>1994</v>
      </c>
      <c r="G293" t="s">
        <v>1806</v>
      </c>
      <c r="H293" t="s">
        <v>2279</v>
      </c>
      <c r="I293" t="s">
        <v>2279</v>
      </c>
      <c r="J293">
        <v>1</v>
      </c>
      <c r="K293" t="s">
        <v>2279</v>
      </c>
      <c r="L293" t="s">
        <v>2279</v>
      </c>
      <c r="M293" t="s">
        <v>2279</v>
      </c>
      <c r="N293" t="s">
        <v>2279</v>
      </c>
      <c r="O293" s="190" t="str">
        <f>"["&amp;$C293&amp;"]["&amp;$D293&amp;"]["&amp;$F293&amp;"]"</f>
        <v>[S06_InstallationsVerificationReportChecksDetail1][1][PercentageShare]</v>
      </c>
    </row>
    <row r="294" spans="1:15" x14ac:dyDescent="0.3">
      <c r="A294" t="s">
        <v>2277</v>
      </c>
      <c r="B294" t="s">
        <v>1991</v>
      </c>
      <c r="C294" t="s">
        <v>1993</v>
      </c>
      <c r="D294">
        <v>2</v>
      </c>
      <c r="E294" t="s">
        <v>1447</v>
      </c>
      <c r="F294" t="s">
        <v>1994</v>
      </c>
      <c r="G294" t="s">
        <v>1806</v>
      </c>
      <c r="H294" t="s">
        <v>2279</v>
      </c>
      <c r="I294" t="s">
        <v>2279</v>
      </c>
      <c r="J294">
        <v>1</v>
      </c>
      <c r="K294" t="s">
        <v>2279</v>
      </c>
      <c r="L294" t="s">
        <v>2279</v>
      </c>
      <c r="M294" t="s">
        <v>2279</v>
      </c>
      <c r="N294" t="s">
        <v>2279</v>
      </c>
      <c r="O294" s="190" t="str">
        <f>"["&amp;$C294&amp;"]["&amp;$D294&amp;"]["&amp;$F294&amp;"]"</f>
        <v>[S06_InstallationsVerificationReportChecksDetail1][2][PercentageShare]</v>
      </c>
    </row>
    <row r="295" spans="1:15" x14ac:dyDescent="0.3">
      <c r="A295" t="s">
        <v>2277</v>
      </c>
      <c r="B295" t="s">
        <v>1991</v>
      </c>
      <c r="C295" t="s">
        <v>1993</v>
      </c>
      <c r="D295">
        <v>3</v>
      </c>
      <c r="E295" t="s">
        <v>1447</v>
      </c>
      <c r="F295" t="s">
        <v>1994</v>
      </c>
      <c r="G295" t="s">
        <v>1806</v>
      </c>
      <c r="H295" t="s">
        <v>2279</v>
      </c>
      <c r="I295" t="s">
        <v>2279</v>
      </c>
      <c r="J295">
        <v>1</v>
      </c>
      <c r="K295" t="s">
        <v>2279</v>
      </c>
      <c r="L295" t="s">
        <v>2279</v>
      </c>
      <c r="M295" t="s">
        <v>2279</v>
      </c>
      <c r="N295" t="s">
        <v>2279</v>
      </c>
      <c r="O295" s="190" t="str">
        <f>"["&amp;$C295&amp;"]["&amp;$D295&amp;"]["&amp;$F295&amp;"]"</f>
        <v>[S06_InstallationsVerificationReportChecksDetail1][3][PercentageShare]</v>
      </c>
    </row>
    <row r="296" spans="1:15" x14ac:dyDescent="0.3">
      <c r="A296" t="s">
        <v>2277</v>
      </c>
      <c r="B296" t="s">
        <v>1991</v>
      </c>
      <c r="C296" t="s">
        <v>1993</v>
      </c>
      <c r="D296">
        <v>4</v>
      </c>
      <c r="E296" t="s">
        <v>1447</v>
      </c>
      <c r="F296" t="s">
        <v>1994</v>
      </c>
      <c r="G296" t="s">
        <v>1806</v>
      </c>
      <c r="H296" t="s">
        <v>2279</v>
      </c>
      <c r="I296" t="s">
        <v>2279</v>
      </c>
      <c r="J296">
        <v>1</v>
      </c>
      <c r="K296" t="s">
        <v>2279</v>
      </c>
      <c r="L296" t="s">
        <v>2279</v>
      </c>
      <c r="M296" t="s">
        <v>2279</v>
      </c>
      <c r="N296" t="s">
        <v>2279</v>
      </c>
      <c r="O296" s="190" t="str">
        <f>"["&amp;$C296&amp;"]["&amp;$D296&amp;"]["&amp;$F296&amp;"]"</f>
        <v>[S06_InstallationsVerificationReportChecksDetail1][4][PercentageShare]</v>
      </c>
    </row>
    <row r="297" spans="1:15" x14ac:dyDescent="0.3">
      <c r="A297" t="s">
        <v>2277</v>
      </c>
      <c r="B297" t="s">
        <v>1991</v>
      </c>
      <c r="C297" t="s">
        <v>1993</v>
      </c>
      <c r="D297">
        <v>5</v>
      </c>
      <c r="E297" t="s">
        <v>1447</v>
      </c>
      <c r="F297" t="s">
        <v>1994</v>
      </c>
      <c r="G297" t="s">
        <v>1806</v>
      </c>
      <c r="H297" t="s">
        <v>2279</v>
      </c>
      <c r="I297" t="s">
        <v>2279</v>
      </c>
      <c r="J297">
        <v>1</v>
      </c>
      <c r="K297" t="s">
        <v>2279</v>
      </c>
      <c r="L297" t="s">
        <v>2279</v>
      </c>
      <c r="M297" t="s">
        <v>2279</v>
      </c>
      <c r="N297" t="s">
        <v>2279</v>
      </c>
      <c r="O297" s="190" t="str">
        <f>"["&amp;$C297&amp;"]["&amp;$D297&amp;"]["&amp;$F297&amp;"]"</f>
        <v>[S06_InstallationsVerificationReportChecksDetail1][5][PercentageShare]</v>
      </c>
    </row>
    <row r="298" spans="1:15" x14ac:dyDescent="0.3">
      <c r="A298" t="s">
        <v>2277</v>
      </c>
      <c r="B298" t="s">
        <v>1991</v>
      </c>
      <c r="C298" t="s">
        <v>1993</v>
      </c>
      <c r="D298">
        <v>5</v>
      </c>
      <c r="E298" t="s">
        <v>1447</v>
      </c>
      <c r="F298" t="s">
        <v>1996</v>
      </c>
      <c r="G298" t="s">
        <v>1737</v>
      </c>
      <c r="H298" t="s">
        <v>2279</v>
      </c>
      <c r="I298" t="s">
        <v>2279</v>
      </c>
      <c r="J298" t="s">
        <v>2279</v>
      </c>
      <c r="K298" t="s">
        <v>2279</v>
      </c>
      <c r="L298" t="s">
        <v>1234</v>
      </c>
      <c r="M298" t="s">
        <v>2279</v>
      </c>
      <c r="N298" t="s">
        <v>2279</v>
      </c>
      <c r="O298" s="190" t="str">
        <f>"["&amp;$C298&amp;"]["&amp;$D298&amp;"]["&amp;$F298&amp;"]"</f>
        <v>[S06_InstallationsVerificationReportChecksDetail1][5][SelectingCriteria]</v>
      </c>
    </row>
    <row r="299" spans="1:15" x14ac:dyDescent="0.3">
      <c r="A299" t="s">
        <v>2277</v>
      </c>
      <c r="B299" t="s">
        <v>1991</v>
      </c>
      <c r="C299" t="s">
        <v>1997</v>
      </c>
      <c r="D299">
        <v>1</v>
      </c>
      <c r="E299" t="s">
        <v>1447</v>
      </c>
      <c r="F299" t="s">
        <v>1998</v>
      </c>
      <c r="G299" t="s">
        <v>1748</v>
      </c>
      <c r="H299" t="s">
        <v>2279</v>
      </c>
      <c r="I299">
        <v>0</v>
      </c>
      <c r="J299" t="s">
        <v>2279</v>
      </c>
      <c r="K299" t="s">
        <v>2279</v>
      </c>
      <c r="L299" t="s">
        <v>2279</v>
      </c>
      <c r="M299" t="s">
        <v>2279</v>
      </c>
      <c r="N299" t="s">
        <v>2279</v>
      </c>
      <c r="O299" s="190" t="str">
        <f>"["&amp;$C299&amp;"]["&amp;$D299&amp;"]["&amp;$F299&amp;"]"</f>
        <v>[S06_InstallationsVerificationReportChecksDetail2][1][NumberOfReports]</v>
      </c>
    </row>
    <row r="300" spans="1:15" x14ac:dyDescent="0.3">
      <c r="A300" t="s">
        <v>2277</v>
      </c>
      <c r="B300" t="s">
        <v>1991</v>
      </c>
      <c r="C300" t="s">
        <v>1997</v>
      </c>
      <c r="D300">
        <v>2</v>
      </c>
      <c r="E300" t="s">
        <v>1447</v>
      </c>
      <c r="F300" t="s">
        <v>1998</v>
      </c>
      <c r="G300" t="s">
        <v>1748</v>
      </c>
      <c r="H300" t="s">
        <v>2279</v>
      </c>
      <c r="I300">
        <v>0</v>
      </c>
      <c r="J300" t="s">
        <v>2279</v>
      </c>
      <c r="K300" t="s">
        <v>2279</v>
      </c>
      <c r="L300" t="s">
        <v>2279</v>
      </c>
      <c r="M300" t="s">
        <v>2279</v>
      </c>
      <c r="N300" t="s">
        <v>2279</v>
      </c>
      <c r="O300" s="190" t="str">
        <f>"["&amp;$C300&amp;"]["&amp;$D300&amp;"]["&amp;$F300&amp;"]"</f>
        <v>[S06_InstallationsVerificationReportChecksDetail2][2][NumberOfReports]</v>
      </c>
    </row>
    <row r="301" spans="1:15" x14ac:dyDescent="0.3">
      <c r="A301" t="s">
        <v>2277</v>
      </c>
      <c r="B301" t="s">
        <v>1991</v>
      </c>
      <c r="C301" t="s">
        <v>1999</v>
      </c>
      <c r="D301">
        <v>1</v>
      </c>
      <c r="E301" t="s">
        <v>1447</v>
      </c>
      <c r="F301" t="s">
        <v>2000</v>
      </c>
      <c r="G301" t="s">
        <v>1741</v>
      </c>
      <c r="H301" t="s">
        <v>2334</v>
      </c>
      <c r="I301" t="s">
        <v>2279</v>
      </c>
      <c r="J301" t="s">
        <v>2279</v>
      </c>
      <c r="K301" t="s">
        <v>2279</v>
      </c>
      <c r="L301" t="s">
        <v>2279</v>
      </c>
      <c r="M301" t="s">
        <v>2279</v>
      </c>
      <c r="N301" t="s">
        <v>2279</v>
      </c>
      <c r="O301" s="190" t="str">
        <f>"["&amp;$C301&amp;"]["&amp;$D301&amp;"]["&amp;$F301&amp;"]"</f>
        <v>[S06_InstallationsVerificationReportChecksDetail3][1][ActionsTaken]</v>
      </c>
    </row>
    <row r="302" spans="1:15" x14ac:dyDescent="0.3">
      <c r="A302" t="s">
        <v>2277</v>
      </c>
      <c r="B302" t="s">
        <v>1991</v>
      </c>
      <c r="C302" t="s">
        <v>1999</v>
      </c>
      <c r="D302">
        <v>2</v>
      </c>
      <c r="E302" t="s">
        <v>1419</v>
      </c>
      <c r="F302" t="s">
        <v>2000</v>
      </c>
      <c r="G302" t="s">
        <v>1791</v>
      </c>
      <c r="H302" t="s">
        <v>2279</v>
      </c>
      <c r="I302" t="s">
        <v>2279</v>
      </c>
      <c r="J302" t="s">
        <v>2279</v>
      </c>
      <c r="K302" t="s">
        <v>2334</v>
      </c>
      <c r="L302" t="s">
        <v>2279</v>
      </c>
      <c r="M302" t="s">
        <v>2279</v>
      </c>
      <c r="N302" t="s">
        <v>2279</v>
      </c>
      <c r="O302" s="190" t="str">
        <f>"["&amp;$C302&amp;"]["&amp;$D302&amp;"]["&amp;$F302&amp;"]"</f>
        <v>[S06_InstallationsVerificationReportChecksDetail3][2][ActionsTaken]</v>
      </c>
    </row>
    <row r="303" spans="1:15" x14ac:dyDescent="0.3">
      <c r="A303" t="s">
        <v>2277</v>
      </c>
      <c r="B303" t="s">
        <v>2001</v>
      </c>
      <c r="C303" t="s">
        <v>2002</v>
      </c>
      <c r="D303">
        <v>0</v>
      </c>
      <c r="E303" t="s">
        <v>1447</v>
      </c>
      <c r="F303" t="s">
        <v>2002</v>
      </c>
      <c r="G303" t="s">
        <v>1759</v>
      </c>
      <c r="H303" t="s">
        <v>2279</v>
      </c>
      <c r="I303" t="s">
        <v>2279</v>
      </c>
      <c r="J303" t="s">
        <v>2279</v>
      </c>
      <c r="K303" t="s">
        <v>2279</v>
      </c>
      <c r="L303" t="s">
        <v>1447</v>
      </c>
      <c r="M303" t="s">
        <v>2279</v>
      </c>
      <c r="N303" t="s">
        <v>2279</v>
      </c>
      <c r="O303" s="190" t="str">
        <f>"["&amp;$C303&amp;"]["&amp;$D303&amp;"]["&amp;$F303&amp;"]"</f>
        <v>[InstallationVisitsWaivedHighEmitters][0][InstallationVisitsWaivedHighEmitters]</v>
      </c>
    </row>
    <row r="304" spans="1:15" x14ac:dyDescent="0.3">
      <c r="A304" t="s">
        <v>2277</v>
      </c>
      <c r="B304" t="s">
        <v>2001</v>
      </c>
      <c r="C304" t="s">
        <v>2005</v>
      </c>
      <c r="D304">
        <v>0</v>
      </c>
      <c r="E304" t="s">
        <v>1447</v>
      </c>
      <c r="F304" t="s">
        <v>2005</v>
      </c>
      <c r="G304" t="s">
        <v>1759</v>
      </c>
      <c r="H304" t="s">
        <v>2279</v>
      </c>
      <c r="I304" t="s">
        <v>2279</v>
      </c>
      <c r="J304" t="s">
        <v>2279</v>
      </c>
      <c r="K304" t="s">
        <v>2279</v>
      </c>
      <c r="L304" t="s">
        <v>1447</v>
      </c>
      <c r="M304" t="s">
        <v>2279</v>
      </c>
      <c r="N304" t="s">
        <v>2279</v>
      </c>
      <c r="O304" s="190" t="str">
        <f>"["&amp;$C304&amp;"]["&amp;$D304&amp;"]["&amp;$F304&amp;"]"</f>
        <v>[InstallationsVisitsWaivedLowEmitters][0][InstallationsVisitsWaivedLowEmitters]</v>
      </c>
    </row>
    <row r="305" spans="1:15" x14ac:dyDescent="0.3">
      <c r="A305" t="s">
        <v>2277</v>
      </c>
      <c r="B305" t="s">
        <v>2007</v>
      </c>
      <c r="C305" t="s">
        <v>2008</v>
      </c>
      <c r="D305">
        <v>0</v>
      </c>
      <c r="E305" t="s">
        <v>1447</v>
      </c>
      <c r="F305" t="s">
        <v>2008</v>
      </c>
      <c r="G305" t="s">
        <v>1759</v>
      </c>
      <c r="H305" t="s">
        <v>2279</v>
      </c>
      <c r="I305" t="s">
        <v>2279</v>
      </c>
      <c r="J305" t="s">
        <v>2279</v>
      </c>
      <c r="K305" t="s">
        <v>2279</v>
      </c>
      <c r="L305" t="s">
        <v>1447</v>
      </c>
      <c r="M305" t="s">
        <v>2279</v>
      </c>
      <c r="N305" t="s">
        <v>2279</v>
      </c>
      <c r="O305" s="190" t="str">
        <f>"["&amp;$C305&amp;"]["&amp;$D305&amp;"]["&amp;$F305&amp;"]"</f>
        <v>[VirtualVisitsInstallations][0][VirtualVisitsInstallations]</v>
      </c>
    </row>
    <row r="306" spans="1:15" x14ac:dyDescent="0.3">
      <c r="A306" t="s">
        <v>2277</v>
      </c>
      <c r="B306" t="s">
        <v>2014</v>
      </c>
      <c r="C306" t="s">
        <v>2020</v>
      </c>
      <c r="D306">
        <v>1</v>
      </c>
      <c r="E306" t="s">
        <v>1447</v>
      </c>
      <c r="F306" t="s">
        <v>1984</v>
      </c>
      <c r="G306" t="s">
        <v>1748</v>
      </c>
      <c r="H306" t="s">
        <v>2279</v>
      </c>
      <c r="I306">
        <v>0</v>
      </c>
      <c r="J306" t="s">
        <v>2279</v>
      </c>
      <c r="K306" t="s">
        <v>2279</v>
      </c>
      <c r="L306" t="s">
        <v>2279</v>
      </c>
      <c r="M306" t="s">
        <v>2279</v>
      </c>
      <c r="N306" t="s">
        <v>2279</v>
      </c>
      <c r="O306" s="190" t="str">
        <f>"["&amp;$C306&amp;"]["&amp;$D306&amp;"]["&amp;$F306&amp;"]"</f>
        <v>[S06_NegativeOpinionAircraft][1][CountNegativeOpinions]</v>
      </c>
    </row>
    <row r="307" spans="1:15" x14ac:dyDescent="0.3">
      <c r="A307" t="s">
        <v>2277</v>
      </c>
      <c r="B307" t="s">
        <v>2014</v>
      </c>
      <c r="C307" t="s">
        <v>2020</v>
      </c>
      <c r="D307">
        <v>2</v>
      </c>
      <c r="E307" t="s">
        <v>1447</v>
      </c>
      <c r="F307" t="s">
        <v>1984</v>
      </c>
      <c r="G307" t="s">
        <v>1748</v>
      </c>
      <c r="H307" t="s">
        <v>2279</v>
      </c>
      <c r="I307">
        <v>0</v>
      </c>
      <c r="J307" t="s">
        <v>2279</v>
      </c>
      <c r="K307" t="s">
        <v>2279</v>
      </c>
      <c r="L307" t="s">
        <v>2279</v>
      </c>
      <c r="M307" t="s">
        <v>2279</v>
      </c>
      <c r="N307" t="s">
        <v>2279</v>
      </c>
      <c r="O307" s="190" t="str">
        <f>"["&amp;$C307&amp;"]["&amp;$D307&amp;"]["&amp;$F307&amp;"]"</f>
        <v>[S06_NegativeOpinionAircraft][2][CountNegativeOpinions]</v>
      </c>
    </row>
    <row r="308" spans="1:15" x14ac:dyDescent="0.3">
      <c r="A308" t="s">
        <v>2277</v>
      </c>
      <c r="B308" t="s">
        <v>2014</v>
      </c>
      <c r="C308" t="s">
        <v>2020</v>
      </c>
      <c r="D308">
        <v>3</v>
      </c>
      <c r="E308" t="s">
        <v>1447</v>
      </c>
      <c r="F308" t="s">
        <v>1984</v>
      </c>
      <c r="G308" t="s">
        <v>1748</v>
      </c>
      <c r="H308" t="s">
        <v>2279</v>
      </c>
      <c r="I308">
        <v>0</v>
      </c>
      <c r="J308" t="s">
        <v>2279</v>
      </c>
      <c r="K308" t="s">
        <v>2279</v>
      </c>
      <c r="L308" t="s">
        <v>2279</v>
      </c>
      <c r="M308" t="s">
        <v>2279</v>
      </c>
      <c r="N308" t="s">
        <v>2279</v>
      </c>
      <c r="O308" s="190" t="str">
        <f>"["&amp;$C308&amp;"]["&amp;$D308&amp;"]["&amp;$F308&amp;"]"</f>
        <v>[S06_NegativeOpinionAircraft][3][CountNegativeOpinions]</v>
      </c>
    </row>
    <row r="309" spans="1:15" x14ac:dyDescent="0.3">
      <c r="A309" t="s">
        <v>2277</v>
      </c>
      <c r="B309" t="s">
        <v>2014</v>
      </c>
      <c r="C309" t="s">
        <v>2020</v>
      </c>
      <c r="D309">
        <v>4</v>
      </c>
      <c r="E309" t="s">
        <v>1447</v>
      </c>
      <c r="F309" t="s">
        <v>1984</v>
      </c>
      <c r="G309" t="s">
        <v>1748</v>
      </c>
      <c r="H309" t="s">
        <v>2279</v>
      </c>
      <c r="I309">
        <v>0</v>
      </c>
      <c r="J309" t="s">
        <v>2279</v>
      </c>
      <c r="K309" t="s">
        <v>2279</v>
      </c>
      <c r="L309" t="s">
        <v>2279</v>
      </c>
      <c r="M309" t="s">
        <v>2279</v>
      </c>
      <c r="N309" t="s">
        <v>2279</v>
      </c>
      <c r="O309" s="190" t="str">
        <f>"["&amp;$C309&amp;"]["&amp;$D309&amp;"]["&amp;$F309&amp;"]"</f>
        <v>[S06_NegativeOpinionAircraft][4][CountNegativeOpinions]</v>
      </c>
    </row>
    <row r="310" spans="1:15" x14ac:dyDescent="0.3">
      <c r="A310" t="s">
        <v>2277</v>
      </c>
      <c r="B310" t="s">
        <v>2041</v>
      </c>
      <c r="C310" t="s">
        <v>2042</v>
      </c>
      <c r="D310">
        <v>1</v>
      </c>
      <c r="E310" t="s">
        <v>1447</v>
      </c>
      <c r="F310" t="s">
        <v>2043</v>
      </c>
      <c r="G310" t="s">
        <v>1741</v>
      </c>
      <c r="H310" t="s">
        <v>2335</v>
      </c>
      <c r="I310" t="s">
        <v>2279</v>
      </c>
      <c r="J310" t="s">
        <v>2279</v>
      </c>
      <c r="K310" t="s">
        <v>2279</v>
      </c>
      <c r="L310" t="s">
        <v>2279</v>
      </c>
      <c r="M310" t="s">
        <v>2279</v>
      </c>
      <c r="N310" t="s">
        <v>2279</v>
      </c>
      <c r="O310" s="190" t="str">
        <f>"["&amp;$C310&amp;"]["&amp;$D310&amp;"]["&amp;$F310&amp;"]"</f>
        <v>[S07_NoFurtherAllowancesSurrendered][1][InstallationIDCode]</v>
      </c>
    </row>
    <row r="311" spans="1:15" x14ac:dyDescent="0.3">
      <c r="A311" t="s">
        <v>2277</v>
      </c>
      <c r="B311" t="s">
        <v>2041</v>
      </c>
      <c r="C311" t="s">
        <v>2042</v>
      </c>
      <c r="D311">
        <v>1</v>
      </c>
      <c r="E311" t="s">
        <v>1447</v>
      </c>
      <c r="F311" t="s">
        <v>2044</v>
      </c>
      <c r="G311" t="s">
        <v>1741</v>
      </c>
      <c r="H311" t="s">
        <v>2334</v>
      </c>
      <c r="I311" t="s">
        <v>2279</v>
      </c>
      <c r="J311" t="s">
        <v>2279</v>
      </c>
      <c r="K311" t="s">
        <v>2279</v>
      </c>
      <c r="L311" t="s">
        <v>2279</v>
      </c>
      <c r="M311" t="s">
        <v>2279</v>
      </c>
      <c r="N311" t="s">
        <v>2279</v>
      </c>
      <c r="O311" s="190" t="str">
        <f>"["&amp;$C311&amp;"]["&amp;$D311&amp;"]["&amp;$F311&amp;"]"</f>
        <v>[S07_NoFurtherAllowancesSurrendered][1][OperatorName]</v>
      </c>
    </row>
    <row r="312" spans="1:15" x14ac:dyDescent="0.3">
      <c r="A312" t="s">
        <v>2277</v>
      </c>
      <c r="B312" t="s">
        <v>2041</v>
      </c>
      <c r="C312" t="s">
        <v>2042</v>
      </c>
      <c r="D312">
        <v>1</v>
      </c>
      <c r="E312" t="s">
        <v>1447</v>
      </c>
      <c r="F312" t="s">
        <v>2045</v>
      </c>
      <c r="G312" t="s">
        <v>1741</v>
      </c>
      <c r="H312" t="s">
        <v>2334</v>
      </c>
      <c r="I312" t="s">
        <v>2279</v>
      </c>
      <c r="J312" t="s">
        <v>2279</v>
      </c>
      <c r="K312" t="s">
        <v>2279</v>
      </c>
      <c r="L312" t="s">
        <v>2279</v>
      </c>
      <c r="M312" t="s">
        <v>2279</v>
      </c>
      <c r="N312" t="s">
        <v>2279</v>
      </c>
      <c r="O312" s="190" t="str">
        <f>"["&amp;$C312&amp;"]["&amp;$D312&amp;"]["&amp;$F312&amp;"]"</f>
        <v>[S07_NoFurtherAllowancesSurrendered][1][InstallationName]</v>
      </c>
    </row>
    <row r="313" spans="1:15" x14ac:dyDescent="0.3">
      <c r="A313" t="s">
        <v>2277</v>
      </c>
      <c r="B313" t="s">
        <v>2041</v>
      </c>
      <c r="C313" t="s">
        <v>2042</v>
      </c>
      <c r="D313">
        <v>1</v>
      </c>
      <c r="E313" t="s">
        <v>1447</v>
      </c>
      <c r="F313" t="s">
        <v>2046</v>
      </c>
      <c r="G313" t="s">
        <v>1748</v>
      </c>
      <c r="H313" t="s">
        <v>2279</v>
      </c>
      <c r="I313">
        <v>0</v>
      </c>
      <c r="J313" t="s">
        <v>2279</v>
      </c>
      <c r="K313" t="s">
        <v>2279</v>
      </c>
      <c r="L313" t="s">
        <v>2279</v>
      </c>
      <c r="M313" t="s">
        <v>2279</v>
      </c>
      <c r="N313" t="s">
        <v>2279</v>
      </c>
      <c r="O313" s="190" t="str">
        <f>"["&amp;$C313&amp;"]["&amp;$D313&amp;"]["&amp;$F313&amp;"]"</f>
        <v>[S07_NoFurtherAllowancesSurrendered][1][OutstandingAllowances]</v>
      </c>
    </row>
    <row r="314" spans="1:15" x14ac:dyDescent="0.3">
      <c r="A314" t="s">
        <v>2277</v>
      </c>
      <c r="B314" t="s">
        <v>2041</v>
      </c>
      <c r="C314" t="s">
        <v>2042</v>
      </c>
      <c r="D314">
        <v>1</v>
      </c>
      <c r="E314" t="s">
        <v>1447</v>
      </c>
      <c r="F314" t="s">
        <v>2047</v>
      </c>
      <c r="G314" t="s">
        <v>1741</v>
      </c>
      <c r="H314" t="s">
        <v>2334</v>
      </c>
      <c r="I314" t="s">
        <v>2279</v>
      </c>
      <c r="J314" t="s">
        <v>2279</v>
      </c>
      <c r="K314" t="s">
        <v>2279</v>
      </c>
      <c r="L314" t="s">
        <v>2279</v>
      </c>
      <c r="M314" t="s">
        <v>2279</v>
      </c>
      <c r="N314" t="s">
        <v>2279</v>
      </c>
      <c r="O314" s="190" t="str">
        <f>"["&amp;$C314&amp;"]["&amp;$D314&amp;"]["&amp;$F314&amp;"]"</f>
        <v>[S07_NoFurtherAllowancesSurrendered][1][ReasonNoFurtherAllowancesSurrendered]</v>
      </c>
    </row>
    <row r="315" spans="1:15" x14ac:dyDescent="0.3">
      <c r="A315" t="s">
        <v>2277</v>
      </c>
      <c r="B315" t="s">
        <v>2048</v>
      </c>
      <c r="C315" t="s">
        <v>2049</v>
      </c>
      <c r="D315">
        <v>0</v>
      </c>
      <c r="E315" t="s">
        <v>1447</v>
      </c>
      <c r="F315" t="s">
        <v>2049</v>
      </c>
      <c r="G315" t="s">
        <v>1748</v>
      </c>
      <c r="H315" t="s">
        <v>2279</v>
      </c>
      <c r="I315">
        <v>0</v>
      </c>
      <c r="J315" t="s">
        <v>2279</v>
      </c>
      <c r="K315" t="s">
        <v>2279</v>
      </c>
      <c r="L315" t="s">
        <v>2279</v>
      </c>
      <c r="M315" t="s">
        <v>2279</v>
      </c>
      <c r="N315" t="s">
        <v>2279</v>
      </c>
      <c r="O315" s="190" t="str">
        <f>"["&amp;$C315&amp;"]["&amp;$D315&amp;"]["&amp;$F315&amp;"]"</f>
        <v>[AircraftOperatorsMandateArt15UseNumber][0][AircraftOperatorsMandateArt15UseNumber]</v>
      </c>
    </row>
    <row r="316" spans="1:15" x14ac:dyDescent="0.3">
      <c r="A316" t="s">
        <v>2277</v>
      </c>
      <c r="B316" t="s">
        <v>2052</v>
      </c>
      <c r="C316" t="s">
        <v>2053</v>
      </c>
      <c r="D316">
        <v>0</v>
      </c>
      <c r="E316" t="s">
        <v>1447</v>
      </c>
      <c r="F316" t="s">
        <v>2053</v>
      </c>
      <c r="G316" t="s">
        <v>1759</v>
      </c>
      <c r="H316" t="s">
        <v>2279</v>
      </c>
      <c r="I316" t="s">
        <v>2279</v>
      </c>
      <c r="J316" t="s">
        <v>2279</v>
      </c>
      <c r="K316" t="s">
        <v>2279</v>
      </c>
      <c r="L316" t="s">
        <v>1447</v>
      </c>
      <c r="M316" t="s">
        <v>2279</v>
      </c>
      <c r="N316" t="s">
        <v>2279</v>
      </c>
      <c r="O316" s="190" t="str">
        <f>"["&amp;$C316&amp;"]["&amp;$D316&amp;"]["&amp;$F316&amp;"]"</f>
        <v>[CommissionTemplatesAllocation][0][CommissionTemplatesAllocation]</v>
      </c>
    </row>
    <row r="317" spans="1:15" x14ac:dyDescent="0.3">
      <c r="A317" t="s">
        <v>2277</v>
      </c>
      <c r="B317" t="s">
        <v>2052</v>
      </c>
      <c r="C317" t="s">
        <v>2054</v>
      </c>
      <c r="D317">
        <v>1</v>
      </c>
      <c r="E317" t="s">
        <v>1447</v>
      </c>
      <c r="F317" t="s">
        <v>1837</v>
      </c>
      <c r="G317" t="s">
        <v>1741</v>
      </c>
      <c r="H317" t="s">
        <v>2336</v>
      </c>
      <c r="I317" t="s">
        <v>2279</v>
      </c>
      <c r="J317" t="s">
        <v>2279</v>
      </c>
      <c r="K317" t="s">
        <v>2279</v>
      </c>
      <c r="L317" t="s">
        <v>2279</v>
      </c>
      <c r="M317" t="s">
        <v>2279</v>
      </c>
      <c r="N317" t="s">
        <v>2279</v>
      </c>
      <c r="O317" s="190" t="str">
        <f>"["&amp;$C317&amp;"]["&amp;$D317&amp;"]["&amp;$F317&amp;"]"</f>
        <v>[S08_MSCustomisedTemplatesAllocation][1][HowTemplateSpecific]</v>
      </c>
    </row>
    <row r="318" spans="1:15" x14ac:dyDescent="0.3">
      <c r="A318" t="s">
        <v>2277</v>
      </c>
      <c r="B318" t="s">
        <v>2055</v>
      </c>
      <c r="C318" t="s">
        <v>2056</v>
      </c>
      <c r="D318">
        <v>0</v>
      </c>
      <c r="E318" t="s">
        <v>1447</v>
      </c>
      <c r="F318" t="s">
        <v>2056</v>
      </c>
      <c r="G318" t="s">
        <v>1759</v>
      </c>
      <c r="H318" t="s">
        <v>2279</v>
      </c>
      <c r="I318" t="s">
        <v>2279</v>
      </c>
      <c r="J318" t="s">
        <v>2279</v>
      </c>
      <c r="K318" t="s">
        <v>2279</v>
      </c>
      <c r="L318" t="s">
        <v>1447</v>
      </c>
      <c r="M318" t="s">
        <v>2279</v>
      </c>
      <c r="N318" t="s">
        <v>2279</v>
      </c>
      <c r="O318" s="190" t="str">
        <f>"["&amp;$C318&amp;"]["&amp;$D318&amp;"]["&amp;$F318&amp;"]"</f>
        <v>[FeesAllocation][0][FeesAllocation]</v>
      </c>
    </row>
    <row r="319" spans="1:15" x14ac:dyDescent="0.3">
      <c r="A319" t="s">
        <v>2277</v>
      </c>
      <c r="B319" t="s">
        <v>2060</v>
      </c>
      <c r="C319" t="s">
        <v>2061</v>
      </c>
      <c r="D319">
        <v>0</v>
      </c>
      <c r="E319" t="s">
        <v>1447</v>
      </c>
      <c r="F319" t="s">
        <v>2061</v>
      </c>
      <c r="G319" t="s">
        <v>1759</v>
      </c>
      <c r="H319" t="s">
        <v>2279</v>
      </c>
      <c r="I319" t="s">
        <v>2279</v>
      </c>
      <c r="J319" t="s">
        <v>2279</v>
      </c>
      <c r="K319" t="s">
        <v>2279</v>
      </c>
      <c r="L319" t="s">
        <v>1447</v>
      </c>
      <c r="M319" t="s">
        <v>2279</v>
      </c>
      <c r="N319" t="s">
        <v>2279</v>
      </c>
      <c r="O319" s="190" t="str">
        <f>"["&amp;$C319&amp;"]["&amp;$D319&amp;"]["&amp;$F319&amp;"]"</f>
        <v>[ITforAllocationData][0][ITforAllocationData]</v>
      </c>
    </row>
    <row r="320" spans="1:15" x14ac:dyDescent="0.3">
      <c r="A320" t="s">
        <v>2277</v>
      </c>
      <c r="B320" t="s">
        <v>2064</v>
      </c>
      <c r="C320" t="s">
        <v>2065</v>
      </c>
      <c r="D320">
        <v>0</v>
      </c>
      <c r="E320" t="s">
        <v>1447</v>
      </c>
      <c r="F320" t="s">
        <v>2065</v>
      </c>
      <c r="G320" t="s">
        <v>1759</v>
      </c>
      <c r="H320" t="s">
        <v>2279</v>
      </c>
      <c r="I320" t="s">
        <v>2279</v>
      </c>
      <c r="J320" t="s">
        <v>2279</v>
      </c>
      <c r="K320" t="s">
        <v>2279</v>
      </c>
      <c r="L320" t="s">
        <v>1447</v>
      </c>
      <c r="M320" t="s">
        <v>2279</v>
      </c>
      <c r="N320" t="s">
        <v>2279</v>
      </c>
      <c r="O320" s="190" t="str">
        <f>"["&amp;$C320&amp;"]["&amp;$D320&amp;"]["&amp;$F320&amp;"]"</f>
        <v>[SubInstallationBenchmark61][0][SubInstallationBenchmark61]</v>
      </c>
    </row>
    <row r="321" spans="1:15" x14ac:dyDescent="0.3">
      <c r="A321" t="s">
        <v>2277</v>
      </c>
      <c r="B321" t="s">
        <v>2064</v>
      </c>
      <c r="C321" t="s">
        <v>2069</v>
      </c>
      <c r="D321">
        <v>0</v>
      </c>
      <c r="E321" t="s">
        <v>1447</v>
      </c>
      <c r="F321" t="s">
        <v>2069</v>
      </c>
      <c r="G321" t="s">
        <v>1759</v>
      </c>
      <c r="H321" t="s">
        <v>2279</v>
      </c>
      <c r="I321" t="s">
        <v>2279</v>
      </c>
      <c r="J321" t="s">
        <v>2279</v>
      </c>
      <c r="K321" t="s">
        <v>2279</v>
      </c>
      <c r="L321" t="s">
        <v>1447</v>
      </c>
      <c r="M321" t="s">
        <v>2279</v>
      </c>
      <c r="N321" t="s">
        <v>2279</v>
      </c>
      <c r="O321" s="190" t="str">
        <f>"["&amp;$C321&amp;"]["&amp;$D321&amp;"]["&amp;$F321&amp;"]"</f>
        <v>[SubInstallationBenchmark61Reject][0][SubInstallationBenchmark61Reject]</v>
      </c>
    </row>
    <row r="322" spans="1:15" x14ac:dyDescent="0.3">
      <c r="A322" t="s">
        <v>2277</v>
      </c>
      <c r="B322" t="s">
        <v>2064</v>
      </c>
      <c r="C322" t="s">
        <v>2071</v>
      </c>
      <c r="D322">
        <v>0</v>
      </c>
      <c r="E322" t="s">
        <v>1447</v>
      </c>
      <c r="F322" t="s">
        <v>2071</v>
      </c>
      <c r="G322" t="s">
        <v>1759</v>
      </c>
      <c r="H322" t="s">
        <v>2279</v>
      </c>
      <c r="I322" t="s">
        <v>2279</v>
      </c>
      <c r="J322" t="s">
        <v>2279</v>
      </c>
      <c r="K322" t="s">
        <v>2279</v>
      </c>
      <c r="L322" t="s">
        <v>1447</v>
      </c>
      <c r="M322" t="s">
        <v>2279</v>
      </c>
      <c r="N322" t="s">
        <v>2279</v>
      </c>
      <c r="O322" s="190" t="str">
        <f>"["&amp;$C322&amp;"]["&amp;$D322&amp;"]["&amp;$F322&amp;"]"</f>
        <v>[SubInstallationBenchmark62][0][SubInstallationBenchmark62]</v>
      </c>
    </row>
    <row r="323" spans="1:15" x14ac:dyDescent="0.3">
      <c r="A323" t="s">
        <v>2277</v>
      </c>
      <c r="B323" t="s">
        <v>2076</v>
      </c>
      <c r="C323" t="s">
        <v>2077</v>
      </c>
      <c r="D323">
        <v>0</v>
      </c>
      <c r="E323" t="s">
        <v>1447</v>
      </c>
      <c r="F323" t="s">
        <v>2077</v>
      </c>
      <c r="G323" t="s">
        <v>1759</v>
      </c>
      <c r="H323" t="s">
        <v>2279</v>
      </c>
      <c r="I323" t="s">
        <v>2279</v>
      </c>
      <c r="J323" t="s">
        <v>2279</v>
      </c>
      <c r="K323" t="s">
        <v>2279</v>
      </c>
      <c r="L323" t="s">
        <v>1447</v>
      </c>
      <c r="M323" t="s">
        <v>2279</v>
      </c>
      <c r="N323" t="s">
        <v>2279</v>
      </c>
      <c r="O323" s="190" t="str">
        <f>"["&amp;$C323&amp;"]["&amp;$D323&amp;"]["&amp;$F323&amp;"]"</f>
        <v>[Article10cApplied][0][Article10cApplied]</v>
      </c>
    </row>
    <row r="324" spans="1:15" x14ac:dyDescent="0.3">
      <c r="A324" t="s">
        <v>2277</v>
      </c>
      <c r="B324" t="s">
        <v>2080</v>
      </c>
      <c r="C324" t="s">
        <v>2081</v>
      </c>
      <c r="D324">
        <v>1</v>
      </c>
      <c r="E324" t="s">
        <v>1447</v>
      </c>
      <c r="F324" t="s">
        <v>1798</v>
      </c>
      <c r="G324" t="s">
        <v>1748</v>
      </c>
      <c r="H324" t="s">
        <v>2279</v>
      </c>
      <c r="I324">
        <v>0</v>
      </c>
      <c r="J324" t="s">
        <v>2279</v>
      </c>
      <c r="K324" t="s">
        <v>2279</v>
      </c>
      <c r="L324" t="s">
        <v>2279</v>
      </c>
      <c r="M324" t="s">
        <v>2279</v>
      </c>
      <c r="N324" t="s">
        <v>2279</v>
      </c>
      <c r="O324" s="190" t="str">
        <f>"["&amp;$C324&amp;"]["&amp;$D324&amp;"]["&amp;$F324&amp;"]"</f>
        <v>[S08_NegativeOpinionBaselineData][1][NumberOfInstallations]</v>
      </c>
    </row>
    <row r="325" spans="1:15" x14ac:dyDescent="0.3">
      <c r="A325" t="s">
        <v>2277</v>
      </c>
      <c r="B325" t="s">
        <v>2080</v>
      </c>
      <c r="C325" t="s">
        <v>2081</v>
      </c>
      <c r="D325">
        <v>2</v>
      </c>
      <c r="E325" t="s">
        <v>1447</v>
      </c>
      <c r="F325" t="s">
        <v>1798</v>
      </c>
      <c r="G325" t="s">
        <v>1748</v>
      </c>
      <c r="H325" t="s">
        <v>2279</v>
      </c>
      <c r="I325">
        <v>0</v>
      </c>
      <c r="J325" t="s">
        <v>2279</v>
      </c>
      <c r="K325" t="s">
        <v>2279</v>
      </c>
      <c r="L325" t="s">
        <v>2279</v>
      </c>
      <c r="M325" t="s">
        <v>2279</v>
      </c>
      <c r="N325" t="s">
        <v>2279</v>
      </c>
      <c r="O325" s="190" t="str">
        <f>"["&amp;$C325&amp;"]["&amp;$D325&amp;"]["&amp;$F325&amp;"]"</f>
        <v>[S08_NegativeOpinionBaselineData][2][NumberOfInstallations]</v>
      </c>
    </row>
    <row r="326" spans="1:15" x14ac:dyDescent="0.3">
      <c r="A326" t="s">
        <v>2277</v>
      </c>
      <c r="B326" t="s">
        <v>2080</v>
      </c>
      <c r="C326" t="s">
        <v>2081</v>
      </c>
      <c r="D326">
        <v>3</v>
      </c>
      <c r="E326" t="s">
        <v>1447</v>
      </c>
      <c r="F326" t="s">
        <v>1798</v>
      </c>
      <c r="G326" t="s">
        <v>1748</v>
      </c>
      <c r="H326" t="s">
        <v>2279</v>
      </c>
      <c r="I326">
        <v>0</v>
      </c>
      <c r="J326" t="s">
        <v>2279</v>
      </c>
      <c r="K326" t="s">
        <v>2279</v>
      </c>
      <c r="L326" t="s">
        <v>2279</v>
      </c>
      <c r="M326" t="s">
        <v>2279</v>
      </c>
      <c r="N326" t="s">
        <v>2279</v>
      </c>
      <c r="O326" s="190" t="str">
        <f>"["&amp;$C326&amp;"]["&amp;$D326&amp;"]["&amp;$F326&amp;"]"</f>
        <v>[S08_NegativeOpinionBaselineData][3][NumberOfInstallations]</v>
      </c>
    </row>
    <row r="327" spans="1:15" x14ac:dyDescent="0.3">
      <c r="A327" t="s">
        <v>2277</v>
      </c>
      <c r="B327" t="s">
        <v>2082</v>
      </c>
      <c r="C327" t="s">
        <v>2083</v>
      </c>
      <c r="D327">
        <v>0</v>
      </c>
      <c r="E327" t="s">
        <v>1447</v>
      </c>
      <c r="F327" t="s">
        <v>2083</v>
      </c>
      <c r="G327" t="s">
        <v>1759</v>
      </c>
      <c r="H327" t="s">
        <v>2279</v>
      </c>
      <c r="I327" t="s">
        <v>2279</v>
      </c>
      <c r="J327" t="s">
        <v>2279</v>
      </c>
      <c r="K327" t="s">
        <v>2279</v>
      </c>
      <c r="L327" t="s">
        <v>1447</v>
      </c>
      <c r="M327" t="s">
        <v>2279</v>
      </c>
      <c r="N327" t="s">
        <v>2279</v>
      </c>
      <c r="O327" s="190" t="str">
        <f>"["&amp;$C327&amp;"]["&amp;$D327&amp;"]["&amp;$F327&amp;"]"</f>
        <v>[BaselineDataIssues][0][BaselineDataIssues]</v>
      </c>
    </row>
    <row r="328" spans="1:15" x14ac:dyDescent="0.3">
      <c r="A328" t="s">
        <v>2277</v>
      </c>
      <c r="B328" t="s">
        <v>2086</v>
      </c>
      <c r="C328" t="s">
        <v>2087</v>
      </c>
      <c r="D328">
        <v>0</v>
      </c>
      <c r="E328" t="s">
        <v>1447</v>
      </c>
      <c r="F328" t="s">
        <v>2087</v>
      </c>
      <c r="G328" t="s">
        <v>1759</v>
      </c>
      <c r="H328" t="s">
        <v>2279</v>
      </c>
      <c r="I328" t="s">
        <v>2279</v>
      </c>
      <c r="J328" t="s">
        <v>2279</v>
      </c>
      <c r="K328" t="s">
        <v>2279</v>
      </c>
      <c r="L328" t="s">
        <v>1447</v>
      </c>
      <c r="M328" t="s">
        <v>2279</v>
      </c>
      <c r="N328" t="s">
        <v>2279</v>
      </c>
      <c r="O328" s="190" t="str">
        <f>"["&amp;$C328&amp;"]["&amp;$D328&amp;"]["&amp;$F328&amp;"]"</f>
        <v>[AdditionalParametersRequired][0][AdditionalParametersRequired]</v>
      </c>
    </row>
    <row r="329" spans="1:15" x14ac:dyDescent="0.3">
      <c r="A329" t="s">
        <v>2277</v>
      </c>
      <c r="B329" t="s">
        <v>2089</v>
      </c>
      <c r="C329" t="s">
        <v>2090</v>
      </c>
      <c r="D329">
        <v>0</v>
      </c>
      <c r="E329" t="s">
        <v>1447</v>
      </c>
      <c r="F329" t="s">
        <v>2090</v>
      </c>
      <c r="G329" t="s">
        <v>1759</v>
      </c>
      <c r="H329" t="s">
        <v>2279</v>
      </c>
      <c r="I329" t="s">
        <v>2279</v>
      </c>
      <c r="J329" t="s">
        <v>2279</v>
      </c>
      <c r="K329" t="s">
        <v>2279</v>
      </c>
      <c r="L329" t="s">
        <v>1447</v>
      </c>
      <c r="M329" t="s">
        <v>2279</v>
      </c>
      <c r="N329" t="s">
        <v>2279</v>
      </c>
      <c r="O329" s="190" t="str">
        <f>"["&amp;$C329&amp;"]["&amp;$D329&amp;"]["&amp;$F329&amp;"]"</f>
        <v>[PreliminaryActivityRequired][0][PreliminaryActivityRequired]</v>
      </c>
    </row>
    <row r="330" spans="1:15" x14ac:dyDescent="0.3">
      <c r="A330" t="s">
        <v>2277</v>
      </c>
      <c r="B330" t="s">
        <v>2092</v>
      </c>
      <c r="C330" t="s">
        <v>2093</v>
      </c>
      <c r="D330">
        <v>1</v>
      </c>
      <c r="E330" t="s">
        <v>1447</v>
      </c>
      <c r="F330" t="s">
        <v>1798</v>
      </c>
      <c r="G330" t="s">
        <v>1748</v>
      </c>
      <c r="H330" t="s">
        <v>2279</v>
      </c>
      <c r="I330">
        <v>0</v>
      </c>
      <c r="J330" t="s">
        <v>2279</v>
      </c>
      <c r="K330" t="s">
        <v>2279</v>
      </c>
      <c r="L330" t="s">
        <v>2279</v>
      </c>
      <c r="M330" t="s">
        <v>2279</v>
      </c>
      <c r="N330" t="s">
        <v>2279</v>
      </c>
      <c r="O330" s="190" t="str">
        <f>"["&amp;$C330&amp;"]["&amp;$D330&amp;"]["&amp;$F330&amp;"]"</f>
        <v>[S08_NegativeOpinionActivityData][1][NumberOfInstallations]</v>
      </c>
    </row>
    <row r="331" spans="1:15" x14ac:dyDescent="0.3">
      <c r="A331" t="s">
        <v>2277</v>
      </c>
      <c r="B331" t="s">
        <v>2092</v>
      </c>
      <c r="C331" t="s">
        <v>2093</v>
      </c>
      <c r="D331">
        <v>2</v>
      </c>
      <c r="E331" t="s">
        <v>1447</v>
      </c>
      <c r="F331" t="s">
        <v>1798</v>
      </c>
      <c r="G331" t="s">
        <v>1748</v>
      </c>
      <c r="H331" t="s">
        <v>2279</v>
      </c>
      <c r="I331">
        <v>0</v>
      </c>
      <c r="J331" t="s">
        <v>2279</v>
      </c>
      <c r="K331" t="s">
        <v>2279</v>
      </c>
      <c r="L331" t="s">
        <v>2279</v>
      </c>
      <c r="M331" t="s">
        <v>2279</v>
      </c>
      <c r="N331" t="s">
        <v>2279</v>
      </c>
      <c r="O331" s="190" t="str">
        <f>"["&amp;$C331&amp;"]["&amp;$D331&amp;"]["&amp;$F331&amp;"]"</f>
        <v>[S08_NegativeOpinionActivityData][2][NumberOfInstallations]</v>
      </c>
    </row>
    <row r="332" spans="1:15" x14ac:dyDescent="0.3">
      <c r="A332" t="s">
        <v>2277</v>
      </c>
      <c r="B332" t="s">
        <v>2092</v>
      </c>
      <c r="C332" t="s">
        <v>2093</v>
      </c>
      <c r="D332">
        <v>3</v>
      </c>
      <c r="E332" t="s">
        <v>1447</v>
      </c>
      <c r="F332" t="s">
        <v>1798</v>
      </c>
      <c r="G332" t="s">
        <v>1748</v>
      </c>
      <c r="H332" t="s">
        <v>2279</v>
      </c>
      <c r="I332">
        <v>0</v>
      </c>
      <c r="J332" t="s">
        <v>2279</v>
      </c>
      <c r="K332" t="s">
        <v>2279</v>
      </c>
      <c r="L332" t="s">
        <v>2279</v>
      </c>
      <c r="M332" t="s">
        <v>2279</v>
      </c>
      <c r="N332" t="s">
        <v>2279</v>
      </c>
      <c r="O332" s="190" t="str">
        <f>"["&amp;$C332&amp;"]["&amp;$D332&amp;"]["&amp;$F332&amp;"]"</f>
        <v>[S08_NegativeOpinionActivityData][3][NumberOfInstallations]</v>
      </c>
    </row>
    <row r="333" spans="1:15" x14ac:dyDescent="0.3">
      <c r="A333" t="s">
        <v>2277</v>
      </c>
      <c r="B333" t="s">
        <v>2092</v>
      </c>
      <c r="C333" t="s">
        <v>2093</v>
      </c>
      <c r="D333">
        <v>4</v>
      </c>
      <c r="E333" t="s">
        <v>1447</v>
      </c>
      <c r="F333" t="s">
        <v>1798</v>
      </c>
      <c r="G333" t="s">
        <v>1748</v>
      </c>
      <c r="H333" t="s">
        <v>2279</v>
      </c>
      <c r="I333">
        <v>0</v>
      </c>
      <c r="J333" t="s">
        <v>2279</v>
      </c>
      <c r="K333" t="s">
        <v>2279</v>
      </c>
      <c r="L333" t="s">
        <v>2279</v>
      </c>
      <c r="M333" t="s">
        <v>2279</v>
      </c>
      <c r="N333" t="s">
        <v>2279</v>
      </c>
      <c r="O333" s="190" t="str">
        <f>"["&amp;$C333&amp;"]["&amp;$D333&amp;"]["&amp;$F333&amp;"]"</f>
        <v>[S08_NegativeOpinionActivityData][4][NumberOfInstallations]</v>
      </c>
    </row>
    <row r="334" spans="1:15" x14ac:dyDescent="0.3">
      <c r="A334" t="s">
        <v>2277</v>
      </c>
      <c r="B334" t="s">
        <v>2092</v>
      </c>
      <c r="C334" t="s">
        <v>2093</v>
      </c>
      <c r="D334">
        <v>1</v>
      </c>
      <c r="E334" t="s">
        <v>1447</v>
      </c>
      <c r="F334" t="s">
        <v>2094</v>
      </c>
      <c r="G334" t="s">
        <v>1748</v>
      </c>
      <c r="H334" t="s">
        <v>2279</v>
      </c>
      <c r="I334">
        <v>0</v>
      </c>
      <c r="J334" t="s">
        <v>2279</v>
      </c>
      <c r="K334" t="s">
        <v>2279</v>
      </c>
      <c r="L334" t="s">
        <v>2279</v>
      </c>
      <c r="M334" t="s">
        <v>2279</v>
      </c>
      <c r="N334" t="s">
        <v>2279</v>
      </c>
      <c r="O334" s="190" t="str">
        <f>"["&amp;$C334&amp;"]["&amp;$D334&amp;"]["&amp;$F334&amp;"]"</f>
        <v>[S08_NegativeOpinionActivityData][1][NumberOfInstallationsConEst]</v>
      </c>
    </row>
    <row r="335" spans="1:15" x14ac:dyDescent="0.3">
      <c r="A335" t="s">
        <v>2277</v>
      </c>
      <c r="B335" t="s">
        <v>2092</v>
      </c>
      <c r="C335" t="s">
        <v>2093</v>
      </c>
      <c r="D335">
        <v>2</v>
      </c>
      <c r="E335" t="s">
        <v>1447</v>
      </c>
      <c r="F335" t="s">
        <v>2094</v>
      </c>
      <c r="G335" t="s">
        <v>1748</v>
      </c>
      <c r="H335" t="s">
        <v>2279</v>
      </c>
      <c r="I335">
        <v>0</v>
      </c>
      <c r="J335" t="s">
        <v>2279</v>
      </c>
      <c r="K335" t="s">
        <v>2279</v>
      </c>
      <c r="L335" t="s">
        <v>2279</v>
      </c>
      <c r="M335" t="s">
        <v>2279</v>
      </c>
      <c r="N335" t="s">
        <v>2279</v>
      </c>
      <c r="O335" s="190" t="str">
        <f>"["&amp;$C335&amp;"]["&amp;$D335&amp;"]["&amp;$F335&amp;"]"</f>
        <v>[S08_NegativeOpinionActivityData][2][NumberOfInstallationsConEst]</v>
      </c>
    </row>
    <row r="336" spans="1:15" x14ac:dyDescent="0.3">
      <c r="A336" t="s">
        <v>2277</v>
      </c>
      <c r="B336" t="s">
        <v>2092</v>
      </c>
      <c r="C336" t="s">
        <v>2093</v>
      </c>
      <c r="D336">
        <v>3</v>
      </c>
      <c r="E336" t="s">
        <v>1447</v>
      </c>
      <c r="F336" t="s">
        <v>2094</v>
      </c>
      <c r="G336" t="s">
        <v>1748</v>
      </c>
      <c r="H336" t="s">
        <v>2279</v>
      </c>
      <c r="I336">
        <v>0</v>
      </c>
      <c r="J336" t="s">
        <v>2279</v>
      </c>
      <c r="K336" t="s">
        <v>2279</v>
      </c>
      <c r="L336" t="s">
        <v>2279</v>
      </c>
      <c r="M336" t="s">
        <v>2279</v>
      </c>
      <c r="N336" t="s">
        <v>2279</v>
      </c>
      <c r="O336" s="190" t="str">
        <f>"["&amp;$C336&amp;"]["&amp;$D336&amp;"]["&amp;$F336&amp;"]"</f>
        <v>[S08_NegativeOpinionActivityData][3][NumberOfInstallationsConEst]</v>
      </c>
    </row>
    <row r="337" spans="1:15" x14ac:dyDescent="0.3">
      <c r="A337" t="s">
        <v>2277</v>
      </c>
      <c r="B337" t="s">
        <v>2092</v>
      </c>
      <c r="C337" t="s">
        <v>2093</v>
      </c>
      <c r="D337">
        <v>4</v>
      </c>
      <c r="E337" t="s">
        <v>1447</v>
      </c>
      <c r="F337" t="s">
        <v>2094</v>
      </c>
      <c r="G337" t="s">
        <v>1748</v>
      </c>
      <c r="H337" t="s">
        <v>2279</v>
      </c>
      <c r="I337">
        <v>0</v>
      </c>
      <c r="J337" t="s">
        <v>2279</v>
      </c>
      <c r="K337" t="s">
        <v>2279</v>
      </c>
      <c r="L337" t="s">
        <v>2279</v>
      </c>
      <c r="M337" t="s">
        <v>2279</v>
      </c>
      <c r="N337" t="s">
        <v>2279</v>
      </c>
      <c r="O337" s="190" t="str">
        <f>"["&amp;$C337&amp;"]["&amp;$D337&amp;"]["&amp;$F337&amp;"]"</f>
        <v>[S08_NegativeOpinionActivityData][4][NumberOfInstallationsConEst]</v>
      </c>
    </row>
    <row r="338" spans="1:15" x14ac:dyDescent="0.3">
      <c r="A338" t="s">
        <v>2277</v>
      </c>
      <c r="B338" t="s">
        <v>2092</v>
      </c>
      <c r="C338" t="s">
        <v>2095</v>
      </c>
      <c r="D338">
        <v>0</v>
      </c>
      <c r="E338" t="s">
        <v>1447</v>
      </c>
      <c r="F338" t="s">
        <v>2095</v>
      </c>
      <c r="G338" t="s">
        <v>1759</v>
      </c>
      <c r="H338" t="s">
        <v>2279</v>
      </c>
      <c r="I338" t="s">
        <v>2279</v>
      </c>
      <c r="J338" t="s">
        <v>2279</v>
      </c>
      <c r="K338" t="s">
        <v>2279</v>
      </c>
      <c r="L338" t="s">
        <v>1447</v>
      </c>
      <c r="M338" t="s">
        <v>2279</v>
      </c>
      <c r="N338" t="s">
        <v>2279</v>
      </c>
      <c r="O338" s="190" t="str">
        <f>"["&amp;$C338&amp;"]["&amp;$D338&amp;"]["&amp;$F338&amp;"]"</f>
        <v>[ActivityDataIssues][0][ActivityDataIssues]</v>
      </c>
    </row>
    <row r="339" spans="1:15" x14ac:dyDescent="0.3">
      <c r="A339" t="s">
        <v>2277</v>
      </c>
      <c r="B339" t="s">
        <v>2098</v>
      </c>
      <c r="C339" t="s">
        <v>2099</v>
      </c>
      <c r="D339">
        <v>0</v>
      </c>
      <c r="E339" t="s">
        <v>1447</v>
      </c>
      <c r="F339" t="s">
        <v>2099</v>
      </c>
      <c r="G339" t="s">
        <v>1759</v>
      </c>
      <c r="H339" t="s">
        <v>2279</v>
      </c>
      <c r="I339" t="s">
        <v>2279</v>
      </c>
      <c r="J339" t="s">
        <v>2279</v>
      </c>
      <c r="K339" t="s">
        <v>2279</v>
      </c>
      <c r="L339" t="s">
        <v>1447</v>
      </c>
      <c r="M339" t="s">
        <v>2279</v>
      </c>
      <c r="N339" t="s">
        <v>2279</v>
      </c>
      <c r="O339" s="190" t="str">
        <f>"["&amp;$C339&amp;"]["&amp;$D339&amp;"]["&amp;$F339&amp;"]"</f>
        <v>[ActivityReportRejected][0][ActivityReportRejected]</v>
      </c>
    </row>
    <row r="340" spans="1:15" x14ac:dyDescent="0.3">
      <c r="A340" t="s">
        <v>2277</v>
      </c>
      <c r="B340" t="s">
        <v>2103</v>
      </c>
      <c r="C340" t="s">
        <v>2104</v>
      </c>
      <c r="D340">
        <v>0</v>
      </c>
      <c r="E340" t="s">
        <v>1447</v>
      </c>
      <c r="F340" t="s">
        <v>2104</v>
      </c>
      <c r="G340" t="s">
        <v>1759</v>
      </c>
      <c r="H340" t="s">
        <v>2279</v>
      </c>
      <c r="I340" t="s">
        <v>2279</v>
      </c>
      <c r="J340" t="s">
        <v>2279</v>
      </c>
      <c r="K340" t="s">
        <v>2279</v>
      </c>
      <c r="L340" t="s">
        <v>1447</v>
      </c>
      <c r="M340" t="s">
        <v>2279</v>
      </c>
      <c r="N340" t="s">
        <v>2279</v>
      </c>
      <c r="O340" s="190" t="str">
        <f>"["&amp;$C340&amp;"]["&amp;$D340&amp;"]["&amp;$F340&amp;"]"</f>
        <v>[ActivityLevelVisitsWaived][0][ActivityLevelVisitsWaived]</v>
      </c>
    </row>
    <row r="341" spans="1:15" x14ac:dyDescent="0.3">
      <c r="A341" t="s">
        <v>2277</v>
      </c>
      <c r="B341" t="s">
        <v>2106</v>
      </c>
      <c r="C341" t="s">
        <v>2107</v>
      </c>
      <c r="D341">
        <v>0</v>
      </c>
      <c r="E341" t="s">
        <v>1447</v>
      </c>
      <c r="F341" t="s">
        <v>2107</v>
      </c>
      <c r="G341" t="s">
        <v>1759</v>
      </c>
      <c r="H341" t="s">
        <v>2279</v>
      </c>
      <c r="I341" t="s">
        <v>2279</v>
      </c>
      <c r="J341" t="s">
        <v>2279</v>
      </c>
      <c r="K341" t="s">
        <v>2279</v>
      </c>
      <c r="L341" t="s">
        <v>1447</v>
      </c>
      <c r="M341" t="s">
        <v>2279</v>
      </c>
      <c r="N341" t="s">
        <v>2279</v>
      </c>
      <c r="O341" s="190" t="str">
        <f>"["&amp;$C341&amp;"]["&amp;$D341&amp;"]["&amp;$F341&amp;"]"</f>
        <v>[VirtualVisitsActivityLevel][0][VirtualVisitsActivityLevel]</v>
      </c>
    </row>
    <row r="342" spans="1:15" x14ac:dyDescent="0.3">
      <c r="A342" t="s">
        <v>2277</v>
      </c>
      <c r="B342" t="s">
        <v>2109</v>
      </c>
      <c r="C342" t="s">
        <v>2110</v>
      </c>
      <c r="D342">
        <v>1</v>
      </c>
      <c r="E342" t="s">
        <v>1447</v>
      </c>
      <c r="F342" t="s">
        <v>2111</v>
      </c>
      <c r="G342" t="s">
        <v>1806</v>
      </c>
      <c r="H342" t="s">
        <v>2279</v>
      </c>
      <c r="I342" t="s">
        <v>2279</v>
      </c>
      <c r="J342">
        <v>0</v>
      </c>
      <c r="K342" t="s">
        <v>2279</v>
      </c>
      <c r="L342" t="s">
        <v>2279</v>
      </c>
      <c r="M342" t="s">
        <v>2279</v>
      </c>
      <c r="N342" t="s">
        <v>2279</v>
      </c>
      <c r="O342" s="190" t="str">
        <f>"["&amp;$C342&amp;"]["&amp;$D342&amp;"]["&amp;$F342&amp;"]"</f>
        <v>[S08_PenaltiesAllocation][1][MinFine]</v>
      </c>
    </row>
    <row r="343" spans="1:15" x14ac:dyDescent="0.3">
      <c r="A343" t="s">
        <v>2277</v>
      </c>
      <c r="B343" t="s">
        <v>2109</v>
      </c>
      <c r="C343" t="s">
        <v>2110</v>
      </c>
      <c r="D343">
        <v>2</v>
      </c>
      <c r="E343" t="s">
        <v>1447</v>
      </c>
      <c r="F343" t="s">
        <v>2111</v>
      </c>
      <c r="G343" t="s">
        <v>1806</v>
      </c>
      <c r="H343" t="s">
        <v>2279</v>
      </c>
      <c r="I343" t="s">
        <v>2279</v>
      </c>
      <c r="J343">
        <v>0</v>
      </c>
      <c r="K343" t="s">
        <v>2279</v>
      </c>
      <c r="L343" t="s">
        <v>2279</v>
      </c>
      <c r="M343" t="s">
        <v>2279</v>
      </c>
      <c r="N343" t="s">
        <v>2279</v>
      </c>
      <c r="O343" s="190" t="str">
        <f>"["&amp;$C343&amp;"]["&amp;$D343&amp;"]["&amp;$F343&amp;"]"</f>
        <v>[S08_PenaltiesAllocation][2][MinFine]</v>
      </c>
    </row>
    <row r="344" spans="1:15" x14ac:dyDescent="0.3">
      <c r="A344" t="s">
        <v>2277</v>
      </c>
      <c r="B344" t="s">
        <v>2109</v>
      </c>
      <c r="C344" t="s">
        <v>2110</v>
      </c>
      <c r="D344">
        <v>3</v>
      </c>
      <c r="E344" t="s">
        <v>1447</v>
      </c>
      <c r="F344" t="s">
        <v>2111</v>
      </c>
      <c r="G344" t="s">
        <v>1806</v>
      </c>
      <c r="H344" t="s">
        <v>2279</v>
      </c>
      <c r="I344" t="s">
        <v>2279</v>
      </c>
      <c r="J344">
        <v>0</v>
      </c>
      <c r="K344" t="s">
        <v>2279</v>
      </c>
      <c r="L344" t="s">
        <v>2279</v>
      </c>
      <c r="M344" t="s">
        <v>2279</v>
      </c>
      <c r="N344" t="s">
        <v>2279</v>
      </c>
      <c r="O344" s="190" t="str">
        <f>"["&amp;$C344&amp;"]["&amp;$D344&amp;"]["&amp;$F344&amp;"]"</f>
        <v>[S08_PenaltiesAllocation][3][MinFine]</v>
      </c>
    </row>
    <row r="345" spans="1:15" x14ac:dyDescent="0.3">
      <c r="A345" t="s">
        <v>2277</v>
      </c>
      <c r="B345" t="s">
        <v>2109</v>
      </c>
      <c r="C345" t="s">
        <v>2110</v>
      </c>
      <c r="D345">
        <v>4</v>
      </c>
      <c r="E345" t="s">
        <v>1447</v>
      </c>
      <c r="F345" t="s">
        <v>2111</v>
      </c>
      <c r="G345" t="s">
        <v>1806</v>
      </c>
      <c r="H345" t="s">
        <v>2279</v>
      </c>
      <c r="I345" t="s">
        <v>2279</v>
      </c>
      <c r="J345">
        <v>0</v>
      </c>
      <c r="K345" t="s">
        <v>2279</v>
      </c>
      <c r="L345" t="s">
        <v>2279</v>
      </c>
      <c r="M345" t="s">
        <v>2279</v>
      </c>
      <c r="N345" t="s">
        <v>2279</v>
      </c>
      <c r="O345" s="190" t="str">
        <f>"["&amp;$C345&amp;"]["&amp;$D345&amp;"]["&amp;$F345&amp;"]"</f>
        <v>[S08_PenaltiesAllocation][4][MinFine]</v>
      </c>
    </row>
    <row r="346" spans="1:15" x14ac:dyDescent="0.3">
      <c r="A346" t="s">
        <v>2277</v>
      </c>
      <c r="B346" t="s">
        <v>2109</v>
      </c>
      <c r="C346" t="s">
        <v>2110</v>
      </c>
      <c r="D346">
        <v>1</v>
      </c>
      <c r="E346" t="s">
        <v>1447</v>
      </c>
      <c r="F346" t="s">
        <v>2112</v>
      </c>
      <c r="G346" t="s">
        <v>1806</v>
      </c>
      <c r="H346" t="s">
        <v>2279</v>
      </c>
      <c r="I346" t="s">
        <v>2279</v>
      </c>
      <c r="J346">
        <v>4238</v>
      </c>
      <c r="K346" t="s">
        <v>2279</v>
      </c>
      <c r="L346" t="s">
        <v>2279</v>
      </c>
      <c r="M346" t="s">
        <v>2279</v>
      </c>
      <c r="N346" t="s">
        <v>2279</v>
      </c>
      <c r="O346" s="190" t="str">
        <f>"["&amp;$C346&amp;"]["&amp;$D346&amp;"]["&amp;$F346&amp;"]"</f>
        <v>[S08_PenaltiesAllocation][1][MaxFine]</v>
      </c>
    </row>
    <row r="347" spans="1:15" x14ac:dyDescent="0.3">
      <c r="A347" t="s">
        <v>2277</v>
      </c>
      <c r="B347" t="s">
        <v>2109</v>
      </c>
      <c r="C347" t="s">
        <v>2110</v>
      </c>
      <c r="D347">
        <v>2</v>
      </c>
      <c r="E347" t="s">
        <v>1447</v>
      </c>
      <c r="F347" t="s">
        <v>2112</v>
      </c>
      <c r="G347" t="s">
        <v>1806</v>
      </c>
      <c r="H347" t="s">
        <v>2279</v>
      </c>
      <c r="I347" t="s">
        <v>2279</v>
      </c>
      <c r="J347">
        <v>4238</v>
      </c>
      <c r="K347" t="s">
        <v>2279</v>
      </c>
      <c r="L347" t="s">
        <v>2279</v>
      </c>
      <c r="M347" t="s">
        <v>2279</v>
      </c>
      <c r="N347" t="s">
        <v>2279</v>
      </c>
      <c r="O347" s="190" t="str">
        <f>"["&amp;$C347&amp;"]["&amp;$D347&amp;"]["&amp;$F347&amp;"]"</f>
        <v>[S08_PenaltiesAllocation][2][MaxFine]</v>
      </c>
    </row>
    <row r="348" spans="1:15" x14ac:dyDescent="0.3">
      <c r="A348" t="s">
        <v>2277</v>
      </c>
      <c r="B348" t="s">
        <v>2109</v>
      </c>
      <c r="C348" t="s">
        <v>2110</v>
      </c>
      <c r="D348">
        <v>3</v>
      </c>
      <c r="E348" t="s">
        <v>1447</v>
      </c>
      <c r="F348" t="s">
        <v>2112</v>
      </c>
      <c r="G348" t="s">
        <v>1806</v>
      </c>
      <c r="H348" t="s">
        <v>2279</v>
      </c>
      <c r="I348" t="s">
        <v>2279</v>
      </c>
      <c r="J348">
        <v>4238</v>
      </c>
      <c r="K348" t="s">
        <v>2279</v>
      </c>
      <c r="L348" t="s">
        <v>2279</v>
      </c>
      <c r="M348" t="s">
        <v>2279</v>
      </c>
      <c r="N348" t="s">
        <v>2279</v>
      </c>
      <c r="O348" s="190" t="str">
        <f>"["&amp;$C348&amp;"]["&amp;$D348&amp;"]["&amp;$F348&amp;"]"</f>
        <v>[S08_PenaltiesAllocation][3][MaxFine]</v>
      </c>
    </row>
    <row r="349" spans="1:15" x14ac:dyDescent="0.3">
      <c r="A349" t="s">
        <v>2277</v>
      </c>
      <c r="B349" t="s">
        <v>2109</v>
      </c>
      <c r="C349" t="s">
        <v>2110</v>
      </c>
      <c r="D349">
        <v>4</v>
      </c>
      <c r="E349" t="s">
        <v>1447</v>
      </c>
      <c r="F349" t="s">
        <v>2112</v>
      </c>
      <c r="G349" t="s">
        <v>1806</v>
      </c>
      <c r="H349" t="s">
        <v>2279</v>
      </c>
      <c r="I349" t="s">
        <v>2279</v>
      </c>
      <c r="J349">
        <v>4238</v>
      </c>
      <c r="K349" t="s">
        <v>2279</v>
      </c>
      <c r="L349" t="s">
        <v>2279</v>
      </c>
      <c r="M349" t="s">
        <v>2279</v>
      </c>
      <c r="N349" t="s">
        <v>2279</v>
      </c>
      <c r="O349" s="190" t="str">
        <f>"["&amp;$C349&amp;"]["&amp;$D349&amp;"]["&amp;$F349&amp;"]"</f>
        <v>[S08_PenaltiesAllocation][4][MaxFine]</v>
      </c>
    </row>
    <row r="350" spans="1:15" x14ac:dyDescent="0.3">
      <c r="A350" t="s">
        <v>2277</v>
      </c>
      <c r="B350" t="s">
        <v>2109</v>
      </c>
      <c r="C350" t="s">
        <v>2110</v>
      </c>
      <c r="D350">
        <v>1</v>
      </c>
      <c r="E350" t="s">
        <v>1447</v>
      </c>
      <c r="F350" t="s">
        <v>2115</v>
      </c>
      <c r="G350" t="s">
        <v>1741</v>
      </c>
      <c r="H350" t="s">
        <v>2337</v>
      </c>
      <c r="I350" t="s">
        <v>2279</v>
      </c>
      <c r="J350" t="s">
        <v>2279</v>
      </c>
      <c r="K350" t="s">
        <v>2279</v>
      </c>
      <c r="L350" t="s">
        <v>2279</v>
      </c>
      <c r="M350" t="s">
        <v>2279</v>
      </c>
      <c r="N350" t="s">
        <v>2279</v>
      </c>
      <c r="O350" s="190" t="str">
        <f>"["&amp;$C350&amp;"]["&amp;$D350&amp;"]["&amp;$F350&amp;"]"</f>
        <v>[S08_PenaltiesAllocation][1][OtherPenalty]</v>
      </c>
    </row>
    <row r="351" spans="1:15" x14ac:dyDescent="0.3">
      <c r="A351" t="s">
        <v>2277</v>
      </c>
      <c r="B351" t="s">
        <v>2109</v>
      </c>
      <c r="C351" t="s">
        <v>2110</v>
      </c>
      <c r="D351">
        <v>2</v>
      </c>
      <c r="E351" t="s">
        <v>1447</v>
      </c>
      <c r="F351" t="s">
        <v>2115</v>
      </c>
      <c r="G351" t="s">
        <v>1741</v>
      </c>
      <c r="H351" t="s">
        <v>2337</v>
      </c>
      <c r="I351" t="s">
        <v>2279</v>
      </c>
      <c r="J351" t="s">
        <v>2279</v>
      </c>
      <c r="K351" t="s">
        <v>2279</v>
      </c>
      <c r="L351" t="s">
        <v>2279</v>
      </c>
      <c r="M351" t="s">
        <v>2279</v>
      </c>
      <c r="N351" t="s">
        <v>2279</v>
      </c>
      <c r="O351" s="190" t="str">
        <f>"["&amp;$C351&amp;"]["&amp;$D351&amp;"]["&amp;$F351&amp;"]"</f>
        <v>[S08_PenaltiesAllocation][2][OtherPenalty]</v>
      </c>
    </row>
    <row r="352" spans="1:15" x14ac:dyDescent="0.3">
      <c r="A352" t="s">
        <v>2277</v>
      </c>
      <c r="B352" t="s">
        <v>2109</v>
      </c>
      <c r="C352" t="s">
        <v>2110</v>
      </c>
      <c r="D352">
        <v>3</v>
      </c>
      <c r="E352" t="s">
        <v>1447</v>
      </c>
      <c r="F352" t="s">
        <v>2115</v>
      </c>
      <c r="G352" t="s">
        <v>1741</v>
      </c>
      <c r="H352" t="s">
        <v>2337</v>
      </c>
      <c r="I352" t="s">
        <v>2279</v>
      </c>
      <c r="J352" t="s">
        <v>2279</v>
      </c>
      <c r="K352" t="s">
        <v>2279</v>
      </c>
      <c r="L352" t="s">
        <v>2279</v>
      </c>
      <c r="M352" t="s">
        <v>2279</v>
      </c>
      <c r="N352" t="s">
        <v>2279</v>
      </c>
      <c r="O352" s="190" t="str">
        <f>"["&amp;$C352&amp;"]["&amp;$D352&amp;"]["&amp;$F352&amp;"]"</f>
        <v>[S08_PenaltiesAllocation][3][OtherPenalty]</v>
      </c>
    </row>
    <row r="353" spans="1:15" x14ac:dyDescent="0.3">
      <c r="A353" t="s">
        <v>2277</v>
      </c>
      <c r="B353" t="s">
        <v>2109</v>
      </c>
      <c r="C353" t="s">
        <v>2110</v>
      </c>
      <c r="D353">
        <v>4</v>
      </c>
      <c r="E353" t="s">
        <v>1447</v>
      </c>
      <c r="F353" t="s">
        <v>2115</v>
      </c>
      <c r="G353" t="s">
        <v>1741</v>
      </c>
      <c r="H353" t="s">
        <v>2337</v>
      </c>
      <c r="I353" t="s">
        <v>2279</v>
      </c>
      <c r="J353" t="s">
        <v>2279</v>
      </c>
      <c r="K353" t="s">
        <v>2279</v>
      </c>
      <c r="L353" t="s">
        <v>2279</v>
      </c>
      <c r="M353" t="s">
        <v>2279</v>
      </c>
      <c r="N353" t="s">
        <v>2279</v>
      </c>
      <c r="O353" s="190" t="str">
        <f>"["&amp;$C353&amp;"]["&amp;$D353&amp;"]["&amp;$F353&amp;"]"</f>
        <v>[S08_PenaltiesAllocation][4][OtherPenalty]</v>
      </c>
    </row>
    <row r="354" spans="1:15" x14ac:dyDescent="0.3">
      <c r="A354" t="s">
        <v>2277</v>
      </c>
      <c r="B354" t="s">
        <v>2117</v>
      </c>
      <c r="C354" t="s">
        <v>2125</v>
      </c>
      <c r="D354">
        <v>0</v>
      </c>
      <c r="E354" t="s">
        <v>1447</v>
      </c>
      <c r="F354" t="s">
        <v>2125</v>
      </c>
      <c r="G354" t="s">
        <v>1759</v>
      </c>
      <c r="H354" t="s">
        <v>2279</v>
      </c>
      <c r="I354" t="s">
        <v>2279</v>
      </c>
      <c r="J354" t="s">
        <v>2279</v>
      </c>
      <c r="K354" t="s">
        <v>2279</v>
      </c>
      <c r="L354" t="s">
        <v>1447</v>
      </c>
      <c r="M354" t="s">
        <v>2279</v>
      </c>
      <c r="N354" t="s">
        <v>2279</v>
      </c>
      <c r="O354" s="190" t="str">
        <f>"["&amp;$C354&amp;"]["&amp;$D354&amp;"]["&amp;$F354&amp;"]"</f>
        <v>[PriorPenaltiesEnforced][0][PriorPenaltiesEnforced]</v>
      </c>
    </row>
    <row r="355" spans="1:15" x14ac:dyDescent="0.3">
      <c r="A355" t="s">
        <v>2277</v>
      </c>
      <c r="B355" t="s">
        <v>2130</v>
      </c>
      <c r="C355" t="s">
        <v>2131</v>
      </c>
      <c r="D355">
        <v>0</v>
      </c>
      <c r="E355" t="s">
        <v>1447</v>
      </c>
      <c r="F355" t="s">
        <v>2131</v>
      </c>
      <c r="G355" t="s">
        <v>1759</v>
      </c>
      <c r="H355" t="s">
        <v>2279</v>
      </c>
      <c r="I355" t="s">
        <v>2279</v>
      </c>
      <c r="J355" t="s">
        <v>2279</v>
      </c>
      <c r="K355" t="s">
        <v>2279</v>
      </c>
      <c r="L355" t="s">
        <v>1419</v>
      </c>
      <c r="M355" t="s">
        <v>2279</v>
      </c>
      <c r="N355" t="s">
        <v>2279</v>
      </c>
      <c r="O355" s="190" t="str">
        <f>"["&amp;$C355&amp;"]["&amp;$D355&amp;"]["&amp;$F355&amp;"]"</f>
        <v>[InstallationOperatorFees][0][InstallationOperatorFees]</v>
      </c>
    </row>
    <row r="356" spans="1:15" x14ac:dyDescent="0.3">
      <c r="A356" t="s">
        <v>2277</v>
      </c>
      <c r="B356" t="s">
        <v>2130</v>
      </c>
      <c r="C356" t="s">
        <v>2132</v>
      </c>
      <c r="D356">
        <v>1</v>
      </c>
      <c r="E356" t="s">
        <v>1447</v>
      </c>
      <c r="F356" t="s">
        <v>2133</v>
      </c>
      <c r="G356" t="s">
        <v>1806</v>
      </c>
      <c r="H356" t="s">
        <v>2279</v>
      </c>
      <c r="I356" t="s">
        <v>2279</v>
      </c>
      <c r="J356">
        <v>7729.2</v>
      </c>
      <c r="K356" t="s">
        <v>2279</v>
      </c>
      <c r="L356" t="s">
        <v>2279</v>
      </c>
      <c r="M356" t="s">
        <v>2279</v>
      </c>
      <c r="N356" t="s">
        <v>2279</v>
      </c>
      <c r="O356" s="190" t="str">
        <f>"["&amp;$C356&amp;"]["&amp;$D356&amp;"]["&amp;$F356&amp;"]"</f>
        <v>[S09_InstallationOperatorFeesPermits][1][FeesAmount]</v>
      </c>
    </row>
    <row r="357" spans="1:15" x14ac:dyDescent="0.3">
      <c r="A357" t="s">
        <v>2277</v>
      </c>
      <c r="B357" t="s">
        <v>2130</v>
      </c>
      <c r="C357" t="s">
        <v>2132</v>
      </c>
      <c r="D357">
        <v>2</v>
      </c>
      <c r="E357" t="s">
        <v>1447</v>
      </c>
      <c r="F357" t="s">
        <v>2133</v>
      </c>
      <c r="G357" t="s">
        <v>1806</v>
      </c>
      <c r="H357" t="s">
        <v>2279</v>
      </c>
      <c r="I357" t="s">
        <v>2279</v>
      </c>
      <c r="J357">
        <v>546.91999999999996</v>
      </c>
      <c r="K357" t="s">
        <v>2279</v>
      </c>
      <c r="L357" t="s">
        <v>2279</v>
      </c>
      <c r="M357" t="s">
        <v>2279</v>
      </c>
      <c r="N357" t="s">
        <v>2279</v>
      </c>
      <c r="O357" s="190" t="str">
        <f>"["&amp;$C357&amp;"]["&amp;$D357&amp;"]["&amp;$F357&amp;"]"</f>
        <v>[S09_InstallationOperatorFeesPermits][2][FeesAmount]</v>
      </c>
    </row>
    <row r="358" spans="1:15" x14ac:dyDescent="0.3">
      <c r="A358" t="s">
        <v>2277</v>
      </c>
      <c r="B358" t="s">
        <v>2130</v>
      </c>
      <c r="C358" t="s">
        <v>2132</v>
      </c>
      <c r="D358">
        <v>3</v>
      </c>
      <c r="E358" t="s">
        <v>1447</v>
      </c>
      <c r="F358" t="s">
        <v>2133</v>
      </c>
      <c r="G358" t="s">
        <v>1806</v>
      </c>
      <c r="H358" t="s">
        <v>2279</v>
      </c>
      <c r="I358" t="s">
        <v>2279</v>
      </c>
      <c r="J358">
        <v>546.91999999999996</v>
      </c>
      <c r="K358" t="s">
        <v>2279</v>
      </c>
      <c r="L358" t="s">
        <v>2279</v>
      </c>
      <c r="M358" t="s">
        <v>2279</v>
      </c>
      <c r="N358" t="s">
        <v>2279</v>
      </c>
      <c r="O358" s="190" t="str">
        <f>"["&amp;$C358&amp;"]["&amp;$D358&amp;"]["&amp;$F358&amp;"]"</f>
        <v>[S09_InstallationOperatorFeesPermits][3][FeesAmount]</v>
      </c>
    </row>
    <row r="359" spans="1:15" x14ac:dyDescent="0.3">
      <c r="A359" t="s">
        <v>2277</v>
      </c>
      <c r="B359" t="s">
        <v>2130</v>
      </c>
      <c r="C359" t="s">
        <v>2132</v>
      </c>
      <c r="D359">
        <v>4</v>
      </c>
      <c r="E359" t="s">
        <v>1447</v>
      </c>
      <c r="F359" t="s">
        <v>2133</v>
      </c>
      <c r="G359" t="s">
        <v>1806</v>
      </c>
      <c r="H359" t="s">
        <v>2279</v>
      </c>
      <c r="I359" t="s">
        <v>2279</v>
      </c>
      <c r="J359">
        <v>870.1</v>
      </c>
      <c r="K359" t="s">
        <v>2279</v>
      </c>
      <c r="L359" t="s">
        <v>2279</v>
      </c>
      <c r="M359" t="s">
        <v>2279</v>
      </c>
      <c r="N359" t="s">
        <v>2279</v>
      </c>
      <c r="O359" s="190" t="str">
        <f>"["&amp;$C359&amp;"]["&amp;$D359&amp;"]["&amp;$F359&amp;"]"</f>
        <v>[S09_InstallationOperatorFeesPermits][4][FeesAmount]</v>
      </c>
    </row>
    <row r="360" spans="1:15" x14ac:dyDescent="0.3">
      <c r="A360" t="s">
        <v>2277</v>
      </c>
      <c r="B360" t="s">
        <v>2130</v>
      </c>
      <c r="C360" t="s">
        <v>2132</v>
      </c>
      <c r="D360">
        <v>5</v>
      </c>
      <c r="E360" t="s">
        <v>1447</v>
      </c>
      <c r="F360" t="s">
        <v>2133</v>
      </c>
      <c r="G360" t="s">
        <v>1806</v>
      </c>
      <c r="H360" t="s">
        <v>2279</v>
      </c>
      <c r="I360" t="s">
        <v>2279</v>
      </c>
      <c r="J360">
        <v>1447.53</v>
      </c>
      <c r="K360" t="s">
        <v>2279</v>
      </c>
      <c r="L360" t="s">
        <v>2279</v>
      </c>
      <c r="M360" t="s">
        <v>2279</v>
      </c>
      <c r="N360" t="s">
        <v>2279</v>
      </c>
      <c r="O360" s="190" t="str">
        <f>"["&amp;$C360&amp;"]["&amp;$D360&amp;"]["&amp;$F360&amp;"]"</f>
        <v>[S09_InstallationOperatorFeesPermits][5][FeesAmount]</v>
      </c>
    </row>
    <row r="361" spans="1:15" x14ac:dyDescent="0.3">
      <c r="A361" t="s">
        <v>2277</v>
      </c>
      <c r="B361" t="s">
        <v>2130</v>
      </c>
      <c r="C361" t="s">
        <v>2132</v>
      </c>
      <c r="D361">
        <v>6</v>
      </c>
      <c r="E361" t="s">
        <v>1419</v>
      </c>
      <c r="F361" t="s">
        <v>2133</v>
      </c>
      <c r="G361" t="s">
        <v>1806</v>
      </c>
      <c r="H361" t="s">
        <v>2279</v>
      </c>
      <c r="I361" t="s">
        <v>2279</v>
      </c>
      <c r="J361">
        <v>870</v>
      </c>
      <c r="K361" t="s">
        <v>2279</v>
      </c>
      <c r="L361" t="s">
        <v>2279</v>
      </c>
      <c r="M361" t="s">
        <v>2279</v>
      </c>
      <c r="N361" t="s">
        <v>2279</v>
      </c>
      <c r="O361" s="190" t="str">
        <f>"["&amp;$C361&amp;"]["&amp;$D361&amp;"]["&amp;$F361&amp;"]"</f>
        <v>[S09_InstallationOperatorFeesPermits][6][FeesAmount]</v>
      </c>
    </row>
    <row r="362" spans="1:15" x14ac:dyDescent="0.3">
      <c r="A362" t="s">
        <v>2277</v>
      </c>
      <c r="B362" t="s">
        <v>2130</v>
      </c>
      <c r="C362" t="s">
        <v>2132</v>
      </c>
      <c r="D362">
        <v>6</v>
      </c>
      <c r="E362" t="s">
        <v>1419</v>
      </c>
      <c r="F362" t="s">
        <v>2134</v>
      </c>
      <c r="G362" t="s">
        <v>1791</v>
      </c>
      <c r="H362" t="s">
        <v>2279</v>
      </c>
      <c r="I362" t="s">
        <v>2279</v>
      </c>
      <c r="J362" t="s">
        <v>2279</v>
      </c>
      <c r="K362" t="s">
        <v>2338</v>
      </c>
      <c r="L362" t="s">
        <v>2279</v>
      </c>
      <c r="M362" t="s">
        <v>2279</v>
      </c>
      <c r="N362" t="s">
        <v>2279</v>
      </c>
      <c r="O362" s="190" t="str">
        <f>"["&amp;$C362&amp;"]["&amp;$D362&amp;"]["&amp;$F362&amp;"]"</f>
        <v>[S09_InstallationOperatorFeesPermits][6][FeesOther]</v>
      </c>
    </row>
    <row r="363" spans="1:15" x14ac:dyDescent="0.3">
      <c r="A363" t="s">
        <v>2277</v>
      </c>
      <c r="B363" t="s">
        <v>2130</v>
      </c>
      <c r="C363" t="s">
        <v>2135</v>
      </c>
      <c r="D363">
        <v>1</v>
      </c>
      <c r="E363" t="s">
        <v>1447</v>
      </c>
      <c r="F363" t="s">
        <v>2133</v>
      </c>
      <c r="G363" t="s">
        <v>1806</v>
      </c>
      <c r="H363" t="s">
        <v>2279</v>
      </c>
      <c r="I363" t="s">
        <v>2279</v>
      </c>
      <c r="J363">
        <v>5277</v>
      </c>
      <c r="K363" t="s">
        <v>2279</v>
      </c>
      <c r="L363" t="s">
        <v>2279</v>
      </c>
      <c r="M363" t="s">
        <v>2279</v>
      </c>
      <c r="N363" t="s">
        <v>2279</v>
      </c>
      <c r="O363" s="190" t="str">
        <f>"["&amp;$C363&amp;"]["&amp;$D363&amp;"]["&amp;$F363&amp;"]"</f>
        <v>[S09_InstallationOperatorFeesSubsistence][1][FeesAmount]</v>
      </c>
    </row>
    <row r="364" spans="1:15" x14ac:dyDescent="0.3">
      <c r="A364" t="s">
        <v>2277</v>
      </c>
      <c r="B364" t="s">
        <v>2136</v>
      </c>
      <c r="C364" t="s">
        <v>2137</v>
      </c>
      <c r="D364">
        <v>0</v>
      </c>
      <c r="E364" t="s">
        <v>1447</v>
      </c>
      <c r="F364" t="s">
        <v>2137</v>
      </c>
      <c r="G364" t="s">
        <v>1759</v>
      </c>
      <c r="H364" t="s">
        <v>2279</v>
      </c>
      <c r="I364" t="s">
        <v>2279</v>
      </c>
      <c r="J364" t="s">
        <v>2279</v>
      </c>
      <c r="K364" t="s">
        <v>2279</v>
      </c>
      <c r="L364" t="s">
        <v>1447</v>
      </c>
      <c r="M364" t="s">
        <v>2279</v>
      </c>
      <c r="N364" t="s">
        <v>2279</v>
      </c>
      <c r="O364" s="190" t="str">
        <f>"["&amp;$C364&amp;"]["&amp;$D364&amp;"]["&amp;$F364&amp;"]"</f>
        <v>[AircraftOperatorFees][0][AircraftOperatorFees]</v>
      </c>
    </row>
    <row r="365" spans="1:15" x14ac:dyDescent="0.3">
      <c r="A365" t="s">
        <v>2277</v>
      </c>
      <c r="B365" t="s">
        <v>2136</v>
      </c>
      <c r="C365" t="s">
        <v>2140</v>
      </c>
      <c r="D365">
        <v>1</v>
      </c>
      <c r="E365" t="s">
        <v>1447</v>
      </c>
      <c r="F365" t="s">
        <v>2141</v>
      </c>
      <c r="G365" t="s">
        <v>1741</v>
      </c>
      <c r="H365" t="s">
        <v>2339</v>
      </c>
      <c r="I365" t="s">
        <v>2279</v>
      </c>
      <c r="J365" t="s">
        <v>2279</v>
      </c>
      <c r="K365" t="s">
        <v>2279</v>
      </c>
      <c r="L365" t="s">
        <v>2279</v>
      </c>
      <c r="M365" t="s">
        <v>2279</v>
      </c>
      <c r="N365" t="s">
        <v>2279</v>
      </c>
      <c r="O365" s="190" t="str">
        <f>"["&amp;$C365&amp;"]["&amp;$D365&amp;"]["&amp;$F365&amp;"]"</f>
        <v>[S09_RegistryAccountOneOffFees][1][OneOffFeeReason]</v>
      </c>
    </row>
    <row r="366" spans="1:15" x14ac:dyDescent="0.3">
      <c r="A366" t="s">
        <v>2277</v>
      </c>
      <c r="B366" t="s">
        <v>2136</v>
      </c>
      <c r="C366" t="s">
        <v>2140</v>
      </c>
      <c r="D366">
        <v>2</v>
      </c>
      <c r="E366" t="s">
        <v>1447</v>
      </c>
      <c r="F366" t="s">
        <v>2141</v>
      </c>
      <c r="G366" t="s">
        <v>1741</v>
      </c>
      <c r="H366" t="s">
        <v>2340</v>
      </c>
      <c r="I366" t="s">
        <v>2279</v>
      </c>
      <c r="J366" t="s">
        <v>2279</v>
      </c>
      <c r="K366" t="s">
        <v>2279</v>
      </c>
      <c r="L366" t="s">
        <v>2279</v>
      </c>
      <c r="M366" t="s">
        <v>2279</v>
      </c>
      <c r="N366" t="s">
        <v>2279</v>
      </c>
      <c r="O366" s="190" t="str">
        <f>"["&amp;$C366&amp;"]["&amp;$D366&amp;"]["&amp;$F366&amp;"]"</f>
        <v>[S09_RegistryAccountOneOffFees][2][OneOffFeeReason]</v>
      </c>
    </row>
    <row r="367" spans="1:15" x14ac:dyDescent="0.3">
      <c r="A367" t="s">
        <v>2277</v>
      </c>
      <c r="B367" t="s">
        <v>2136</v>
      </c>
      <c r="C367" t="s">
        <v>2140</v>
      </c>
      <c r="D367">
        <v>1</v>
      </c>
      <c r="E367" t="s">
        <v>1447</v>
      </c>
      <c r="F367" t="s">
        <v>2142</v>
      </c>
      <c r="G367" t="s">
        <v>1806</v>
      </c>
      <c r="H367" t="s">
        <v>2279</v>
      </c>
      <c r="I367" t="s">
        <v>2279</v>
      </c>
      <c r="J367">
        <v>330</v>
      </c>
      <c r="K367" t="s">
        <v>2279</v>
      </c>
      <c r="L367" t="s">
        <v>2279</v>
      </c>
      <c r="M367" t="s">
        <v>2279</v>
      </c>
      <c r="N367" t="s">
        <v>2279</v>
      </c>
      <c r="O367" s="190" t="str">
        <f>"["&amp;$C367&amp;"]["&amp;$D367&amp;"]["&amp;$F367&amp;"]"</f>
        <v>[S09_RegistryAccountOneOffFees][1][OneOffFeeAmount]</v>
      </c>
    </row>
    <row r="368" spans="1:15" x14ac:dyDescent="0.3">
      <c r="A368" t="s">
        <v>2277</v>
      </c>
      <c r="B368" t="s">
        <v>2136</v>
      </c>
      <c r="C368" t="s">
        <v>2143</v>
      </c>
      <c r="D368">
        <v>1</v>
      </c>
      <c r="E368" t="s">
        <v>1447</v>
      </c>
      <c r="F368" t="s">
        <v>2144</v>
      </c>
      <c r="G368" t="s">
        <v>1741</v>
      </c>
      <c r="H368" t="s">
        <v>2341</v>
      </c>
      <c r="I368" t="s">
        <v>2279</v>
      </c>
      <c r="J368" t="s">
        <v>2279</v>
      </c>
      <c r="K368" t="s">
        <v>2279</v>
      </c>
      <c r="L368" t="s">
        <v>2279</v>
      </c>
      <c r="M368" t="s">
        <v>2279</v>
      </c>
      <c r="N368" t="s">
        <v>2279</v>
      </c>
      <c r="O368" s="190" t="str">
        <f>"["&amp;$C368&amp;"]["&amp;$D368&amp;"]["&amp;$F368&amp;"]"</f>
        <v>[S09_RegistryAccountAnnualFees][1][AnnualFeeReason]</v>
      </c>
    </row>
    <row r="369" spans="1:15" x14ac:dyDescent="0.3">
      <c r="A369" t="s">
        <v>2277</v>
      </c>
      <c r="B369" t="s">
        <v>2136</v>
      </c>
      <c r="C369" t="s">
        <v>2143</v>
      </c>
      <c r="D369">
        <v>2</v>
      </c>
      <c r="E369" t="s">
        <v>1447</v>
      </c>
      <c r="F369" t="s">
        <v>2144</v>
      </c>
      <c r="G369" t="s">
        <v>1741</v>
      </c>
      <c r="H369" t="s">
        <v>2342</v>
      </c>
      <c r="I369" t="s">
        <v>2279</v>
      </c>
      <c r="J369" t="s">
        <v>2279</v>
      </c>
      <c r="K369" t="s">
        <v>2279</v>
      </c>
      <c r="L369" t="s">
        <v>2279</v>
      </c>
      <c r="M369" t="s">
        <v>2279</v>
      </c>
      <c r="N369" t="s">
        <v>2279</v>
      </c>
      <c r="O369" s="190" t="str">
        <f>"["&amp;$C369&amp;"]["&amp;$D369&amp;"]["&amp;$F369&amp;"]"</f>
        <v>[S09_RegistryAccountAnnualFees][2][AnnualFeeReason]</v>
      </c>
    </row>
    <row r="370" spans="1:15" x14ac:dyDescent="0.3">
      <c r="A370" t="s">
        <v>2277</v>
      </c>
      <c r="B370" t="s">
        <v>2136</v>
      </c>
      <c r="C370" t="s">
        <v>2143</v>
      </c>
      <c r="D370">
        <v>2</v>
      </c>
      <c r="E370" t="s">
        <v>1447</v>
      </c>
      <c r="F370" t="s">
        <v>2145</v>
      </c>
      <c r="G370" t="s">
        <v>1806</v>
      </c>
      <c r="H370" t="s">
        <v>2279</v>
      </c>
      <c r="I370" t="s">
        <v>2279</v>
      </c>
      <c r="J370">
        <v>150.29</v>
      </c>
      <c r="K370" t="s">
        <v>2279</v>
      </c>
      <c r="L370" t="s">
        <v>2279</v>
      </c>
      <c r="M370" t="s">
        <v>2279</v>
      </c>
      <c r="N370" t="s">
        <v>2279</v>
      </c>
      <c r="O370" s="190" t="str">
        <f>"["&amp;$C370&amp;"]["&amp;$D370&amp;"]["&amp;$F370&amp;"]"</f>
        <v>[S09_RegistryAccountAnnualFees][2][AnnualFeeAmount]</v>
      </c>
    </row>
    <row r="371" spans="1:15" x14ac:dyDescent="0.3">
      <c r="A371" t="s">
        <v>2277</v>
      </c>
      <c r="B371" t="s">
        <v>2146</v>
      </c>
      <c r="C371" t="s">
        <v>2147</v>
      </c>
      <c r="D371">
        <v>1</v>
      </c>
      <c r="E371" t="s">
        <v>1447</v>
      </c>
      <c r="F371" t="s">
        <v>2148</v>
      </c>
      <c r="G371" t="s">
        <v>1759</v>
      </c>
      <c r="H371" t="s">
        <v>2279</v>
      </c>
      <c r="I371" t="s">
        <v>2279</v>
      </c>
      <c r="J371" t="s">
        <v>2279</v>
      </c>
      <c r="K371" t="s">
        <v>2279</v>
      </c>
      <c r="L371" t="s">
        <v>1447</v>
      </c>
      <c r="M371" t="s">
        <v>2279</v>
      </c>
      <c r="N371" t="s">
        <v>2279</v>
      </c>
      <c r="O371" s="190" t="str">
        <f>"["&amp;$C371&amp;"]["&amp;$D371&amp;"]["&amp;$F371&amp;"]"</f>
        <v>[S10_InstallationsComplianceMeasures][1][ComplianceMeasuresYesNo]</v>
      </c>
    </row>
    <row r="372" spans="1:15" x14ac:dyDescent="0.3">
      <c r="A372" t="s">
        <v>2277</v>
      </c>
      <c r="B372" t="s">
        <v>2146</v>
      </c>
      <c r="C372" t="s">
        <v>2147</v>
      </c>
      <c r="D372">
        <v>2</v>
      </c>
      <c r="E372" t="s">
        <v>1447</v>
      </c>
      <c r="F372" t="s">
        <v>2148</v>
      </c>
      <c r="G372" t="s">
        <v>1759</v>
      </c>
      <c r="H372" t="s">
        <v>2279</v>
      </c>
      <c r="I372" t="s">
        <v>2279</v>
      </c>
      <c r="J372" t="s">
        <v>2279</v>
      </c>
      <c r="K372" t="s">
        <v>2279</v>
      </c>
      <c r="L372" t="s">
        <v>1447</v>
      </c>
      <c r="M372" t="s">
        <v>2279</v>
      </c>
      <c r="N372" t="s">
        <v>2279</v>
      </c>
      <c r="O372" s="190" t="str">
        <f>"["&amp;$C372&amp;"]["&amp;$D372&amp;"]["&amp;$F372&amp;"]"</f>
        <v>[S10_InstallationsComplianceMeasures][2][ComplianceMeasuresYesNo]</v>
      </c>
    </row>
    <row r="373" spans="1:15" x14ac:dyDescent="0.3">
      <c r="A373" t="s">
        <v>2277</v>
      </c>
      <c r="B373" t="s">
        <v>2146</v>
      </c>
      <c r="C373" t="s">
        <v>2147</v>
      </c>
      <c r="D373">
        <v>3</v>
      </c>
      <c r="E373" t="s">
        <v>1447</v>
      </c>
      <c r="F373" t="s">
        <v>2148</v>
      </c>
      <c r="G373" t="s">
        <v>1759</v>
      </c>
      <c r="H373" t="s">
        <v>2279</v>
      </c>
      <c r="I373" t="s">
        <v>2279</v>
      </c>
      <c r="J373" t="s">
        <v>2279</v>
      </c>
      <c r="K373" t="s">
        <v>2279</v>
      </c>
      <c r="L373" t="s">
        <v>1447</v>
      </c>
      <c r="M373" t="s">
        <v>2279</v>
      </c>
      <c r="N373" t="s">
        <v>2279</v>
      </c>
      <c r="O373" s="190" t="str">
        <f>"["&amp;$C373&amp;"]["&amp;$D373&amp;"]["&amp;$F373&amp;"]"</f>
        <v>[S10_InstallationsComplianceMeasures][3][ComplianceMeasuresYesNo]</v>
      </c>
    </row>
    <row r="374" spans="1:15" x14ac:dyDescent="0.3">
      <c r="A374" t="s">
        <v>2277</v>
      </c>
      <c r="B374" t="s">
        <v>2146</v>
      </c>
      <c r="C374" t="s">
        <v>2147</v>
      </c>
      <c r="D374">
        <v>4</v>
      </c>
      <c r="E374" t="s">
        <v>1447</v>
      </c>
      <c r="F374" t="s">
        <v>2148</v>
      </c>
      <c r="G374" t="s">
        <v>1759</v>
      </c>
      <c r="H374" t="s">
        <v>2279</v>
      </c>
      <c r="I374" t="s">
        <v>2279</v>
      </c>
      <c r="J374" t="s">
        <v>2279</v>
      </c>
      <c r="K374" t="s">
        <v>2279</v>
      </c>
      <c r="L374" t="s">
        <v>1447</v>
      </c>
      <c r="M374" t="s">
        <v>2279</v>
      </c>
      <c r="N374" t="s">
        <v>2279</v>
      </c>
      <c r="O374" s="190" t="str">
        <f>"["&amp;$C374&amp;"]["&amp;$D374&amp;"]["&amp;$F374&amp;"]"</f>
        <v>[S10_InstallationsComplianceMeasures][4][ComplianceMeasuresYesNo]</v>
      </c>
    </row>
    <row r="375" spans="1:15" x14ac:dyDescent="0.3">
      <c r="A375" t="s">
        <v>2277</v>
      </c>
      <c r="B375" t="s">
        <v>2151</v>
      </c>
      <c r="C375" t="s">
        <v>2152</v>
      </c>
      <c r="D375">
        <v>2</v>
      </c>
      <c r="E375" t="s">
        <v>1447</v>
      </c>
      <c r="F375" t="s">
        <v>2111</v>
      </c>
      <c r="G375" t="s">
        <v>1806</v>
      </c>
      <c r="H375" t="s">
        <v>2279</v>
      </c>
      <c r="I375" t="s">
        <v>2279</v>
      </c>
      <c r="J375">
        <v>0</v>
      </c>
      <c r="K375" t="s">
        <v>2279</v>
      </c>
      <c r="L375" t="s">
        <v>2279</v>
      </c>
      <c r="M375" t="s">
        <v>2279</v>
      </c>
      <c r="N375" t="s">
        <v>2279</v>
      </c>
      <c r="O375" s="190" t="str">
        <f>"["&amp;$C375&amp;"]["&amp;$D375&amp;"]["&amp;$F375&amp;"]"</f>
        <v>[S10_InstallationsInfringementPenalties][2][MinFine]</v>
      </c>
    </row>
    <row r="376" spans="1:15" x14ac:dyDescent="0.3">
      <c r="A376" t="s">
        <v>2277</v>
      </c>
      <c r="B376" t="s">
        <v>2151</v>
      </c>
      <c r="C376" t="s">
        <v>2152</v>
      </c>
      <c r="D376">
        <v>3</v>
      </c>
      <c r="E376" t="s">
        <v>1447</v>
      </c>
      <c r="F376" t="s">
        <v>2111</v>
      </c>
      <c r="G376" t="s">
        <v>1806</v>
      </c>
      <c r="H376" t="s">
        <v>2279</v>
      </c>
      <c r="I376" t="s">
        <v>2279</v>
      </c>
      <c r="J376">
        <v>0</v>
      </c>
      <c r="K376" t="s">
        <v>2279</v>
      </c>
      <c r="L376" t="s">
        <v>2279</v>
      </c>
      <c r="M376" t="s">
        <v>2279</v>
      </c>
      <c r="N376" t="s">
        <v>2279</v>
      </c>
      <c r="O376" s="190" t="str">
        <f>"["&amp;$C376&amp;"]["&amp;$D376&amp;"]["&amp;$F376&amp;"]"</f>
        <v>[S10_InstallationsInfringementPenalties][3][MinFine]</v>
      </c>
    </row>
    <row r="377" spans="1:15" x14ac:dyDescent="0.3">
      <c r="A377" t="s">
        <v>2277</v>
      </c>
      <c r="B377" t="s">
        <v>2151</v>
      </c>
      <c r="C377" t="s">
        <v>2152</v>
      </c>
      <c r="D377">
        <v>4</v>
      </c>
      <c r="E377" t="s">
        <v>1447</v>
      </c>
      <c r="F377" t="s">
        <v>2111</v>
      </c>
      <c r="G377" t="s">
        <v>1806</v>
      </c>
      <c r="H377" t="s">
        <v>2279</v>
      </c>
      <c r="I377" t="s">
        <v>2279</v>
      </c>
      <c r="J377">
        <v>0</v>
      </c>
      <c r="K377" t="s">
        <v>2279</v>
      </c>
      <c r="L377" t="s">
        <v>2279</v>
      </c>
      <c r="M377" t="s">
        <v>2279</v>
      </c>
      <c r="N377" t="s">
        <v>2279</v>
      </c>
      <c r="O377" s="190" t="str">
        <f>"["&amp;$C377&amp;"]["&amp;$D377&amp;"]["&amp;$F377&amp;"]"</f>
        <v>[S10_InstallationsInfringementPenalties][4][MinFine]</v>
      </c>
    </row>
    <row r="378" spans="1:15" x14ac:dyDescent="0.3">
      <c r="A378" t="s">
        <v>2277</v>
      </c>
      <c r="B378" t="s">
        <v>2151</v>
      </c>
      <c r="C378" t="s">
        <v>2152</v>
      </c>
      <c r="D378">
        <v>5</v>
      </c>
      <c r="E378" t="s">
        <v>1447</v>
      </c>
      <c r="F378" t="s">
        <v>2111</v>
      </c>
      <c r="G378" t="s">
        <v>1806</v>
      </c>
      <c r="H378" t="s">
        <v>2279</v>
      </c>
      <c r="I378" t="s">
        <v>2279</v>
      </c>
      <c r="J378">
        <v>0</v>
      </c>
      <c r="K378" t="s">
        <v>2279</v>
      </c>
      <c r="L378" t="s">
        <v>2279</v>
      </c>
      <c r="M378" t="s">
        <v>2279</v>
      </c>
      <c r="N378" t="s">
        <v>2279</v>
      </c>
      <c r="O378" s="190" t="str">
        <f>"["&amp;$C378&amp;"]["&amp;$D378&amp;"]["&amp;$F378&amp;"]"</f>
        <v>[S10_InstallationsInfringementPenalties][5][MinFine]</v>
      </c>
    </row>
    <row r="379" spans="1:15" x14ac:dyDescent="0.3">
      <c r="A379" t="s">
        <v>2277</v>
      </c>
      <c r="B379" t="s">
        <v>2151</v>
      </c>
      <c r="C379" t="s">
        <v>2152</v>
      </c>
      <c r="D379">
        <v>6</v>
      </c>
      <c r="E379" t="s">
        <v>1447</v>
      </c>
      <c r="F379" t="s">
        <v>2111</v>
      </c>
      <c r="G379" t="s">
        <v>1806</v>
      </c>
      <c r="H379" t="s">
        <v>2279</v>
      </c>
      <c r="I379" t="s">
        <v>2279</v>
      </c>
      <c r="J379">
        <v>0</v>
      </c>
      <c r="K379" t="s">
        <v>2279</v>
      </c>
      <c r="L379" t="s">
        <v>2279</v>
      </c>
      <c r="M379" t="s">
        <v>2279</v>
      </c>
      <c r="N379" t="s">
        <v>2279</v>
      </c>
      <c r="O379" s="190" t="str">
        <f>"["&amp;$C379&amp;"]["&amp;$D379&amp;"]["&amp;$F379&amp;"]"</f>
        <v>[S10_InstallationsInfringementPenalties][6][MinFine]</v>
      </c>
    </row>
    <row r="380" spans="1:15" x14ac:dyDescent="0.3">
      <c r="A380" t="s">
        <v>2277</v>
      </c>
      <c r="B380" t="s">
        <v>2151</v>
      </c>
      <c r="C380" t="s">
        <v>2152</v>
      </c>
      <c r="D380">
        <v>7</v>
      </c>
      <c r="E380" t="s">
        <v>1447</v>
      </c>
      <c r="F380" t="s">
        <v>2111</v>
      </c>
      <c r="G380" t="s">
        <v>1806</v>
      </c>
      <c r="H380" t="s">
        <v>2279</v>
      </c>
      <c r="I380" t="s">
        <v>2279</v>
      </c>
      <c r="J380">
        <v>0</v>
      </c>
      <c r="K380" t="s">
        <v>2279</v>
      </c>
      <c r="L380" t="s">
        <v>2279</v>
      </c>
      <c r="M380" t="s">
        <v>2279</v>
      </c>
      <c r="N380" t="s">
        <v>2279</v>
      </c>
      <c r="O380" s="190" t="str">
        <f>"["&amp;$C380&amp;"]["&amp;$D380&amp;"]["&amp;$F380&amp;"]"</f>
        <v>[S10_InstallationsInfringementPenalties][7][MinFine]</v>
      </c>
    </row>
    <row r="381" spans="1:15" x14ac:dyDescent="0.3">
      <c r="A381" t="s">
        <v>2277</v>
      </c>
      <c r="B381" t="s">
        <v>2151</v>
      </c>
      <c r="C381" t="s">
        <v>2152</v>
      </c>
      <c r="D381">
        <v>8</v>
      </c>
      <c r="E381" t="s">
        <v>1447</v>
      </c>
      <c r="F381" t="s">
        <v>2111</v>
      </c>
      <c r="G381" t="s">
        <v>1806</v>
      </c>
      <c r="H381" t="s">
        <v>2279</v>
      </c>
      <c r="I381" t="s">
        <v>2279</v>
      </c>
      <c r="J381">
        <v>0</v>
      </c>
      <c r="K381" t="s">
        <v>2279</v>
      </c>
      <c r="L381" t="s">
        <v>2279</v>
      </c>
      <c r="M381" t="s">
        <v>2279</v>
      </c>
      <c r="N381" t="s">
        <v>2279</v>
      </c>
      <c r="O381" s="190" t="str">
        <f>"["&amp;$C381&amp;"]["&amp;$D381&amp;"]["&amp;$F381&amp;"]"</f>
        <v>[S10_InstallationsInfringementPenalties][8][MinFine]</v>
      </c>
    </row>
    <row r="382" spans="1:15" x14ac:dyDescent="0.3">
      <c r="A382" t="s">
        <v>2277</v>
      </c>
      <c r="B382" t="s">
        <v>2151</v>
      </c>
      <c r="C382" t="s">
        <v>2152</v>
      </c>
      <c r="D382">
        <v>9</v>
      </c>
      <c r="E382" t="s">
        <v>1447</v>
      </c>
      <c r="F382" t="s">
        <v>2111</v>
      </c>
      <c r="G382" t="s">
        <v>1806</v>
      </c>
      <c r="H382" t="s">
        <v>2279</v>
      </c>
      <c r="I382" t="s">
        <v>2279</v>
      </c>
      <c r="J382">
        <v>0</v>
      </c>
      <c r="K382" t="s">
        <v>2279</v>
      </c>
      <c r="L382" t="s">
        <v>2279</v>
      </c>
      <c r="M382" t="s">
        <v>2279</v>
      </c>
      <c r="N382" t="s">
        <v>2279</v>
      </c>
      <c r="O382" s="190" t="str">
        <f>"["&amp;$C382&amp;"]["&amp;$D382&amp;"]["&amp;$F382&amp;"]"</f>
        <v>[S10_InstallationsInfringementPenalties][9][MinFine]</v>
      </c>
    </row>
    <row r="383" spans="1:15" x14ac:dyDescent="0.3">
      <c r="A383" t="s">
        <v>2277</v>
      </c>
      <c r="B383" t="s">
        <v>2151</v>
      </c>
      <c r="C383" t="s">
        <v>2152</v>
      </c>
      <c r="D383">
        <v>10</v>
      </c>
      <c r="E383" t="s">
        <v>1447</v>
      </c>
      <c r="F383" t="s">
        <v>2111</v>
      </c>
      <c r="G383" t="s">
        <v>1806</v>
      </c>
      <c r="H383" t="s">
        <v>2279</v>
      </c>
      <c r="I383" t="s">
        <v>2279</v>
      </c>
      <c r="J383">
        <v>0</v>
      </c>
      <c r="K383" t="s">
        <v>2279</v>
      </c>
      <c r="L383" t="s">
        <v>2279</v>
      </c>
      <c r="M383" t="s">
        <v>2279</v>
      </c>
      <c r="N383" t="s">
        <v>2279</v>
      </c>
      <c r="O383" s="190" t="str">
        <f>"["&amp;$C383&amp;"]["&amp;$D383&amp;"]["&amp;$F383&amp;"]"</f>
        <v>[S10_InstallationsInfringementPenalties][10][MinFine]</v>
      </c>
    </row>
    <row r="384" spans="1:15" x14ac:dyDescent="0.3">
      <c r="A384" t="s">
        <v>2277</v>
      </c>
      <c r="B384" t="s">
        <v>2151</v>
      </c>
      <c r="C384" t="s">
        <v>2152</v>
      </c>
      <c r="D384">
        <v>11</v>
      </c>
      <c r="E384" t="s">
        <v>1447</v>
      </c>
      <c r="F384" t="s">
        <v>2111</v>
      </c>
      <c r="G384" t="s">
        <v>1806</v>
      </c>
      <c r="H384" t="s">
        <v>2279</v>
      </c>
      <c r="I384" t="s">
        <v>2279</v>
      </c>
      <c r="J384">
        <v>0</v>
      </c>
      <c r="K384" t="s">
        <v>2279</v>
      </c>
      <c r="L384" t="s">
        <v>2279</v>
      </c>
      <c r="M384" t="s">
        <v>2279</v>
      </c>
      <c r="N384" t="s">
        <v>2279</v>
      </c>
      <c r="O384" s="190" t="str">
        <f>"["&amp;$C384&amp;"]["&amp;$D384&amp;"]["&amp;$F384&amp;"]"</f>
        <v>[S10_InstallationsInfringementPenalties][11][MinFine]</v>
      </c>
    </row>
    <row r="385" spans="1:15" x14ac:dyDescent="0.3">
      <c r="A385" t="s">
        <v>2277</v>
      </c>
      <c r="B385" t="s">
        <v>2151</v>
      </c>
      <c r="C385" t="s">
        <v>2152</v>
      </c>
      <c r="D385">
        <v>12</v>
      </c>
      <c r="E385" t="s">
        <v>1447</v>
      </c>
      <c r="F385" t="s">
        <v>2111</v>
      </c>
      <c r="G385" t="s">
        <v>1806</v>
      </c>
      <c r="H385" t="s">
        <v>2279</v>
      </c>
      <c r="I385" t="s">
        <v>2279</v>
      </c>
      <c r="J385">
        <v>0</v>
      </c>
      <c r="K385" t="s">
        <v>2279</v>
      </c>
      <c r="L385" t="s">
        <v>2279</v>
      </c>
      <c r="M385" t="s">
        <v>2279</v>
      </c>
      <c r="N385" t="s">
        <v>2279</v>
      </c>
      <c r="O385" s="190" t="str">
        <f>"["&amp;$C385&amp;"]["&amp;$D385&amp;"]["&amp;$F385&amp;"]"</f>
        <v>[S10_InstallationsInfringementPenalties][12][MinFine]</v>
      </c>
    </row>
    <row r="386" spans="1:15" x14ac:dyDescent="0.3">
      <c r="A386" t="s">
        <v>2277</v>
      </c>
      <c r="B386" t="s">
        <v>2151</v>
      </c>
      <c r="C386" t="s">
        <v>2152</v>
      </c>
      <c r="D386">
        <v>2</v>
      </c>
      <c r="E386" t="s">
        <v>1447</v>
      </c>
      <c r="F386" t="s">
        <v>2112</v>
      </c>
      <c r="G386" t="s">
        <v>1806</v>
      </c>
      <c r="H386" t="s">
        <v>2279</v>
      </c>
      <c r="I386" t="s">
        <v>2279</v>
      </c>
      <c r="J386">
        <v>4238</v>
      </c>
      <c r="K386" t="s">
        <v>2279</v>
      </c>
      <c r="L386" t="s">
        <v>2279</v>
      </c>
      <c r="M386" t="s">
        <v>2279</v>
      </c>
      <c r="N386" t="s">
        <v>2279</v>
      </c>
      <c r="O386" s="190" t="str">
        <f>"["&amp;$C386&amp;"]["&amp;$D386&amp;"]["&amp;$F386&amp;"]"</f>
        <v>[S10_InstallationsInfringementPenalties][2][MaxFine]</v>
      </c>
    </row>
    <row r="387" spans="1:15" x14ac:dyDescent="0.3">
      <c r="A387" t="s">
        <v>2277</v>
      </c>
      <c r="B387" t="s">
        <v>2151</v>
      </c>
      <c r="C387" t="s">
        <v>2152</v>
      </c>
      <c r="D387">
        <v>3</v>
      </c>
      <c r="E387" t="s">
        <v>1447</v>
      </c>
      <c r="F387" t="s">
        <v>2112</v>
      </c>
      <c r="G387" t="s">
        <v>1806</v>
      </c>
      <c r="H387" t="s">
        <v>2279</v>
      </c>
      <c r="I387" t="s">
        <v>2279</v>
      </c>
      <c r="J387">
        <v>4238</v>
      </c>
      <c r="K387" t="s">
        <v>2279</v>
      </c>
      <c r="L387" t="s">
        <v>2279</v>
      </c>
      <c r="M387" t="s">
        <v>2279</v>
      </c>
      <c r="N387" t="s">
        <v>2279</v>
      </c>
      <c r="O387" s="190" t="str">
        <f>"["&amp;$C387&amp;"]["&amp;$D387&amp;"]["&amp;$F387&amp;"]"</f>
        <v>[S10_InstallationsInfringementPenalties][3][MaxFine]</v>
      </c>
    </row>
    <row r="388" spans="1:15" x14ac:dyDescent="0.3">
      <c r="A388" t="s">
        <v>2277</v>
      </c>
      <c r="B388" t="s">
        <v>2151</v>
      </c>
      <c r="C388" t="s">
        <v>2152</v>
      </c>
      <c r="D388">
        <v>4</v>
      </c>
      <c r="E388" t="s">
        <v>1447</v>
      </c>
      <c r="F388" t="s">
        <v>2112</v>
      </c>
      <c r="G388" t="s">
        <v>1806</v>
      </c>
      <c r="H388" t="s">
        <v>2279</v>
      </c>
      <c r="I388" t="s">
        <v>2279</v>
      </c>
      <c r="J388">
        <v>4238</v>
      </c>
      <c r="K388" t="s">
        <v>2279</v>
      </c>
      <c r="L388" t="s">
        <v>2279</v>
      </c>
      <c r="M388" t="s">
        <v>2279</v>
      </c>
      <c r="N388" t="s">
        <v>2279</v>
      </c>
      <c r="O388" s="190" t="str">
        <f>"["&amp;$C388&amp;"]["&amp;$D388&amp;"]["&amp;$F388&amp;"]"</f>
        <v>[S10_InstallationsInfringementPenalties][4][MaxFine]</v>
      </c>
    </row>
    <row r="389" spans="1:15" x14ac:dyDescent="0.3">
      <c r="A389" t="s">
        <v>2277</v>
      </c>
      <c r="B389" t="s">
        <v>2151</v>
      </c>
      <c r="C389" t="s">
        <v>2152</v>
      </c>
      <c r="D389">
        <v>5</v>
      </c>
      <c r="E389" t="s">
        <v>1447</v>
      </c>
      <c r="F389" t="s">
        <v>2112</v>
      </c>
      <c r="G389" t="s">
        <v>1806</v>
      </c>
      <c r="H389" t="s">
        <v>2279</v>
      </c>
      <c r="I389" t="s">
        <v>2279</v>
      </c>
      <c r="J389">
        <v>4238</v>
      </c>
      <c r="K389" t="s">
        <v>2279</v>
      </c>
      <c r="L389" t="s">
        <v>2279</v>
      </c>
      <c r="M389" t="s">
        <v>2279</v>
      </c>
      <c r="N389" t="s">
        <v>2279</v>
      </c>
      <c r="O389" s="190" t="str">
        <f>"["&amp;$C389&amp;"]["&amp;$D389&amp;"]["&amp;$F389&amp;"]"</f>
        <v>[S10_InstallationsInfringementPenalties][5][MaxFine]</v>
      </c>
    </row>
    <row r="390" spans="1:15" x14ac:dyDescent="0.3">
      <c r="A390" t="s">
        <v>2277</v>
      </c>
      <c r="B390" t="s">
        <v>2151</v>
      </c>
      <c r="C390" t="s">
        <v>2152</v>
      </c>
      <c r="D390">
        <v>6</v>
      </c>
      <c r="E390" t="s">
        <v>1447</v>
      </c>
      <c r="F390" t="s">
        <v>2112</v>
      </c>
      <c r="G390" t="s">
        <v>1806</v>
      </c>
      <c r="H390" t="s">
        <v>2279</v>
      </c>
      <c r="I390" t="s">
        <v>2279</v>
      </c>
      <c r="J390">
        <v>4238</v>
      </c>
      <c r="K390" t="s">
        <v>2279</v>
      </c>
      <c r="L390" t="s">
        <v>2279</v>
      </c>
      <c r="M390" t="s">
        <v>2279</v>
      </c>
      <c r="N390" t="s">
        <v>2279</v>
      </c>
      <c r="O390" s="190" t="str">
        <f>"["&amp;$C390&amp;"]["&amp;$D390&amp;"]["&amp;$F390&amp;"]"</f>
        <v>[S10_InstallationsInfringementPenalties][6][MaxFine]</v>
      </c>
    </row>
    <row r="391" spans="1:15" x14ac:dyDescent="0.3">
      <c r="A391" t="s">
        <v>2277</v>
      </c>
      <c r="B391" t="s">
        <v>2151</v>
      </c>
      <c r="C391" t="s">
        <v>2152</v>
      </c>
      <c r="D391">
        <v>7</v>
      </c>
      <c r="E391" t="s">
        <v>1447</v>
      </c>
      <c r="F391" t="s">
        <v>2112</v>
      </c>
      <c r="G391" t="s">
        <v>1806</v>
      </c>
      <c r="H391" t="s">
        <v>2279</v>
      </c>
      <c r="I391" t="s">
        <v>2279</v>
      </c>
      <c r="J391">
        <v>4238</v>
      </c>
      <c r="K391" t="s">
        <v>2279</v>
      </c>
      <c r="L391" t="s">
        <v>2279</v>
      </c>
      <c r="M391" t="s">
        <v>2279</v>
      </c>
      <c r="N391" t="s">
        <v>2279</v>
      </c>
      <c r="O391" s="190" t="str">
        <f>"["&amp;$C391&amp;"]["&amp;$D391&amp;"]["&amp;$F391&amp;"]"</f>
        <v>[S10_InstallationsInfringementPenalties][7][MaxFine]</v>
      </c>
    </row>
    <row r="392" spans="1:15" x14ac:dyDescent="0.3">
      <c r="A392" t="s">
        <v>2277</v>
      </c>
      <c r="B392" t="s">
        <v>2151</v>
      </c>
      <c r="C392" t="s">
        <v>2152</v>
      </c>
      <c r="D392">
        <v>8</v>
      </c>
      <c r="E392" t="s">
        <v>1447</v>
      </c>
      <c r="F392" t="s">
        <v>2112</v>
      </c>
      <c r="G392" t="s">
        <v>1806</v>
      </c>
      <c r="H392" t="s">
        <v>2279</v>
      </c>
      <c r="I392" t="s">
        <v>2279</v>
      </c>
      <c r="J392">
        <v>4238</v>
      </c>
      <c r="K392" t="s">
        <v>2279</v>
      </c>
      <c r="L392" t="s">
        <v>2279</v>
      </c>
      <c r="M392" t="s">
        <v>2279</v>
      </c>
      <c r="N392" t="s">
        <v>2279</v>
      </c>
      <c r="O392" s="190" t="str">
        <f>"["&amp;$C392&amp;"]["&amp;$D392&amp;"]["&amp;$F392&amp;"]"</f>
        <v>[S10_InstallationsInfringementPenalties][8][MaxFine]</v>
      </c>
    </row>
    <row r="393" spans="1:15" x14ac:dyDescent="0.3">
      <c r="A393" t="s">
        <v>2277</v>
      </c>
      <c r="B393" t="s">
        <v>2151</v>
      </c>
      <c r="C393" t="s">
        <v>2152</v>
      </c>
      <c r="D393">
        <v>9</v>
      </c>
      <c r="E393" t="s">
        <v>1447</v>
      </c>
      <c r="F393" t="s">
        <v>2112</v>
      </c>
      <c r="G393" t="s">
        <v>1806</v>
      </c>
      <c r="H393" t="s">
        <v>2279</v>
      </c>
      <c r="I393" t="s">
        <v>2279</v>
      </c>
      <c r="J393">
        <v>4238</v>
      </c>
      <c r="K393" t="s">
        <v>2279</v>
      </c>
      <c r="L393" t="s">
        <v>2279</v>
      </c>
      <c r="M393" t="s">
        <v>2279</v>
      </c>
      <c r="N393" t="s">
        <v>2279</v>
      </c>
      <c r="O393" s="190" t="str">
        <f>"["&amp;$C393&amp;"]["&amp;$D393&amp;"]["&amp;$F393&amp;"]"</f>
        <v>[S10_InstallationsInfringementPenalties][9][MaxFine]</v>
      </c>
    </row>
    <row r="394" spans="1:15" x14ac:dyDescent="0.3">
      <c r="A394" t="s">
        <v>2277</v>
      </c>
      <c r="B394" t="s">
        <v>2151</v>
      </c>
      <c r="C394" t="s">
        <v>2152</v>
      </c>
      <c r="D394">
        <v>10</v>
      </c>
      <c r="E394" t="s">
        <v>1447</v>
      </c>
      <c r="F394" t="s">
        <v>2112</v>
      </c>
      <c r="G394" t="s">
        <v>1806</v>
      </c>
      <c r="H394" t="s">
        <v>2279</v>
      </c>
      <c r="I394" t="s">
        <v>2279</v>
      </c>
      <c r="J394">
        <v>4238</v>
      </c>
      <c r="K394" t="s">
        <v>2279</v>
      </c>
      <c r="L394" t="s">
        <v>2279</v>
      </c>
      <c r="M394" t="s">
        <v>2279</v>
      </c>
      <c r="N394" t="s">
        <v>2279</v>
      </c>
      <c r="O394" s="190" t="str">
        <f>"["&amp;$C394&amp;"]["&amp;$D394&amp;"]["&amp;$F394&amp;"]"</f>
        <v>[S10_InstallationsInfringementPenalties][10][MaxFine]</v>
      </c>
    </row>
    <row r="395" spans="1:15" x14ac:dyDescent="0.3">
      <c r="A395" t="s">
        <v>2277</v>
      </c>
      <c r="B395" t="s">
        <v>2151</v>
      </c>
      <c r="C395" t="s">
        <v>2152</v>
      </c>
      <c r="D395">
        <v>11</v>
      </c>
      <c r="E395" t="s">
        <v>1447</v>
      </c>
      <c r="F395" t="s">
        <v>2112</v>
      </c>
      <c r="G395" t="s">
        <v>1806</v>
      </c>
      <c r="H395" t="s">
        <v>2279</v>
      </c>
      <c r="I395" t="s">
        <v>2279</v>
      </c>
      <c r="J395">
        <v>4238</v>
      </c>
      <c r="K395" t="s">
        <v>2279</v>
      </c>
      <c r="L395" t="s">
        <v>2279</v>
      </c>
      <c r="M395" t="s">
        <v>2279</v>
      </c>
      <c r="N395" t="s">
        <v>2279</v>
      </c>
      <c r="O395" s="190" t="str">
        <f>"["&amp;$C395&amp;"]["&amp;$D395&amp;"]["&amp;$F395&amp;"]"</f>
        <v>[S10_InstallationsInfringementPenalties][11][MaxFine]</v>
      </c>
    </row>
    <row r="396" spans="1:15" x14ac:dyDescent="0.3">
      <c r="A396" t="s">
        <v>2277</v>
      </c>
      <c r="B396" t="s">
        <v>2151</v>
      </c>
      <c r="C396" t="s">
        <v>2152</v>
      </c>
      <c r="D396">
        <v>12</v>
      </c>
      <c r="E396" t="s">
        <v>1447</v>
      </c>
      <c r="F396" t="s">
        <v>2112</v>
      </c>
      <c r="G396" t="s">
        <v>1806</v>
      </c>
      <c r="H396" t="s">
        <v>2279</v>
      </c>
      <c r="I396" t="s">
        <v>2279</v>
      </c>
      <c r="J396">
        <v>5650</v>
      </c>
      <c r="K396" t="s">
        <v>2279</v>
      </c>
      <c r="L396" t="s">
        <v>2279</v>
      </c>
      <c r="M396" t="s">
        <v>2279</v>
      </c>
      <c r="N396" t="s">
        <v>2279</v>
      </c>
      <c r="O396" s="190" t="str">
        <f>"["&amp;$C396&amp;"]["&amp;$D396&amp;"]["&amp;$F396&amp;"]"</f>
        <v>[S10_InstallationsInfringementPenalties][12][MaxFine]</v>
      </c>
    </row>
    <row r="397" spans="1:15" x14ac:dyDescent="0.3">
      <c r="A397" t="s">
        <v>2277</v>
      </c>
      <c r="B397" t="s">
        <v>2151</v>
      </c>
      <c r="C397" t="s">
        <v>2152</v>
      </c>
      <c r="D397">
        <v>1</v>
      </c>
      <c r="E397" t="s">
        <v>1447</v>
      </c>
      <c r="F397" t="s">
        <v>2115</v>
      </c>
      <c r="G397" t="s">
        <v>1791</v>
      </c>
      <c r="H397" t="s">
        <v>2279</v>
      </c>
      <c r="I397" t="s">
        <v>2279</v>
      </c>
      <c r="J397" t="s">
        <v>2279</v>
      </c>
      <c r="K397" t="s">
        <v>2343</v>
      </c>
      <c r="L397" t="s">
        <v>2279</v>
      </c>
      <c r="M397" t="s">
        <v>2279</v>
      </c>
      <c r="N397" t="s">
        <v>2279</v>
      </c>
      <c r="O397" s="190" t="str">
        <f>"["&amp;$C397&amp;"]["&amp;$D397&amp;"]["&amp;$F397&amp;"]"</f>
        <v>[S10_InstallationsInfringementPenalties][1][OtherPenalty]</v>
      </c>
    </row>
    <row r="398" spans="1:15" x14ac:dyDescent="0.3">
      <c r="A398" t="s">
        <v>2277</v>
      </c>
      <c r="B398" t="s">
        <v>2151</v>
      </c>
      <c r="C398" t="s">
        <v>2152</v>
      </c>
      <c r="D398">
        <v>2</v>
      </c>
      <c r="E398" t="s">
        <v>1447</v>
      </c>
      <c r="F398" t="s">
        <v>2115</v>
      </c>
      <c r="G398" t="s">
        <v>1791</v>
      </c>
      <c r="H398" t="s">
        <v>2279</v>
      </c>
      <c r="I398" t="s">
        <v>2279</v>
      </c>
      <c r="J398" t="s">
        <v>2279</v>
      </c>
      <c r="K398" t="s">
        <v>2337</v>
      </c>
      <c r="L398" t="s">
        <v>2279</v>
      </c>
      <c r="M398" t="s">
        <v>2279</v>
      </c>
      <c r="N398" t="s">
        <v>2279</v>
      </c>
      <c r="O398" s="190" t="str">
        <f>"["&amp;$C398&amp;"]["&amp;$D398&amp;"]["&amp;$F398&amp;"]"</f>
        <v>[S10_InstallationsInfringementPenalties][2][OtherPenalty]</v>
      </c>
    </row>
    <row r="399" spans="1:15" x14ac:dyDescent="0.3">
      <c r="A399" t="s">
        <v>2277</v>
      </c>
      <c r="B399" t="s">
        <v>2151</v>
      </c>
      <c r="C399" t="s">
        <v>2152</v>
      </c>
      <c r="D399">
        <v>3</v>
      </c>
      <c r="E399" t="s">
        <v>1447</v>
      </c>
      <c r="F399" t="s">
        <v>2115</v>
      </c>
      <c r="G399" t="s">
        <v>1791</v>
      </c>
      <c r="H399" t="s">
        <v>2279</v>
      </c>
      <c r="I399" t="s">
        <v>2279</v>
      </c>
      <c r="J399" t="s">
        <v>2279</v>
      </c>
      <c r="K399" t="s">
        <v>2337</v>
      </c>
      <c r="L399" t="s">
        <v>2279</v>
      </c>
      <c r="M399" t="s">
        <v>2279</v>
      </c>
      <c r="N399" t="s">
        <v>2279</v>
      </c>
      <c r="O399" s="190" t="str">
        <f>"["&amp;$C399&amp;"]["&amp;$D399&amp;"]["&amp;$F399&amp;"]"</f>
        <v>[S10_InstallationsInfringementPenalties][3][OtherPenalty]</v>
      </c>
    </row>
    <row r="400" spans="1:15" x14ac:dyDescent="0.3">
      <c r="A400" t="s">
        <v>2277</v>
      </c>
      <c r="B400" t="s">
        <v>2151</v>
      </c>
      <c r="C400" t="s">
        <v>2152</v>
      </c>
      <c r="D400">
        <v>4</v>
      </c>
      <c r="E400" t="s">
        <v>1447</v>
      </c>
      <c r="F400" t="s">
        <v>2115</v>
      </c>
      <c r="G400" t="s">
        <v>1791</v>
      </c>
      <c r="H400" t="s">
        <v>2279</v>
      </c>
      <c r="I400" t="s">
        <v>2279</v>
      </c>
      <c r="J400" t="s">
        <v>2279</v>
      </c>
      <c r="K400" t="s">
        <v>2344</v>
      </c>
      <c r="L400" t="s">
        <v>2279</v>
      </c>
      <c r="M400" t="s">
        <v>2279</v>
      </c>
      <c r="N400" t="s">
        <v>2279</v>
      </c>
      <c r="O400" s="190" t="str">
        <f>"["&amp;$C400&amp;"]["&amp;$D400&amp;"]["&amp;$F400&amp;"]"</f>
        <v>[S10_InstallationsInfringementPenalties][4][OtherPenalty]</v>
      </c>
    </row>
    <row r="401" spans="1:15" x14ac:dyDescent="0.3">
      <c r="A401" t="s">
        <v>2277</v>
      </c>
      <c r="B401" t="s">
        <v>2151</v>
      </c>
      <c r="C401" t="s">
        <v>2152</v>
      </c>
      <c r="D401">
        <v>5</v>
      </c>
      <c r="E401" t="s">
        <v>1447</v>
      </c>
      <c r="F401" t="s">
        <v>2115</v>
      </c>
      <c r="G401" t="s">
        <v>1791</v>
      </c>
      <c r="H401" t="s">
        <v>2279</v>
      </c>
      <c r="I401" t="s">
        <v>2279</v>
      </c>
      <c r="J401" t="s">
        <v>2279</v>
      </c>
      <c r="K401" t="s">
        <v>2337</v>
      </c>
      <c r="L401" t="s">
        <v>2279</v>
      </c>
      <c r="M401" t="s">
        <v>2279</v>
      </c>
      <c r="N401" t="s">
        <v>2279</v>
      </c>
      <c r="O401" s="190" t="str">
        <f>"["&amp;$C401&amp;"]["&amp;$D401&amp;"]["&amp;$F401&amp;"]"</f>
        <v>[S10_InstallationsInfringementPenalties][5][OtherPenalty]</v>
      </c>
    </row>
    <row r="402" spans="1:15" x14ac:dyDescent="0.3">
      <c r="A402" t="s">
        <v>2277</v>
      </c>
      <c r="B402" t="s">
        <v>2151</v>
      </c>
      <c r="C402" t="s">
        <v>2152</v>
      </c>
      <c r="D402">
        <v>6</v>
      </c>
      <c r="E402" t="s">
        <v>1447</v>
      </c>
      <c r="F402" t="s">
        <v>2115</v>
      </c>
      <c r="G402" t="s">
        <v>1791</v>
      </c>
      <c r="H402" t="s">
        <v>2279</v>
      </c>
      <c r="I402" t="s">
        <v>2279</v>
      </c>
      <c r="J402" t="s">
        <v>2279</v>
      </c>
      <c r="K402" t="s">
        <v>2337</v>
      </c>
      <c r="L402" t="s">
        <v>2279</v>
      </c>
      <c r="M402" t="s">
        <v>2279</v>
      </c>
      <c r="N402" t="s">
        <v>2279</v>
      </c>
      <c r="O402" s="190" t="str">
        <f>"["&amp;$C402&amp;"]["&amp;$D402&amp;"]["&amp;$F402&amp;"]"</f>
        <v>[S10_InstallationsInfringementPenalties][6][OtherPenalty]</v>
      </c>
    </row>
    <row r="403" spans="1:15" x14ac:dyDescent="0.3">
      <c r="A403" t="s">
        <v>2277</v>
      </c>
      <c r="B403" t="s">
        <v>2151</v>
      </c>
      <c r="C403" t="s">
        <v>2152</v>
      </c>
      <c r="D403">
        <v>7</v>
      </c>
      <c r="E403" t="s">
        <v>1447</v>
      </c>
      <c r="F403" t="s">
        <v>2115</v>
      </c>
      <c r="G403" t="s">
        <v>1791</v>
      </c>
      <c r="H403" t="s">
        <v>2279</v>
      </c>
      <c r="I403" t="s">
        <v>2279</v>
      </c>
      <c r="J403" t="s">
        <v>2279</v>
      </c>
      <c r="K403" t="s">
        <v>2337</v>
      </c>
      <c r="L403" t="s">
        <v>2279</v>
      </c>
      <c r="M403" t="s">
        <v>2279</v>
      </c>
      <c r="N403" t="s">
        <v>2279</v>
      </c>
      <c r="O403" s="190" t="str">
        <f>"["&amp;$C403&amp;"]["&amp;$D403&amp;"]["&amp;$F403&amp;"]"</f>
        <v>[S10_InstallationsInfringementPenalties][7][OtherPenalty]</v>
      </c>
    </row>
    <row r="404" spans="1:15" x14ac:dyDescent="0.3">
      <c r="A404" t="s">
        <v>2277</v>
      </c>
      <c r="B404" t="s">
        <v>2151</v>
      </c>
      <c r="C404" t="s">
        <v>2152</v>
      </c>
      <c r="D404">
        <v>8</v>
      </c>
      <c r="E404" t="s">
        <v>1447</v>
      </c>
      <c r="F404" t="s">
        <v>2115</v>
      </c>
      <c r="G404" t="s">
        <v>1791</v>
      </c>
      <c r="H404" t="s">
        <v>2279</v>
      </c>
      <c r="I404" t="s">
        <v>2279</v>
      </c>
      <c r="J404" t="s">
        <v>2279</v>
      </c>
      <c r="K404" t="s">
        <v>2337</v>
      </c>
      <c r="L404" t="s">
        <v>2279</v>
      </c>
      <c r="M404" t="s">
        <v>2279</v>
      </c>
      <c r="N404" t="s">
        <v>2279</v>
      </c>
      <c r="O404" s="190" t="str">
        <f>"["&amp;$C404&amp;"]["&amp;$D404&amp;"]["&amp;$F404&amp;"]"</f>
        <v>[S10_InstallationsInfringementPenalties][8][OtherPenalty]</v>
      </c>
    </row>
    <row r="405" spans="1:15" x14ac:dyDescent="0.3">
      <c r="A405" t="s">
        <v>2277</v>
      </c>
      <c r="B405" t="s">
        <v>2151</v>
      </c>
      <c r="C405" t="s">
        <v>2152</v>
      </c>
      <c r="D405">
        <v>9</v>
      </c>
      <c r="E405" t="s">
        <v>1447</v>
      </c>
      <c r="F405" t="s">
        <v>2115</v>
      </c>
      <c r="G405" t="s">
        <v>1791</v>
      </c>
      <c r="H405" t="s">
        <v>2279</v>
      </c>
      <c r="I405" t="s">
        <v>2279</v>
      </c>
      <c r="J405" t="s">
        <v>2279</v>
      </c>
      <c r="K405" t="s">
        <v>2337</v>
      </c>
      <c r="L405" t="s">
        <v>2279</v>
      </c>
      <c r="M405" t="s">
        <v>2279</v>
      </c>
      <c r="N405" t="s">
        <v>2279</v>
      </c>
      <c r="O405" s="190" t="str">
        <f>"["&amp;$C405&amp;"]["&amp;$D405&amp;"]["&amp;$F405&amp;"]"</f>
        <v>[S10_InstallationsInfringementPenalties][9][OtherPenalty]</v>
      </c>
    </row>
    <row r="406" spans="1:15" x14ac:dyDescent="0.3">
      <c r="A406" t="s">
        <v>2277</v>
      </c>
      <c r="B406" t="s">
        <v>2151</v>
      </c>
      <c r="C406" t="s">
        <v>2152</v>
      </c>
      <c r="D406">
        <v>10</v>
      </c>
      <c r="E406" t="s">
        <v>1447</v>
      </c>
      <c r="F406" t="s">
        <v>2115</v>
      </c>
      <c r="G406" t="s">
        <v>1791</v>
      </c>
      <c r="H406" t="s">
        <v>2279</v>
      </c>
      <c r="I406" t="s">
        <v>2279</v>
      </c>
      <c r="J406" t="s">
        <v>2279</v>
      </c>
      <c r="K406" t="s">
        <v>2337</v>
      </c>
      <c r="L406" t="s">
        <v>2279</v>
      </c>
      <c r="M406" t="s">
        <v>2279</v>
      </c>
      <c r="N406" t="s">
        <v>2279</v>
      </c>
      <c r="O406" s="190" t="str">
        <f>"["&amp;$C406&amp;"]["&amp;$D406&amp;"]["&amp;$F406&amp;"]"</f>
        <v>[S10_InstallationsInfringementPenalties][10][OtherPenalty]</v>
      </c>
    </row>
    <row r="407" spans="1:15" x14ac:dyDescent="0.3">
      <c r="A407" t="s">
        <v>2277</v>
      </c>
      <c r="B407" t="s">
        <v>2151</v>
      </c>
      <c r="C407" t="s">
        <v>2152</v>
      </c>
      <c r="D407">
        <v>11</v>
      </c>
      <c r="E407" t="s">
        <v>1447</v>
      </c>
      <c r="F407" t="s">
        <v>2115</v>
      </c>
      <c r="G407" t="s">
        <v>1791</v>
      </c>
      <c r="H407" t="s">
        <v>2279</v>
      </c>
      <c r="I407" t="s">
        <v>2279</v>
      </c>
      <c r="J407" t="s">
        <v>2279</v>
      </c>
      <c r="K407" t="s">
        <v>2337</v>
      </c>
      <c r="L407" t="s">
        <v>2279</v>
      </c>
      <c r="M407" t="s">
        <v>2279</v>
      </c>
      <c r="N407" t="s">
        <v>2279</v>
      </c>
      <c r="O407" s="190" t="str">
        <f>"["&amp;$C407&amp;"]["&amp;$D407&amp;"]["&amp;$F407&amp;"]"</f>
        <v>[S10_InstallationsInfringementPenalties][11][OtherPenalty]</v>
      </c>
    </row>
    <row r="408" spans="1:15" x14ac:dyDescent="0.3">
      <c r="A408" t="s">
        <v>2277</v>
      </c>
      <c r="B408" t="s">
        <v>2151</v>
      </c>
      <c r="C408" t="s">
        <v>2152</v>
      </c>
      <c r="D408">
        <v>12</v>
      </c>
      <c r="E408" t="s">
        <v>1447</v>
      </c>
      <c r="F408" t="s">
        <v>2115</v>
      </c>
      <c r="G408" t="s">
        <v>1791</v>
      </c>
      <c r="H408" t="s">
        <v>2279</v>
      </c>
      <c r="I408" t="s">
        <v>2279</v>
      </c>
      <c r="J408" t="s">
        <v>2279</v>
      </c>
      <c r="K408" t="s">
        <v>2345</v>
      </c>
      <c r="L408" t="s">
        <v>2279</v>
      </c>
      <c r="M408" t="s">
        <v>2279</v>
      </c>
      <c r="N408" t="s">
        <v>2279</v>
      </c>
      <c r="O408" s="190" t="str">
        <f>"["&amp;$C408&amp;"]["&amp;$D408&amp;"]["&amp;$F408&amp;"]"</f>
        <v>[S10_InstallationsInfringementPenalties][12][OtherPenalty]</v>
      </c>
    </row>
    <row r="409" spans="1:15" x14ac:dyDescent="0.3">
      <c r="A409" t="s">
        <v>2277</v>
      </c>
      <c r="B409" t="s">
        <v>2151</v>
      </c>
      <c r="C409" t="s">
        <v>2152</v>
      </c>
      <c r="D409">
        <v>12</v>
      </c>
      <c r="E409" t="s">
        <v>1419</v>
      </c>
      <c r="F409" t="s">
        <v>2116</v>
      </c>
      <c r="G409" t="s">
        <v>1791</v>
      </c>
      <c r="H409" t="s">
        <v>2279</v>
      </c>
      <c r="I409" t="s">
        <v>2279</v>
      </c>
      <c r="J409" t="s">
        <v>2279</v>
      </c>
      <c r="K409" t="s">
        <v>2346</v>
      </c>
      <c r="L409" t="s">
        <v>2279</v>
      </c>
      <c r="M409" t="s">
        <v>2279</v>
      </c>
      <c r="N409" t="s">
        <v>2279</v>
      </c>
      <c r="O409" s="190" t="str">
        <f>"["&amp;$C409&amp;"]["&amp;$D409&amp;"]["&amp;$F409&amp;"]"</f>
        <v>[S10_InstallationsInfringementPenalties][12][InfringementOther]</v>
      </c>
    </row>
    <row r="410" spans="1:15" x14ac:dyDescent="0.3">
      <c r="A410" t="s">
        <v>2277</v>
      </c>
      <c r="B410" t="s">
        <v>2151</v>
      </c>
      <c r="C410" t="s">
        <v>2153</v>
      </c>
      <c r="D410">
        <v>0</v>
      </c>
      <c r="E410" t="s">
        <v>1447</v>
      </c>
      <c r="F410" t="s">
        <v>2153</v>
      </c>
      <c r="G410" t="s">
        <v>1741</v>
      </c>
      <c r="H410" t="s">
        <v>2347</v>
      </c>
      <c r="I410" t="s">
        <v>2279</v>
      </c>
      <c r="J410" t="s">
        <v>2279</v>
      </c>
      <c r="K410" t="s">
        <v>2279</v>
      </c>
      <c r="L410" t="s">
        <v>2279</v>
      </c>
      <c r="M410" t="s">
        <v>2279</v>
      </c>
      <c r="N410" t="s">
        <v>2279</v>
      </c>
      <c r="O410" s="190" t="str">
        <f>"["&amp;$C410&amp;"]["&amp;$D410&amp;"]["&amp;$F410&amp;"]"</f>
        <v>[InstallationsNationalLaw][0][InstallationsNationalLaw]</v>
      </c>
    </row>
    <row r="411" spans="1:15" x14ac:dyDescent="0.3">
      <c r="A411" t="s">
        <v>2277</v>
      </c>
      <c r="B411" t="s">
        <v>2154</v>
      </c>
      <c r="C411" t="s">
        <v>2156</v>
      </c>
      <c r="D411">
        <v>0</v>
      </c>
      <c r="E411" t="s">
        <v>1447</v>
      </c>
      <c r="F411" t="s">
        <v>2156</v>
      </c>
      <c r="G411" t="s">
        <v>1759</v>
      </c>
      <c r="H411" t="s">
        <v>2279</v>
      </c>
      <c r="I411" t="s">
        <v>2279</v>
      </c>
      <c r="J411" t="s">
        <v>2279</v>
      </c>
      <c r="K411" t="s">
        <v>2279</v>
      </c>
      <c r="L411" t="s">
        <v>1447</v>
      </c>
      <c r="M411" t="s">
        <v>2279</v>
      </c>
      <c r="N411" t="s">
        <v>2279</v>
      </c>
      <c r="O411" s="190" t="str">
        <f>"["&amp;$C411&amp;"]["&amp;$D411&amp;"]["&amp;$F411&amp;"]"</f>
        <v>[InstallationsPriorPenaltiesEnforced][0][InstallationsPriorPenaltiesEnforced]</v>
      </c>
    </row>
    <row r="412" spans="1:15" x14ac:dyDescent="0.3">
      <c r="A412" t="s">
        <v>2277</v>
      </c>
      <c r="B412" t="s">
        <v>2165</v>
      </c>
      <c r="C412" t="s">
        <v>2167</v>
      </c>
      <c r="D412">
        <v>0</v>
      </c>
      <c r="E412" t="s">
        <v>1447</v>
      </c>
      <c r="F412" t="s">
        <v>2167</v>
      </c>
      <c r="G412" t="s">
        <v>1759</v>
      </c>
      <c r="H412" t="s">
        <v>2279</v>
      </c>
      <c r="I412" t="s">
        <v>2279</v>
      </c>
      <c r="J412" t="s">
        <v>2279</v>
      </c>
      <c r="K412" t="s">
        <v>2279</v>
      </c>
      <c r="L412" t="s">
        <v>1447</v>
      </c>
      <c r="M412" t="s">
        <v>2279</v>
      </c>
      <c r="N412" t="s">
        <v>2279</v>
      </c>
      <c r="O412" s="190" t="str">
        <f>"["&amp;$C412&amp;"]["&amp;$D412&amp;"]["&amp;$F412&amp;"]"</f>
        <v>[AircraftPriorPenaltiesEnforced][0][AircraftPriorPenaltiesEnforced]</v>
      </c>
    </row>
    <row r="413" spans="1:15" x14ac:dyDescent="0.3">
      <c r="A413" t="s">
        <v>2277</v>
      </c>
      <c r="B413" t="s">
        <v>2174</v>
      </c>
      <c r="C413" t="s">
        <v>2175</v>
      </c>
      <c r="D413">
        <v>0</v>
      </c>
      <c r="E413" t="s">
        <v>1447</v>
      </c>
      <c r="F413" t="s">
        <v>2175</v>
      </c>
      <c r="G413" t="s">
        <v>1741</v>
      </c>
      <c r="H413" t="s">
        <v>2348</v>
      </c>
      <c r="I413" t="s">
        <v>2279</v>
      </c>
      <c r="J413" t="s">
        <v>2279</v>
      </c>
      <c r="K413" t="s">
        <v>2279</v>
      </c>
      <c r="L413" t="s">
        <v>2279</v>
      </c>
      <c r="M413" t="s">
        <v>2279</v>
      </c>
      <c r="N413" t="s">
        <v>2279</v>
      </c>
      <c r="O413" s="190" t="str">
        <f>"["&amp;$C413&amp;"]["&amp;$D413&amp;"]["&amp;$F413&amp;"]"</f>
        <v>[LegalNatureOfEmissionAllowance][0][LegalNatureOfEmissionAllowance]</v>
      </c>
    </row>
    <row r="414" spans="1:15" x14ac:dyDescent="0.3">
      <c r="A414" t="s">
        <v>2277</v>
      </c>
      <c r="B414" t="s">
        <v>2176</v>
      </c>
      <c r="C414" t="s">
        <v>2177</v>
      </c>
      <c r="D414">
        <v>0</v>
      </c>
      <c r="E414" t="s">
        <v>1447</v>
      </c>
      <c r="F414" t="s">
        <v>2177</v>
      </c>
      <c r="G414" t="s">
        <v>1741</v>
      </c>
      <c r="H414" t="s">
        <v>2349</v>
      </c>
      <c r="I414" t="s">
        <v>2279</v>
      </c>
      <c r="J414" t="s">
        <v>2279</v>
      </c>
      <c r="K414" t="s">
        <v>2279</v>
      </c>
      <c r="L414" t="s">
        <v>2279</v>
      </c>
      <c r="M414" t="s">
        <v>2279</v>
      </c>
      <c r="N414" t="s">
        <v>2279</v>
      </c>
      <c r="O414" s="190" t="str">
        <f>"["&amp;$C414&amp;"]["&amp;$D414&amp;"]["&amp;$F414&amp;"]"</f>
        <v>[AccountingTreatmentOfEmissionAllowances][0][AccountingTreatmentOfEmissionAllowances]</v>
      </c>
    </row>
    <row r="415" spans="1:15" x14ac:dyDescent="0.3">
      <c r="A415" t="s">
        <v>2277</v>
      </c>
      <c r="B415" t="s">
        <v>2178</v>
      </c>
      <c r="C415" t="s">
        <v>2179</v>
      </c>
      <c r="D415">
        <v>0</v>
      </c>
      <c r="E415" t="s">
        <v>1447</v>
      </c>
      <c r="F415" t="s">
        <v>2179</v>
      </c>
      <c r="G415" t="s">
        <v>1759</v>
      </c>
      <c r="H415" t="s">
        <v>2279</v>
      </c>
      <c r="I415" t="s">
        <v>2279</v>
      </c>
      <c r="J415" t="s">
        <v>2279</v>
      </c>
      <c r="K415" t="s">
        <v>2279</v>
      </c>
      <c r="L415" t="s">
        <v>1419</v>
      </c>
      <c r="M415" t="s">
        <v>2279</v>
      </c>
      <c r="N415" t="s">
        <v>2279</v>
      </c>
      <c r="O415" s="190" t="str">
        <f>"["&amp;$C415&amp;"]["&amp;$D415&amp;"]["&amp;$F415&amp;"]"</f>
        <v>[VATdueEmissionAllowancesIssuance][0][VATdueEmissionAllowancesIssuance]</v>
      </c>
    </row>
    <row r="416" spans="1:15" x14ac:dyDescent="0.3">
      <c r="A416" t="s">
        <v>2277</v>
      </c>
      <c r="B416" t="s">
        <v>2178</v>
      </c>
      <c r="C416" t="s">
        <v>2180</v>
      </c>
      <c r="D416">
        <v>0</v>
      </c>
      <c r="E416" t="s">
        <v>1447</v>
      </c>
      <c r="F416" t="s">
        <v>2180</v>
      </c>
      <c r="G416" t="s">
        <v>1759</v>
      </c>
      <c r="H416" t="s">
        <v>2279</v>
      </c>
      <c r="I416" t="s">
        <v>2279</v>
      </c>
      <c r="J416" t="s">
        <v>2279</v>
      </c>
      <c r="K416" t="s">
        <v>2279</v>
      </c>
      <c r="L416" t="s">
        <v>1419</v>
      </c>
      <c r="M416" t="s">
        <v>2279</v>
      </c>
      <c r="N416" t="s">
        <v>2279</v>
      </c>
      <c r="O416" s="190" t="str">
        <f>"["&amp;$C416&amp;"]["&amp;$D416&amp;"]["&amp;$F416&amp;"]"</f>
        <v>[ReverseChargeMechanismEmissionAllowances][0][ReverseChargeMechanismEmissionAllowances]</v>
      </c>
    </row>
    <row r="417" spans="1:15" x14ac:dyDescent="0.3">
      <c r="A417" t="s">
        <v>2277</v>
      </c>
      <c r="B417" t="s">
        <v>2181</v>
      </c>
      <c r="C417" t="s">
        <v>2182</v>
      </c>
      <c r="D417">
        <v>0</v>
      </c>
      <c r="E417" t="s">
        <v>1447</v>
      </c>
      <c r="F417" t="s">
        <v>2182</v>
      </c>
      <c r="G417" t="s">
        <v>1759</v>
      </c>
      <c r="H417" t="s">
        <v>2279</v>
      </c>
      <c r="I417" t="s">
        <v>2279</v>
      </c>
      <c r="J417" t="s">
        <v>2279</v>
      </c>
      <c r="K417" t="s">
        <v>2279</v>
      </c>
      <c r="L417" t="s">
        <v>1419</v>
      </c>
      <c r="M417" t="s">
        <v>2279</v>
      </c>
      <c r="N417" t="s">
        <v>2279</v>
      </c>
      <c r="O417" s="190" t="str">
        <f>"["&amp;$C417&amp;"]["&amp;$D417&amp;"]["&amp;$F417&amp;"]"</f>
        <v>[EmissionAllowancesTaxed][0][EmissionAllowancesTaxed]</v>
      </c>
    </row>
    <row r="418" spans="1:15" x14ac:dyDescent="0.3">
      <c r="A418" t="s">
        <v>2277</v>
      </c>
      <c r="B418" t="s">
        <v>2181</v>
      </c>
      <c r="C418" t="s">
        <v>2183</v>
      </c>
      <c r="D418">
        <v>1</v>
      </c>
      <c r="E418" t="s">
        <v>1447</v>
      </c>
      <c r="F418" t="s">
        <v>2184</v>
      </c>
      <c r="G418" t="s">
        <v>1741</v>
      </c>
      <c r="H418" t="s">
        <v>2350</v>
      </c>
      <c r="I418" t="s">
        <v>2279</v>
      </c>
      <c r="J418" t="s">
        <v>2279</v>
      </c>
      <c r="K418" t="s">
        <v>2279</v>
      </c>
      <c r="L418" t="s">
        <v>2279</v>
      </c>
      <c r="M418" t="s">
        <v>2279</v>
      </c>
      <c r="N418" t="s">
        <v>2279</v>
      </c>
      <c r="O418" s="190" t="str">
        <f>"["&amp;$C418&amp;"]["&amp;$D418&amp;"]["&amp;$F418&amp;"]"</f>
        <v>[S11_TypeOfTaxRatesApplied][1][TypeOfTax]</v>
      </c>
    </row>
    <row r="419" spans="1:15" x14ac:dyDescent="0.3">
      <c r="A419" t="s">
        <v>2277</v>
      </c>
      <c r="B419" t="s">
        <v>2181</v>
      </c>
      <c r="C419" t="s">
        <v>2183</v>
      </c>
      <c r="D419">
        <v>1</v>
      </c>
      <c r="E419" t="s">
        <v>1447</v>
      </c>
      <c r="F419" t="s">
        <v>2185</v>
      </c>
      <c r="G419" t="s">
        <v>1741</v>
      </c>
      <c r="H419" t="s">
        <v>2350</v>
      </c>
      <c r="I419" t="s">
        <v>2279</v>
      </c>
      <c r="J419" t="s">
        <v>2279</v>
      </c>
      <c r="K419" t="s">
        <v>2279</v>
      </c>
      <c r="L419" t="s">
        <v>2279</v>
      </c>
      <c r="M419" t="s">
        <v>2279</v>
      </c>
      <c r="N419" t="s">
        <v>2279</v>
      </c>
      <c r="O419" s="190" t="str">
        <f>"["&amp;$C419&amp;"]["&amp;$D419&amp;"]["&amp;$F419&amp;"]"</f>
        <v>[S11_TypeOfTaxRatesApplied][1][TaxRateApplied]</v>
      </c>
    </row>
    <row r="420" spans="1:15" x14ac:dyDescent="0.3">
      <c r="A420" t="s">
        <v>2277</v>
      </c>
      <c r="B420" t="s">
        <v>2186</v>
      </c>
      <c r="C420" t="s">
        <v>2187</v>
      </c>
      <c r="D420">
        <v>1</v>
      </c>
      <c r="E420" t="s">
        <v>1447</v>
      </c>
      <c r="F420" t="s">
        <v>2188</v>
      </c>
      <c r="G420" t="s">
        <v>1741</v>
      </c>
      <c r="H420" t="s">
        <v>2218</v>
      </c>
      <c r="I420" t="s">
        <v>2279</v>
      </c>
      <c r="J420" t="s">
        <v>2279</v>
      </c>
      <c r="K420" t="s">
        <v>2279</v>
      </c>
      <c r="L420" t="s">
        <v>2279</v>
      </c>
      <c r="M420" t="s">
        <v>2279</v>
      </c>
      <c r="N420" t="s">
        <v>2279</v>
      </c>
      <c r="O420" s="190" t="str">
        <f>"["&amp;$C420&amp;"]["&amp;$D420&amp;"]["&amp;$F420&amp;"]"</f>
        <v>[S12_FraudFreeAllocationOfAllowances][1][DetailsOfProceduresInNationalLaw]</v>
      </c>
    </row>
    <row r="421" spans="1:15" x14ac:dyDescent="0.3">
      <c r="A421" t="s">
        <v>2277</v>
      </c>
      <c r="B421" t="s">
        <v>2189</v>
      </c>
      <c r="C421" t="s">
        <v>2190</v>
      </c>
      <c r="D421">
        <v>1</v>
      </c>
      <c r="E421" t="s">
        <v>1447</v>
      </c>
      <c r="F421" t="s">
        <v>2191</v>
      </c>
      <c r="G421" t="s">
        <v>1741</v>
      </c>
      <c r="H421" t="s">
        <v>2351</v>
      </c>
      <c r="I421" t="s">
        <v>2279</v>
      </c>
      <c r="J421" t="s">
        <v>2279</v>
      </c>
      <c r="K421" t="s">
        <v>2279</v>
      </c>
      <c r="L421" t="s">
        <v>2279</v>
      </c>
      <c r="M421" t="s">
        <v>2279</v>
      </c>
      <c r="N421" t="s">
        <v>2279</v>
      </c>
      <c r="O421" s="190" t="str">
        <f>"["&amp;$C421&amp;"]["&amp;$D421&amp;"]["&amp;$F421&amp;"]"</f>
        <v>[S12_CompetentAuthoritiesAwareOfFraud][1][DetailsOfArrangementsAndProcedures]</v>
      </c>
    </row>
    <row r="422" spans="1:15" x14ac:dyDescent="0.3">
      <c r="A422" t="s">
        <v>2277</v>
      </c>
      <c r="B422" t="s">
        <v>2192</v>
      </c>
      <c r="C422" t="s">
        <v>2193</v>
      </c>
      <c r="D422">
        <v>1</v>
      </c>
      <c r="E422" t="s">
        <v>1447</v>
      </c>
      <c r="F422" t="s">
        <v>2194</v>
      </c>
      <c r="G422" t="s">
        <v>1748</v>
      </c>
      <c r="H422" t="s">
        <v>2279</v>
      </c>
      <c r="I422">
        <v>0</v>
      </c>
      <c r="J422" t="s">
        <v>2279</v>
      </c>
      <c r="K422" t="s">
        <v>2279</v>
      </c>
      <c r="L422" t="s">
        <v>2279</v>
      </c>
      <c r="M422" t="s">
        <v>2279</v>
      </c>
      <c r="N422" t="s">
        <v>2279</v>
      </c>
      <c r="O422" s="190" t="str">
        <f>"["&amp;$C422&amp;"]["&amp;$D422&amp;"]["&amp;$F422&amp;"]"</f>
        <v>[S12_InformationOnFraudActivities][1][NumberOfActivities]</v>
      </c>
    </row>
    <row r="423" spans="1:15" x14ac:dyDescent="0.3">
      <c r="A423" t="s">
        <v>2277</v>
      </c>
      <c r="B423" t="s">
        <v>2192</v>
      </c>
      <c r="C423" t="s">
        <v>2193</v>
      </c>
      <c r="D423">
        <v>2</v>
      </c>
      <c r="E423" t="s">
        <v>1447</v>
      </c>
      <c r="F423" t="s">
        <v>2194</v>
      </c>
      <c r="G423" t="s">
        <v>1748</v>
      </c>
      <c r="H423" t="s">
        <v>2279</v>
      </c>
      <c r="I423">
        <v>0</v>
      </c>
      <c r="J423" t="s">
        <v>2279</v>
      </c>
      <c r="K423" t="s">
        <v>2279</v>
      </c>
      <c r="L423" t="s">
        <v>2279</v>
      </c>
      <c r="M423" t="s">
        <v>2279</v>
      </c>
      <c r="N423" t="s">
        <v>2279</v>
      </c>
      <c r="O423" s="190" t="str">
        <f>"["&amp;$C423&amp;"]["&amp;$D423&amp;"]["&amp;$F423&amp;"]"</f>
        <v>[S12_InformationOnFraudActivities][2][NumberOfActivities]</v>
      </c>
    </row>
    <row r="424" spans="1:15" x14ac:dyDescent="0.3">
      <c r="A424" t="s">
        <v>2277</v>
      </c>
      <c r="B424" t="s">
        <v>2192</v>
      </c>
      <c r="C424" t="s">
        <v>2193</v>
      </c>
      <c r="D424">
        <v>3</v>
      </c>
      <c r="E424" t="s">
        <v>1447</v>
      </c>
      <c r="F424" t="s">
        <v>2194</v>
      </c>
      <c r="G424" t="s">
        <v>1748</v>
      </c>
      <c r="H424" t="s">
        <v>2279</v>
      </c>
      <c r="I424">
        <v>0</v>
      </c>
      <c r="J424" t="s">
        <v>2279</v>
      </c>
      <c r="K424" t="s">
        <v>2279</v>
      </c>
      <c r="L424" t="s">
        <v>2279</v>
      </c>
      <c r="M424" t="s">
        <v>2279</v>
      </c>
      <c r="N424" t="s">
        <v>2279</v>
      </c>
      <c r="O424" s="190" t="str">
        <f>"["&amp;$C424&amp;"]["&amp;$D424&amp;"]["&amp;$F424&amp;"]"</f>
        <v>[S12_InformationOnFraudActivities][3][NumberOfActivities]</v>
      </c>
    </row>
    <row r="425" spans="1:15" x14ac:dyDescent="0.3">
      <c r="A425" t="s">
        <v>2277</v>
      </c>
      <c r="B425" t="s">
        <v>2192</v>
      </c>
      <c r="C425" t="s">
        <v>2193</v>
      </c>
      <c r="D425">
        <v>4</v>
      </c>
      <c r="E425" t="s">
        <v>1447</v>
      </c>
      <c r="F425" t="s">
        <v>2194</v>
      </c>
      <c r="G425" t="s">
        <v>1748</v>
      </c>
      <c r="H425" t="s">
        <v>2279</v>
      </c>
      <c r="I425">
        <v>0</v>
      </c>
      <c r="J425" t="s">
        <v>2279</v>
      </c>
      <c r="K425" t="s">
        <v>2279</v>
      </c>
      <c r="L425" t="s">
        <v>2279</v>
      </c>
      <c r="M425" t="s">
        <v>2279</v>
      </c>
      <c r="N425" t="s">
        <v>2279</v>
      </c>
      <c r="O425" s="190" t="str">
        <f>"["&amp;$C425&amp;"]["&amp;$D425&amp;"]["&amp;$F425&amp;"]"</f>
        <v>[S12_InformationOnFraudActivities][4][NumberOfActivities]</v>
      </c>
    </row>
    <row r="426" spans="1:15" x14ac:dyDescent="0.3">
      <c r="A426" t="s">
        <v>2277</v>
      </c>
      <c r="B426" t="s">
        <v>2195</v>
      </c>
      <c r="C426" t="s">
        <v>2196</v>
      </c>
      <c r="D426">
        <v>1</v>
      </c>
      <c r="E426" t="s">
        <v>1447</v>
      </c>
      <c r="F426" t="s">
        <v>2197</v>
      </c>
      <c r="G426" t="s">
        <v>1791</v>
      </c>
      <c r="H426" t="s">
        <v>2279</v>
      </c>
      <c r="I426" t="s">
        <v>2279</v>
      </c>
      <c r="J426" t="s">
        <v>2279</v>
      </c>
      <c r="K426" t="s">
        <v>2352</v>
      </c>
      <c r="L426" t="s">
        <v>2279</v>
      </c>
      <c r="M426" t="s">
        <v>2279</v>
      </c>
      <c r="N426" t="s">
        <v>2279</v>
      </c>
      <c r="O426" s="190" t="str">
        <f>"["&amp;$C426&amp;"]["&amp;$D426&amp;"]["&amp;$F426&amp;"]"</f>
        <v>[S13_AnyOtherIssues][1][OtherInformationOrIssues]</v>
      </c>
    </row>
    <row r="427" spans="1:15" x14ac:dyDescent="0.3">
      <c r="A427" t="s">
        <v>2277</v>
      </c>
      <c r="B427" t="s">
        <v>2199</v>
      </c>
      <c r="C427" t="s">
        <v>2200</v>
      </c>
      <c r="D427">
        <v>0</v>
      </c>
      <c r="E427" t="s">
        <v>1447</v>
      </c>
      <c r="F427" t="s">
        <v>2200</v>
      </c>
      <c r="G427" t="s">
        <v>1759</v>
      </c>
      <c r="H427" t="s">
        <v>2279</v>
      </c>
      <c r="I427" t="s">
        <v>2279</v>
      </c>
      <c r="J427" t="s">
        <v>2279</v>
      </c>
      <c r="K427" t="s">
        <v>2279</v>
      </c>
      <c r="L427" t="s">
        <v>1419</v>
      </c>
      <c r="M427" t="s">
        <v>2279</v>
      </c>
      <c r="N427" t="s">
        <v>2279</v>
      </c>
      <c r="O427" s="190" t="str">
        <f>"["&amp;$C427&amp;"]["&amp;$D427&amp;"]["&amp;$F427&amp;"]"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0</v>
      </c>
      <c r="D8" s="258" t="str">
        <f>_xlfn.CONCAT(_xlfn.XLOOKUP("[S07_NoFurtherAllowancesSurrendered][1][OperatorName]",Submission!$O:$O,Submission!$H:$N,""))</f>
        <v>n/a</v>
      </c>
      <c r="E8" s="260"/>
      <c r="F8" s="258" t="str">
        <f>_xlfn.CONCAT(_xlfn.XLOOKUP("[S07_NoFurtherAllowancesSurrendered][1][InstallationName]",Submission!$O:$O,Submission!$H:$N,""))</f>
        <v>n/a</v>
      </c>
      <c r="G8" s="260"/>
      <c r="H8" s="108" t="str">
        <f>_xlfn.CONCAT(_xlfn.XLOOKUP("[S07_NoFurtherAllowancesSurrendered][1][OutstandingAllowances]",Submission!$O:$O,Submission!$H:$N,""))</f>
        <v>0</v>
      </c>
      <c r="I8" s="72" t="str">
        <f>_xlfn.CONCAT(_xlfn.XLOOKUP("[S07_NoFurtherAllowancesSurrendered][1][ReasonNoFurtherAllowancesSurrendered]",Submission!$O:$O,Submission!$H:$N,""))</f>
        <v>n/a</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No</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No free allocation for NI installations</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
      </c>
      <c r="H33" s="475"/>
      <c r="I33" s="476"/>
    </row>
    <row r="34" spans="1:9" ht="28.95" customHeight="1" x14ac:dyDescent="0.3">
      <c r="C34" s="314" t="s">
        <v>1156</v>
      </c>
      <c r="D34" s="333"/>
      <c r="E34" s="333"/>
      <c r="F34" s="334"/>
      <c r="G34" s="474" t="str">
        <f>_xlfn.CONCAT(_xlfn.XLOOKUP("[S08_RenunciationSuspensionAllowances][2][NumberOfInstallations]",Submission!$O:$O,Submission!$H:$N,""))</f>
        <v/>
      </c>
      <c r="H34" s="475"/>
      <c r="I34" s="476"/>
    </row>
    <row r="35" spans="1:9" ht="27" customHeight="1" x14ac:dyDescent="0.3">
      <c r="C35" s="314" t="s">
        <v>1157</v>
      </c>
      <c r="D35" s="333"/>
      <c r="E35" s="333"/>
      <c r="F35" s="334"/>
      <c r="G35" s="474" t="str">
        <f>_xlfn.CONCAT(_xlfn.XLOOKUP("[S08_RenunciationSuspensionAllowances][3][NumberOfInstallations]",Submission!$O:$O,Submission!$H:$N,""))</f>
        <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No</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
      </c>
      <c r="D40" s="472"/>
      <c r="E40" s="472"/>
      <c r="F40" s="473"/>
      <c r="G40" s="471" t="str">
        <f>_xlfn.CONCAT(_xlfn.XLOOKUP("[S08_SubInstallationBenchmark61Detail][1][HeatBenchmark]",Submission!$O:$O,Submission!$H:$N,""))</f>
        <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No</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
      </c>
      <c r="H54" s="475"/>
      <c r="I54" s="476"/>
    </row>
    <row r="55" spans="1:9" ht="29.4" customHeight="1" x14ac:dyDescent="0.3">
      <c r="C55" s="249" t="s">
        <v>1168</v>
      </c>
      <c r="D55" s="272"/>
      <c r="E55" s="272"/>
      <c r="F55" s="273"/>
      <c r="G55" s="474" t="str">
        <f>_xlfn.CONCAT(_xlfn.XLOOKUP("[S08_ScopeExclusion][2][NumberOfInstallations]",Submission!$O:$O,Submission!$H:$N,""))</f>
        <v/>
      </c>
      <c r="H55" s="475"/>
      <c r="I55" s="476"/>
    </row>
    <row r="56" spans="1:9" ht="29.4" customHeight="1" x14ac:dyDescent="0.3">
      <c r="C56" s="249" t="s">
        <v>1169</v>
      </c>
      <c r="D56" s="272"/>
      <c r="E56" s="272"/>
      <c r="F56" s="273"/>
      <c r="G56" s="474" t="str">
        <f>_xlfn.CONCAT(_xlfn.XLOOKUP("[S08_ScopeExclusion][3][NumberOfInstallations]",Submission!$O:$O,Submission!$H:$N,""))</f>
        <v/>
      </c>
      <c r="H56" s="475"/>
      <c r="I56" s="476"/>
    </row>
    <row r="57" spans="1:9" ht="29.4" customHeight="1" x14ac:dyDescent="0.3">
      <c r="C57" s="249" t="s">
        <v>1170</v>
      </c>
      <c r="D57" s="272"/>
      <c r="E57" s="272"/>
      <c r="F57" s="273"/>
      <c r="G57" s="474" t="str">
        <f>_xlfn.CONCAT(_xlfn.XLOOKUP("[S08_ScopeExclusion][4][NumberOfInstallations]",Submission!$O:$O,Submission!$H:$N,""))</f>
        <v/>
      </c>
      <c r="H57" s="475"/>
      <c r="I57" s="476"/>
    </row>
    <row r="58" spans="1:9" ht="29.4" customHeight="1" x14ac:dyDescent="0.3">
      <c r="C58" s="249" t="s">
        <v>1171</v>
      </c>
      <c r="D58" s="272"/>
      <c r="E58" s="272"/>
      <c r="F58" s="273"/>
      <c r="G58" s="474" t="str">
        <f>_xlfn.CONCAT(_xlfn.XLOOKUP("[S08_ScopeExclusion][5][NumberOfInstallations]",Submission!$O:$O,Submission!$H:$N,""))</f>
        <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0</v>
      </c>
      <c r="I75" s="361"/>
    </row>
    <row r="76" spans="1:9" ht="19.95" customHeight="1" x14ac:dyDescent="0.3">
      <c r="C76" s="249" t="s">
        <v>1185</v>
      </c>
      <c r="D76" s="272"/>
      <c r="E76" s="272"/>
      <c r="F76" s="272"/>
      <c r="G76" s="273"/>
      <c r="H76" s="351" t="str">
        <f>_xlfn.CONCAT(_xlfn.XLOOKUP("[S08_NegativeOpinionBaselineData][2][NumberOfInstallations]",Submission!$O:$O,Submission!$H:$N,""))</f>
        <v>0</v>
      </c>
      <c r="I76" s="361"/>
    </row>
    <row r="77" spans="1:9" ht="19.95" customHeight="1" x14ac:dyDescent="0.3">
      <c r="C77" s="249" t="s">
        <v>1186</v>
      </c>
      <c r="D77" s="272"/>
      <c r="E77" s="272"/>
      <c r="F77" s="272"/>
      <c r="G77" s="273"/>
      <c r="H77" s="351" t="str">
        <f>_xlfn.CONCAT(_xlfn.XLOOKUP("[S08_NegativeOpinionBaselineData][3][NumberOfInstallations]",Submission!$O:$O,Submission!$H:$N,""))</f>
        <v>0</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No</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0</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No</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
      </c>
      <c r="D157" s="260"/>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61" t="str">
        <f>_xlfn.CONCAT(_xlfn.XLOOKUP("[S08_ActivityDataIssuesDetail]["&amp;ROW(B157)-ROW($B$156)&amp;"][NumberOfInstallationsConEst]",Submission!$O:$O,Submission!$H:$N,""))</f>
        <v/>
      </c>
      <c r="I157" s="462"/>
    </row>
    <row r="158" spans="1:9" ht="54" customHeight="1" x14ac:dyDescent="0.3">
      <c r="C158" s="258" t="str">
        <f>_xlfn.CONCAT(_xlfn.XLOOKUP("[S08_ActivityDataIssuesDetail]["&amp;ROW(B158)-ROW($B$156)&amp;"][AnnexIActivity]",Submission!$O:$O,Submission!$H:$N,""))</f>
        <v/>
      </c>
      <c r="D158" s="260"/>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61" t="str">
        <f>_xlfn.CONCAT(_xlfn.XLOOKUP("[S08_ActivityDataIssuesDetail]["&amp;ROW(B158)-ROW($B$156)&amp;"][NumberOfInstallationsConEst]",Submission!$O:$O,Submission!$H:$N,""))</f>
        <v/>
      </c>
      <c r="I158" s="462"/>
    </row>
    <row r="159" spans="1:9" ht="54" customHeight="1" x14ac:dyDescent="0.3">
      <c r="C159" s="258" t="str">
        <f>_xlfn.CONCAT(_xlfn.XLOOKUP("[S08_ActivityDataIssuesDetail]["&amp;ROW(B159)-ROW($B$156)&amp;"][AnnexIActivity]",Submission!$O:$O,Submission!$H:$N,""))</f>
        <v/>
      </c>
      <c r="D159" s="260"/>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61" t="str">
        <f>_xlfn.CONCAT(_xlfn.XLOOKUP("[S08_ActivityDataIssuesDetail]["&amp;ROW(B159)-ROW($B$156)&amp;"][NumberOfInstallationsConEst]",Submission!$O:$O,Submission!$H:$N,""))</f>
        <v/>
      </c>
      <c r="I159" s="462"/>
    </row>
    <row r="160" spans="1:9" ht="54" customHeight="1" x14ac:dyDescent="0.3">
      <c r="C160" s="258" t="str">
        <f>_xlfn.CONCAT(_xlfn.XLOOKUP("[S08_ActivityDataIssuesDetail]["&amp;ROW(B160)-ROW($B$156)&amp;"][AnnexIActivity]",Submission!$O:$O,Submission!$H:$N,""))</f>
        <v/>
      </c>
      <c r="D160" s="260"/>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61" t="str">
        <f>_xlfn.CONCAT(_xlfn.XLOOKUP("[S08_ActivityDataIssuesDetail]["&amp;ROW(B160)-ROW($B$156)&amp;"][NumberOfInstallationsConEst]",Submission!$O:$O,Submission!$H:$N,""))</f>
        <v/>
      </c>
      <c r="I160" s="462"/>
    </row>
    <row r="161" spans="3:9" ht="54" customHeight="1" x14ac:dyDescent="0.3">
      <c r="C161" s="258" t="str">
        <f>_xlfn.CONCAT(_xlfn.XLOOKUP("[S08_ActivityDataIssuesDetail]["&amp;ROW(B161)-ROW($B$156)&amp;"][AnnexIActivity]",Submission!$O:$O,Submission!$H:$N,""))</f>
        <v/>
      </c>
      <c r="D161" s="260"/>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61" t="str">
        <f>_xlfn.CONCAT(_xlfn.XLOOKUP("[S08_ActivityDataIssuesDetail]["&amp;ROW(B161)-ROW($B$156)&amp;"][NumberOfInstallationsConEst]",Submission!$O:$O,Submission!$H:$N,""))</f>
        <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0</v>
      </c>
      <c r="F283" s="105" t="str">
        <f>_xlfn.CONCAT(_xlfn.XLOOKUP("[S08_PenaltiesAllocation][1][MaxFine]",Submission!$O:$O,Submission!$H:$N,""))</f>
        <v>4238</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Maximum fixed penalty of €4,238 plus a daily penalty of €424 up to a maximum of €38137</v>
      </c>
    </row>
    <row r="284" spans="1:10" ht="58.2" customHeight="1" x14ac:dyDescent="0.3">
      <c r="C284" s="249" t="s">
        <v>1231</v>
      </c>
      <c r="D284" s="273"/>
      <c r="E284" s="105" t="str">
        <f>_xlfn.CONCAT(_xlfn.XLOOKUP("[S08_PenaltiesAllocation][2][MinFine]",Submission!$O:$O,Submission!$H:$N,""))</f>
        <v>0</v>
      </c>
      <c r="F284" s="105" t="str">
        <f>_xlfn.CONCAT(_xlfn.XLOOKUP("[S08_PenaltiesAllocation][2][MaxFine]",Submission!$O:$O,Submission!$H:$N,""))</f>
        <v>4238</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Maximum fixed penalty of €4,238 plus a daily penalty of €424 up to a maximum of €38137</v>
      </c>
    </row>
    <row r="285" spans="1:10" ht="58.2" customHeight="1" x14ac:dyDescent="0.3">
      <c r="C285" s="249" t="s">
        <v>1232</v>
      </c>
      <c r="D285" s="273"/>
      <c r="E285" s="105" t="str">
        <f>_xlfn.CONCAT(_xlfn.XLOOKUP("[S08_PenaltiesAllocation][3][MinFine]",Submission!$O:$O,Submission!$H:$N,""))</f>
        <v>0</v>
      </c>
      <c r="F285" s="105" t="str">
        <f>_xlfn.CONCAT(_xlfn.XLOOKUP("[S08_PenaltiesAllocation][3][MaxFine]",Submission!$O:$O,Submission!$H:$N,""))</f>
        <v>4238</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Maximum fixed penalty of €4,238 plus a daily penalty of €424 up to a maximum of €38137</v>
      </c>
    </row>
    <row r="286" spans="1:10" ht="36" customHeight="1" x14ac:dyDescent="0.3">
      <c r="C286" s="486" t="s">
        <v>1233</v>
      </c>
      <c r="D286" s="487"/>
      <c r="E286" s="105" t="str">
        <f>_xlfn.CONCAT(_xlfn.XLOOKUP("[S08_PenaltiesAllocation][4][MinFine]",Submission!$O:$O,Submission!$H:$N,""))</f>
        <v>0</v>
      </c>
      <c r="F286" s="105" t="str">
        <f>_xlfn.CONCAT(_xlfn.XLOOKUP("[S08_PenaltiesAllocation][4][MaxFine]",Submission!$O:$O,Submission!$H:$N,""))</f>
        <v>4238</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Maximum fixed penalty of €4,238 plus a daily penalty of €424 up to a maximum of €38137</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No</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Yes</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7729.2</v>
      </c>
      <c r="H9" s="465"/>
      <c r="I9" s="462"/>
    </row>
    <row r="10" spans="1:9" x14ac:dyDescent="0.3">
      <c r="C10" s="468" t="s">
        <v>1253</v>
      </c>
      <c r="D10" s="469"/>
      <c r="E10" s="469"/>
      <c r="F10" s="470"/>
      <c r="G10" s="461" t="str">
        <f>_xlfn.CONCAT(_xlfn.XLOOKUP("[S09_InstallationOperatorFeesPermits][2][FeesAmount]",Submission!$O:$O,Submission!$H:$N,""))</f>
        <v>546.92</v>
      </c>
      <c r="H10" s="465"/>
      <c r="I10" s="462"/>
    </row>
    <row r="11" spans="1:9" x14ac:dyDescent="0.3">
      <c r="C11" s="468" t="s">
        <v>1254</v>
      </c>
      <c r="D11" s="469"/>
      <c r="E11" s="469"/>
      <c r="F11" s="470"/>
      <c r="G11" s="461" t="str">
        <f>_xlfn.CONCAT(_xlfn.XLOOKUP("[S09_InstallationOperatorFeesPermits][3][FeesAmount]",Submission!$O:$O,Submission!$H:$N,""))</f>
        <v>546.92</v>
      </c>
      <c r="H11" s="465"/>
      <c r="I11" s="462"/>
    </row>
    <row r="12" spans="1:9" x14ac:dyDescent="0.3">
      <c r="C12" s="468" t="s">
        <v>1255</v>
      </c>
      <c r="D12" s="469"/>
      <c r="E12" s="469"/>
      <c r="F12" s="470"/>
      <c r="G12" s="461" t="str">
        <f>_xlfn.CONCAT(_xlfn.XLOOKUP("[S09_InstallationOperatorFeesPermits][4][FeesAmount]",Submission!$O:$O,Submission!$H:$N,""))</f>
        <v>870.1</v>
      </c>
      <c r="H12" s="465"/>
      <c r="I12" s="462"/>
    </row>
    <row r="13" spans="1:9" x14ac:dyDescent="0.3">
      <c r="C13" s="468" t="s">
        <v>1256</v>
      </c>
      <c r="D13" s="469"/>
      <c r="E13" s="469"/>
      <c r="F13" s="470"/>
      <c r="G13" s="461" t="str">
        <f>_xlfn.CONCAT(_xlfn.XLOOKUP("[S09_InstallationOperatorFeesPermits][5][FeesAmount]",Submission!$O:$O,Submission!$H:$N,""))</f>
        <v>1447.53</v>
      </c>
      <c r="H13" s="465"/>
      <c r="I13" s="462"/>
    </row>
    <row r="14" spans="1:9" x14ac:dyDescent="0.3">
      <c r="C14" s="93" t="s">
        <v>697</v>
      </c>
      <c r="D14" s="520" t="str">
        <f>_xlfn.CONCAT(_xlfn.XLOOKUP("[S09_InstallationOperatorFeesPermits][6][FeesOther]",Submission!$O:$O,Submission!$H:$N,""))</f>
        <v>revocation</v>
      </c>
      <c r="E14" s="521"/>
      <c r="F14" s="522"/>
      <c r="G14" s="351" t="str">
        <f>_xlfn.CONCAT(_xlfn.XLOOKUP("[S09_InstallationOperatorFeesPermits][6][FeesAmount]",Submission!$O:$O,Submission!$H:$N,""))</f>
        <v>870</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5277</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
      </c>
      <c r="H34" s="465"/>
      <c r="I34" s="462"/>
    </row>
    <row r="35" spans="2:9" x14ac:dyDescent="0.3">
      <c r="C35" s="468" t="s">
        <v>1266</v>
      </c>
      <c r="D35" s="469"/>
      <c r="E35" s="469"/>
      <c r="F35" s="470"/>
      <c r="G35" s="461" t="str">
        <f>_xlfn.CONCAT(_xlfn.XLOOKUP("[S09_AircraftOperatorFeesMonitoringPlans][2][FeesAmount]",Submission!$O:$O,Submission!$H:$N,""))</f>
        <v/>
      </c>
      <c r="H35" s="465"/>
      <c r="I35" s="462"/>
    </row>
    <row r="36" spans="2:9" x14ac:dyDescent="0.3">
      <c r="C36" s="468" t="s">
        <v>1267</v>
      </c>
      <c r="D36" s="469"/>
      <c r="E36" s="469"/>
      <c r="F36" s="470"/>
      <c r="G36" s="461" t="str">
        <f>_xlfn.CONCAT(_xlfn.XLOOKUP("[S09_AircraftOperatorFeesMonitoringPlans][3][FeesAmount]",Submission!$O:$O,Submission!$H:$N,""))</f>
        <v/>
      </c>
      <c r="H36" s="465"/>
      <c r="I36" s="462"/>
    </row>
    <row r="37" spans="2:9" x14ac:dyDescent="0.3">
      <c r="C37" s="468" t="s">
        <v>1268</v>
      </c>
      <c r="D37" s="469"/>
      <c r="E37" s="469"/>
      <c r="F37" s="470"/>
      <c r="G37" s="461" t="str">
        <f>_xlfn.CONCAT(_xlfn.XLOOKUP("[S09_AircraftOperatorFeesMonitoringPlans][4][FeesAmount]",Submission!$O:$O,Submission!$H:$N,""))</f>
        <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change detail account</v>
      </c>
      <c r="D60" s="460"/>
      <c r="E60" s="460"/>
      <c r="F60" s="256"/>
      <c r="G60" s="461" t="str">
        <f>_xlfn.CONCAT(_xlfn.XLOOKUP("[S09_RegistryAccountOneOffFees][1][OneOffFeeAmount]",Submission!$O:$O,Submission!$H:$N,""))</f>
        <v>330</v>
      </c>
      <c r="H60" s="465"/>
      <c r="I60" s="462"/>
    </row>
    <row r="61" spans="1:9" x14ac:dyDescent="0.3">
      <c r="C61" s="255" t="str">
        <f>_xlfn.CONCAT(_xlfn.XLOOKUP("[S09_RegistryAccountOneOffFees][2][OneOffFeeReason]",Submission!$O:$O,Submission!$H:$N,""))</f>
        <v>verifier change</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maintain</v>
      </c>
      <c r="D74" s="460"/>
      <c r="E74" s="460"/>
      <c r="F74" s="256"/>
      <c r="G74" s="461" t="str">
        <f>_xlfn.CONCAT(_xlfn.XLOOKUP("[S09_RegistryAccountAnnualFees][1][AnnualFeeAmount]",Submission!$O:$O,Submission!$H:$N,""))</f>
        <v/>
      </c>
      <c r="H74" s="465"/>
      <c r="I74" s="462"/>
    </row>
    <row r="75" spans="2:9" x14ac:dyDescent="0.3">
      <c r="C75" s="255" t="str">
        <f>_xlfn.CONCAT(_xlfn.XLOOKUP("[S09_RegistryAccountAnnualFees][2][AnnualFeeReason]",Submission!$O:$O,Submission!$H:$N,""))</f>
        <v>External trading platform (per hour)</v>
      </c>
      <c r="D75" s="460"/>
      <c r="E75" s="460"/>
      <c r="F75" s="256"/>
      <c r="G75" s="461" t="str">
        <f>_xlfn.CONCAT(_xlfn.XLOOKUP("[S09_RegistryAccountAnnualFees][2][AnnualFeeAmount]",Submission!$O:$O,Submission!$H:$N,""))</f>
        <v>150.29</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
      </c>
      <c r="F21" s="105" t="str">
        <f>_xlfn.CONCAT(_xlfn.XLOOKUP("[S10_InstallationsInfringementPenalties]["&amp;ROW(B21)-ROW($B$20)&amp;"][MaxFine]",Submission!$O:$O,Submission!$H:$N,""))</f>
        <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Civil Penalty is: Estimated amount of cost avoided + (Estimated reportable emission * Carbon Price).</v>
      </c>
    </row>
    <row r="22" spans="1:9" ht="33" customHeight="1" x14ac:dyDescent="0.3">
      <c r="A22" s="13"/>
      <c r="C22" s="249" t="s">
        <v>1288</v>
      </c>
      <c r="D22" s="250"/>
      <c r="E22" s="105" t="str">
        <f>_xlfn.CONCAT(_xlfn.XLOOKUP("[S10_InstallationsInfringementPenalties]["&amp;ROW(B22)-ROW($B$20)&amp;"][MinFine]",Submission!$O:$O,Submission!$H:$N,""))</f>
        <v>0</v>
      </c>
      <c r="F22" s="105" t="str">
        <f>_xlfn.CONCAT(_xlfn.XLOOKUP("[S10_InstallationsInfringementPenalties]["&amp;ROW(B22)-ROW($B$20)&amp;"][MaxFine]",Submission!$O:$O,Submission!$H:$N,""))</f>
        <v>4238</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Maximum fixed penalty of €4,238 plus a daily penalty of €424 up to a maximum of €38137</v>
      </c>
    </row>
    <row r="23" spans="1:9" ht="33" customHeight="1" x14ac:dyDescent="0.3">
      <c r="A23" s="13"/>
      <c r="C23" s="249" t="s">
        <v>1289</v>
      </c>
      <c r="D23" s="250"/>
      <c r="E23" s="105" t="str">
        <f>_xlfn.CONCAT(_xlfn.XLOOKUP("[S10_InstallationsInfringementPenalties]["&amp;ROW(B23)-ROW($B$20)&amp;"][MinFine]",Submission!$O:$O,Submission!$H:$N,""))</f>
        <v>0</v>
      </c>
      <c r="F23" s="105" t="str">
        <f>_xlfn.CONCAT(_xlfn.XLOOKUP("[S10_InstallationsInfringementPenalties]["&amp;ROW(B23)-ROW($B$20)&amp;"][MaxFine]",Submission!$O:$O,Submission!$H:$N,""))</f>
        <v>4238</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Maximum fixed penalty of €4,238 plus a daily penalty of €424 up to a maximum of €38137</v>
      </c>
    </row>
    <row r="24" spans="1:9" ht="41.4" customHeight="1" x14ac:dyDescent="0.3">
      <c r="A24" s="13"/>
      <c r="C24" s="249" t="s">
        <v>1290</v>
      </c>
      <c r="D24" s="250"/>
      <c r="E24" s="105" t="str">
        <f>_xlfn.CONCAT(_xlfn.XLOOKUP("[S10_InstallationsInfringementPenalties]["&amp;ROW(B24)-ROW($B$20)&amp;"][MinFine]",Submission!$O:$O,Submission!$H:$N,""))</f>
        <v>0</v>
      </c>
      <c r="F24" s="105" t="str">
        <f>_xlfn.CONCAT(_xlfn.XLOOKUP("[S10_InstallationsInfringementPenalties]["&amp;ROW(B24)-ROW($B$20)&amp;"][MaxFine]",Submission!$O:$O,Submission!$H:$N,""))</f>
        <v>4238</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If operator does not submit the supporting documents they are not granted an EU ETS permit.</v>
      </c>
    </row>
    <row r="25" spans="1:9" ht="33" customHeight="1" x14ac:dyDescent="0.3">
      <c r="C25" s="249" t="s">
        <v>1291</v>
      </c>
      <c r="D25" s="250"/>
      <c r="E25" s="105" t="str">
        <f>_xlfn.CONCAT(_xlfn.XLOOKUP("[S10_InstallationsInfringementPenalties]["&amp;ROW(B25)-ROW($B$20)&amp;"][MinFine]",Submission!$O:$O,Submission!$H:$N,""))</f>
        <v>0</v>
      </c>
      <c r="F25" s="105" t="str">
        <f>_xlfn.CONCAT(_xlfn.XLOOKUP("[S10_InstallationsInfringementPenalties]["&amp;ROW(B25)-ROW($B$20)&amp;"][MaxFine]",Submission!$O:$O,Submission!$H:$N,""))</f>
        <v>4238</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Maximum fixed penalty of €4,238 plus a daily penalty of €424 up to a maximum of €38137</v>
      </c>
    </row>
    <row r="26" spans="1:9" ht="41.4" customHeight="1" x14ac:dyDescent="0.3">
      <c r="C26" s="249" t="s">
        <v>1292</v>
      </c>
      <c r="D26" s="250"/>
      <c r="E26" s="105" t="str">
        <f>_xlfn.CONCAT(_xlfn.XLOOKUP("[S10_InstallationsInfringementPenalties]["&amp;ROW(B26)-ROW($B$20)&amp;"][MinFine]",Submission!$O:$O,Submission!$H:$N,""))</f>
        <v>0</v>
      </c>
      <c r="F26" s="105" t="str">
        <f>_xlfn.CONCAT(_xlfn.XLOOKUP("[S10_InstallationsInfringementPenalties]["&amp;ROW(B26)-ROW($B$20)&amp;"][MaxFine]",Submission!$O:$O,Submission!$H:$N,""))</f>
        <v>4238</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Maximum fixed penalty of €4,238 plus a daily penalty of €424 up to a maximum of €38137</v>
      </c>
    </row>
    <row r="27" spans="1:9" ht="41.4" customHeight="1" x14ac:dyDescent="0.3">
      <c r="C27" s="249" t="s">
        <v>1293</v>
      </c>
      <c r="D27" s="250"/>
      <c r="E27" s="105" t="str">
        <f>_xlfn.CONCAT(_xlfn.XLOOKUP("[S10_InstallationsInfringementPenalties]["&amp;ROW(B27)-ROW($B$20)&amp;"][MinFine]",Submission!$O:$O,Submission!$H:$N,""))</f>
        <v>0</v>
      </c>
      <c r="F27" s="105" t="str">
        <f>_xlfn.CONCAT(_xlfn.XLOOKUP("[S10_InstallationsInfringementPenalties]["&amp;ROW(B27)-ROW($B$20)&amp;"][MaxFine]",Submission!$O:$O,Submission!$H:$N,""))</f>
        <v>4238</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Maximum fixed penalty of €4,238 plus a daily penalty of €424 up to a maximum of €38137</v>
      </c>
    </row>
    <row r="28" spans="1:9" ht="33" customHeight="1" x14ac:dyDescent="0.3">
      <c r="C28" s="249" t="s">
        <v>1294</v>
      </c>
      <c r="D28" s="250"/>
      <c r="E28" s="105" t="str">
        <f>_xlfn.CONCAT(_xlfn.XLOOKUP("[S10_InstallationsInfringementPenalties]["&amp;ROW(B28)-ROW($B$20)&amp;"][MinFine]",Submission!$O:$O,Submission!$H:$N,""))</f>
        <v>0</v>
      </c>
      <c r="F28" s="105" t="str">
        <f>_xlfn.CONCAT(_xlfn.XLOOKUP("[S10_InstallationsInfringementPenalties]["&amp;ROW(B28)-ROW($B$20)&amp;"][MaxFine]",Submission!$O:$O,Submission!$H:$N,""))</f>
        <v>4238</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Maximum fixed penalty of €4,238 plus a daily penalty of €424 up to a maximum of €38137</v>
      </c>
    </row>
    <row r="29" spans="1:9" ht="33" customHeight="1" x14ac:dyDescent="0.3">
      <c r="C29" s="249" t="s">
        <v>1295</v>
      </c>
      <c r="D29" s="250"/>
      <c r="E29" s="105" t="str">
        <f>_xlfn.CONCAT(_xlfn.XLOOKUP("[S10_InstallationsInfringementPenalties]["&amp;ROW(B29)-ROW($B$20)&amp;"][MinFine]",Submission!$O:$O,Submission!$H:$N,""))</f>
        <v>0</v>
      </c>
      <c r="F29" s="105" t="str">
        <f>_xlfn.CONCAT(_xlfn.XLOOKUP("[S10_InstallationsInfringementPenalties]["&amp;ROW(B29)-ROW($B$20)&amp;"][MaxFine]",Submission!$O:$O,Submission!$H:$N,""))</f>
        <v>4238</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Maximum fixed penalty of €4,238 plus a daily penalty of €424 up to a maximum of €38137</v>
      </c>
    </row>
    <row r="30" spans="1:9" ht="33" customHeight="1" x14ac:dyDescent="0.3">
      <c r="C30" s="249" t="s">
        <v>1296</v>
      </c>
      <c r="D30" s="250"/>
      <c r="E30" s="105" t="str">
        <f>_xlfn.CONCAT(_xlfn.XLOOKUP("[S10_InstallationsInfringementPenalties]["&amp;ROW(B30)-ROW($B$20)&amp;"][MinFine]",Submission!$O:$O,Submission!$H:$N,""))</f>
        <v>0</v>
      </c>
      <c r="F30" s="105" t="str">
        <f>_xlfn.CONCAT(_xlfn.XLOOKUP("[S10_InstallationsInfringementPenalties]["&amp;ROW(B30)-ROW($B$20)&amp;"][MaxFine]",Submission!$O:$O,Submission!$H:$N,""))</f>
        <v>4238</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Maximum fixed penalty of €4,238 plus a daily penalty of €424 up to a maximum of €38137</v>
      </c>
    </row>
    <row r="31" spans="1:9" ht="33" customHeight="1" x14ac:dyDescent="0.3">
      <c r="C31" s="249" t="s">
        <v>1297</v>
      </c>
      <c r="D31" s="250"/>
      <c r="E31" s="105" t="str">
        <f>_xlfn.CONCAT(_xlfn.XLOOKUP("[S10_InstallationsInfringementPenalties]["&amp;ROW(B31)-ROW($B$20)&amp;"][MinFine]",Submission!$O:$O,Submission!$H:$N,""))</f>
        <v>0</v>
      </c>
      <c r="F31" s="105" t="str">
        <f>_xlfn.CONCAT(_xlfn.XLOOKUP("[S10_InstallationsInfringementPenalties]["&amp;ROW(B31)-ROW($B$20)&amp;"][MaxFine]",Submission!$O:$O,Submission!$H:$N,""))</f>
        <v>4238</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Maximum fixed penalty of €4,238 plus a daily penalty of €424 up to a maximum of €38137</v>
      </c>
    </row>
    <row r="32" spans="1:9" ht="33" customHeight="1" x14ac:dyDescent="0.3">
      <c r="C32" s="93" t="s">
        <v>1234</v>
      </c>
      <c r="D32" s="72" t="str">
        <f>_xlfn.CONCAT(_xlfn.XLOOKUP("[S10_InstallationsInfringementPenalties]["&amp;ROW(B32)-ROW($B$20)&amp;"][InfringementOther]",Submission!$O:$O,Submission!$H:$N,""))</f>
        <v>Failure to notify planned or effective changes to capacity, activity levels and operation of an installation by 31 December of the reporting period in accordance with Article 24 of Decision 2011/278/EU</v>
      </c>
      <c r="E32" s="105" t="str">
        <f>_xlfn.CONCAT(_xlfn.XLOOKUP("[S10_InstallationsInfringementPenalties]["&amp;ROW(B32)-ROW($B$20)&amp;"][MinFine]",Submission!$O:$O,Submission!$H:$N,""))</f>
        <v>0</v>
      </c>
      <c r="F32" s="105" t="str">
        <f>_xlfn.CONCAT(_xlfn.XLOOKUP("[S10_InstallationsInfringementPenalties]["&amp;ROW(B32)-ROW($B$20)&amp;"][MaxFine]",Submission!$O:$O,Submission!$H:$N,""))</f>
        <v>5650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fixed penalty</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The Greenhouse Gas Emissions Trading Scheme Regulations 2012</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9" t="s">
        <v>1290</v>
      </c>
      <c r="D148" s="273"/>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9" t="s">
        <v>1293</v>
      </c>
      <c r="D150" s="273"/>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3"/>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No</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Article 40(1) of the Commission Regulation 389/2013 on a system of registries provides that an allowance shall be a fungible, dematerialised instrument that is tradable on the market. This is directly applicable in member states. The UK has not implemented any further measures defining the legal status of allowances.</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HM Treasury is in the process of determining what is the accounting treatment of emission allowances in the annual financial report of the companies following the Member State’s accounting norm.</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20</v>
      </c>
      <c r="D18" s="353"/>
      <c r="E18" s="353"/>
      <c r="F18" s="260"/>
      <c r="G18" s="258" t="str">
        <f>_xlfn.CONCAT(_xlfn.XLOOKUP("[S11_TypeOfTaxRatesApplied][1][TaxRateApplied]",Submission!$O:$O,Submission!$H:$N,""))</f>
        <v>20</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NA</v>
      </c>
      <c r="H7" s="353"/>
      <c r="I7" s="260"/>
    </row>
    <row r="8" spans="1:9" ht="45" customHeight="1" x14ac:dyDescent="0.3">
      <c r="C8" s="249" t="s">
        <v>1337</v>
      </c>
      <c r="D8" s="257"/>
      <c r="E8" s="257"/>
      <c r="F8" s="250"/>
      <c r="G8" s="258" t="str">
        <f>_xlfn.CONCAT(_xlfn.XLOOKUP("[S12_FraudFreeAllocationOfAllowances][2][DetailsOfProceduresInNationalLaw]",Submission!$O:$O,Submission!$H:$N,""))</f>
        <v/>
      </c>
      <c r="H8" s="353"/>
      <c r="I8" s="260"/>
    </row>
    <row r="9" spans="1:9" ht="45" customHeight="1" x14ac:dyDescent="0.3">
      <c r="C9" s="249" t="s">
        <v>1338</v>
      </c>
      <c r="D9" s="257"/>
      <c r="E9" s="257"/>
      <c r="F9" s="250"/>
      <c r="G9" s="258" t="str">
        <f>_xlfn.CONCAT(_xlfn.XLOOKUP("[S12_FraudFreeAllocationOfAllowances][3][DetailsOfProceduresInNationalLaw]",Submission!$O:$O,Submission!$H:$N,""))</f>
        <v/>
      </c>
      <c r="H9" s="353"/>
      <c r="I9" s="260"/>
    </row>
    <row r="10" spans="1:9" ht="45" customHeight="1" x14ac:dyDescent="0.3">
      <c r="C10" s="249" t="s">
        <v>1339</v>
      </c>
      <c r="D10" s="257"/>
      <c r="E10" s="257"/>
      <c r="F10" s="250"/>
      <c r="G10" s="258" t="str">
        <f>_xlfn.CONCAT(_xlfn.XLOOKUP("[S12_FraudFreeAllocationOfAllowances][4][DetailsOfProceduresInNationalLaw]",Submission!$O:$O,Submission!$H:$N,""))</f>
        <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Not aware of any</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This is the second year that the UK are reporting under the Northern Ireland Protocol which stipulates only emissions from the agreed list of electricity generators supplying the Island of Ireland single electricity market are required to participate in the EU scheme</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
      </c>
      <c r="E18" s="353" t="str">
        <f>_xlfn.CONCAT(_xlfn.XLOOKUP("[S13_AnyOtherIssues][12][OtherInformationOrIssues]",Submission!$O:$O,Submission!$H:$N,""))</f>
        <v/>
      </c>
      <c r="F18" s="353"/>
      <c r="G18" s="353"/>
      <c r="H18" s="353"/>
      <c r="I18" s="260"/>
      <c r="K18" s="192"/>
    </row>
    <row r="19" spans="3:11" ht="27" customHeight="1" x14ac:dyDescent="0.3">
      <c r="C19" s="566"/>
      <c r="D19" s="161" t="str">
        <f>_xlfn.CONCAT(_xlfn.XLOOKUP("[S13_AnyOtherIssues][13][QuestionnaireSubQuestion]",Submission!$O:$O,Submission!$H:$N,""))</f>
        <v/>
      </c>
      <c r="E19" s="353" t="str">
        <f>_xlfn.CONCAT(_xlfn.XLOOKUP("[S13_AnyOtherIssues][13][OtherInformationOrIssues]",Submission!$O:$O,Submission!$H:$N,""))</f>
        <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Yes</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13</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BEIS</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DAERA</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Failure to notify planned or effective changes to capacity, activity levels and operation of an installation by 31 December of the reporting period in accordance with Article 24 of Decision 2011/278/EU</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Department for Business, Energy and Industrial Strategy</v>
      </c>
    </row>
    <row r="3" spans="1:21" x14ac:dyDescent="0.3">
      <c r="A3" t="s">
        <v>1738</v>
      </c>
      <c r="B3" t="s">
        <v>1739</v>
      </c>
      <c r="C3">
        <v>0</v>
      </c>
      <c r="D3" t="s">
        <v>1447</v>
      </c>
      <c r="E3" t="s">
        <v>1742</v>
      </c>
      <c r="F3" t="s">
        <v>1741</v>
      </c>
      <c r="G3" t="str">
        <f>IF(ISBLANK('Q 1'!E6),"",IF('Q 1'!E6="&lt;please select&gt;","",'Q 1'!E6))</f>
        <v>Hannah Lewis</v>
      </c>
    </row>
    <row r="4" spans="1:21" x14ac:dyDescent="0.3">
      <c r="A4" t="s">
        <v>1738</v>
      </c>
      <c r="B4" t="s">
        <v>1739</v>
      </c>
      <c r="C4">
        <v>0</v>
      </c>
      <c r="D4" t="s">
        <v>1447</v>
      </c>
      <c r="E4" t="s">
        <v>1743</v>
      </c>
      <c r="F4" t="s">
        <v>1741</v>
      </c>
      <c r="G4" t="str">
        <f>IF(ISBLANK('Q 1'!E7),"",IF('Q 1'!E7="&lt;please select&gt;","",'Q 1'!E7))</f>
        <v>Senior Policy Advisor</v>
      </c>
    </row>
    <row r="5" spans="1:21" x14ac:dyDescent="0.3">
      <c r="A5" t="s">
        <v>1738</v>
      </c>
      <c r="B5" t="s">
        <v>1739</v>
      </c>
      <c r="C5">
        <v>0</v>
      </c>
      <c r="D5" t="s">
        <v>1447</v>
      </c>
      <c r="E5" t="s">
        <v>1744</v>
      </c>
      <c r="F5" t="s">
        <v>1741</v>
      </c>
      <c r="G5" t="str">
        <f>IF(ISBLANK('Q 1'!E8),"",IF('Q 1'!E8="&lt;please select&gt;","",'Q 1'!E8))</f>
        <v>1 Victoria Street, London, SW1H 0ET</v>
      </c>
    </row>
    <row r="6" spans="1:21" x14ac:dyDescent="0.3">
      <c r="A6" t="s">
        <v>1738</v>
      </c>
      <c r="B6" t="s">
        <v>1739</v>
      </c>
      <c r="C6">
        <v>0</v>
      </c>
      <c r="D6" t="s">
        <v>1447</v>
      </c>
      <c r="E6" t="s">
        <v>1745</v>
      </c>
      <c r="F6" t="s">
        <v>1741</v>
      </c>
      <c r="G6" t="str">
        <f>IF(ISBLANK('Q 1'!E9),"",IF('Q 1'!E9="&lt;please select&gt;","",'Q 1'!E9))</f>
        <v>44 (0) 207 215 0590</v>
      </c>
    </row>
    <row r="7" spans="1:21" x14ac:dyDescent="0.3">
      <c r="A7" t="s">
        <v>1738</v>
      </c>
      <c r="B7" t="s">
        <v>1739</v>
      </c>
      <c r="C7">
        <v>0</v>
      </c>
      <c r="D7" t="s">
        <v>1447</v>
      </c>
      <c r="E7" t="s">
        <v>1746</v>
      </c>
      <c r="F7" t="s">
        <v>1741</v>
      </c>
      <c r="G7" t="str">
        <f>IF(ISBLANK('Q 1'!E10),"",IF('Q 1'!E10="&lt;please select&gt;","",'Q 1'!E10))</f>
        <v>hannah.lewis@beis.gov.uk</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Department for Business Energy and Industrial Strateg</v>
      </c>
    </row>
    <row r="10" spans="1:21" x14ac:dyDescent="0.3">
      <c r="A10" t="s">
        <v>1749</v>
      </c>
      <c r="B10" t="s">
        <v>1750</v>
      </c>
      <c r="C10">
        <v>2</v>
      </c>
      <c r="D10" t="s">
        <v>1447</v>
      </c>
      <c r="E10" t="s">
        <v>1751</v>
      </c>
      <c r="F10" t="s">
        <v>1741</v>
      </c>
      <c r="G10" t="str">
        <f>IF(ISBLANK('Q 2'!C8),"",IF('Q 2'!C8="&lt;please select&gt;","",'Q 2'!C8))</f>
        <v>Department for Business Energy and Industrial StrategyDepartment of Agriculture, Environment and Rural Affairs</v>
      </c>
    </row>
    <row r="11" spans="1:21" x14ac:dyDescent="0.3">
      <c r="A11" t="s">
        <v>1749</v>
      </c>
      <c r="B11" t="s">
        <v>1750</v>
      </c>
      <c r="C11">
        <v>3</v>
      </c>
      <c r="D11" t="s">
        <v>1447</v>
      </c>
      <c r="E11" t="s">
        <v>1751</v>
      </c>
      <c r="F11" t="s">
        <v>1741</v>
      </c>
      <c r="G11" t="str">
        <f>IF(ISBLANK('Q 2'!C9),"",IF('Q 2'!C9="&lt;please select&gt;","",'Q 2'!C9))</f>
        <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BEIS</v>
      </c>
    </row>
    <row r="32" spans="1:7" x14ac:dyDescent="0.3">
      <c r="A32" t="s">
        <v>1749</v>
      </c>
      <c r="B32" t="s">
        <v>1750</v>
      </c>
      <c r="C32">
        <v>2</v>
      </c>
      <c r="D32" t="s">
        <v>1447</v>
      </c>
      <c r="E32" t="s">
        <v>1752</v>
      </c>
      <c r="F32" t="s">
        <v>1741</v>
      </c>
      <c r="G32" t="str">
        <f>IF(ISBLANK('Q 2'!D8),"",IF('Q 2'!D8="&lt;please select&gt;","",'Q 2'!D8))</f>
        <v>DAERA</v>
      </c>
    </row>
    <row r="33" spans="1:7" x14ac:dyDescent="0.3">
      <c r="A33" t="s">
        <v>1749</v>
      </c>
      <c r="B33" t="s">
        <v>1750</v>
      </c>
      <c r="C33">
        <v>3</v>
      </c>
      <c r="D33" t="s">
        <v>1447</v>
      </c>
      <c r="E33" t="s">
        <v>1752</v>
      </c>
      <c r="F33" t="s">
        <v>1741</v>
      </c>
      <c r="G33" t="str">
        <f>IF(ISBLANK('Q 2'!D9),"",IF('Q 2'!D9="&lt;please select&gt;","",'Q 2'!D9))</f>
        <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1</v>
      </c>
    </row>
    <row r="76" spans="1:7" x14ac:dyDescent="0.3">
      <c r="A76" t="s">
        <v>1749</v>
      </c>
      <c r="B76" t="s">
        <v>1750</v>
      </c>
      <c r="C76">
        <v>2</v>
      </c>
      <c r="D76" t="s">
        <v>1447</v>
      </c>
      <c r="E76" t="s">
        <v>1754</v>
      </c>
      <c r="F76" t="s">
        <v>1741</v>
      </c>
      <c r="G76" s="165" t="str">
        <f>IF(ISBLANK('Q 2'!F8),"",IF('Q 2'!F8="&lt;please select&gt;","",'Q 2'!F8))</f>
        <v>1</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 xml:space="preserve">44(0)300 060 4000 </v>
      </c>
    </row>
    <row r="98" spans="1:7" x14ac:dyDescent="0.3">
      <c r="A98" t="s">
        <v>1749</v>
      </c>
      <c r="B98" t="s">
        <v>1750</v>
      </c>
      <c r="C98">
        <v>2</v>
      </c>
      <c r="D98" t="s">
        <v>1447</v>
      </c>
      <c r="E98" t="s">
        <v>1755</v>
      </c>
      <c r="F98" t="s">
        <v>1741</v>
      </c>
      <c r="G98" t="str">
        <f>IF(ISBLANK('Q 2'!G8),"",IF('Q 2'!G8="&lt;please select&gt;","",'Q 2'!G8))</f>
        <v>44 (0) 28 9056 9299</v>
      </c>
    </row>
    <row r="99" spans="1:7" x14ac:dyDescent="0.3">
      <c r="A99" t="s">
        <v>1749</v>
      </c>
      <c r="B99" t="s">
        <v>1750</v>
      </c>
      <c r="C99">
        <v>3</v>
      </c>
      <c r="D99" t="s">
        <v>1447</v>
      </c>
      <c r="E99" t="s">
        <v>1755</v>
      </c>
      <c r="F99" t="s">
        <v>1741</v>
      </c>
      <c r="G99" t="str">
        <f>IF(ISBLANK('Q 2'!G9),"",IF('Q 2'!G9="&lt;please select&gt;","",'Q 2'!G9))</f>
        <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 xml:space="preserve">  eu.ets@beis.gov.uk</v>
      </c>
    </row>
    <row r="120" spans="1:7" x14ac:dyDescent="0.3">
      <c r="A120" t="s">
        <v>1749</v>
      </c>
      <c r="B120" t="s">
        <v>1750</v>
      </c>
      <c r="C120">
        <v>2</v>
      </c>
      <c r="D120" t="s">
        <v>1447</v>
      </c>
      <c r="E120" t="s">
        <v>1756</v>
      </c>
      <c r="F120" t="s">
        <v>1741</v>
      </c>
      <c r="G120" t="str">
        <f>IF(ISBLANK('Q 2'!H8),"",IF('Q 2'!H8="&lt;please select&gt;","",'Q 2'!H8))</f>
        <v>emissions.trading@daera-ni.gov.uk</v>
      </c>
    </row>
    <row r="121" spans="1:7" x14ac:dyDescent="0.3">
      <c r="A121" t="s">
        <v>1749</v>
      </c>
      <c r="B121" t="s">
        <v>1750</v>
      </c>
      <c r="C121">
        <v>3</v>
      </c>
      <c r="D121" t="s">
        <v>1447</v>
      </c>
      <c r="E121" t="s">
        <v>1756</v>
      </c>
      <c r="F121" t="s">
        <v>1741</v>
      </c>
      <c r="G121" t="str">
        <f>IF(ISBLANK('Q 2'!H9),"",IF('Q 2'!H9="&lt;please select&gt;","",'Q 2'!H9))</f>
        <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 xml:space="preserve">https://www.gov.uk/government/organisations/department-for-business-energy-and-industrial-strategy </v>
      </c>
    </row>
    <row r="142" spans="1:7" x14ac:dyDescent="0.3">
      <c r="A142" t="s">
        <v>1749</v>
      </c>
      <c r="B142" t="s">
        <v>1750</v>
      </c>
      <c r="C142">
        <v>2</v>
      </c>
      <c r="D142" t="s">
        <v>1447</v>
      </c>
      <c r="E142" t="s">
        <v>1757</v>
      </c>
      <c r="F142" t="s">
        <v>1741</v>
      </c>
      <c r="G142" t="str">
        <f>IF(ISBLANK('Q 2'!I8),"",IF('Q 2'!I8="&lt;please select&gt;","",'Q 2'!I8))</f>
        <v xml:space="preserve">  https://www.daera-ni.gov.uk/topics/pollution/emissions-trading</v>
      </c>
    </row>
    <row r="143" spans="1:7" x14ac:dyDescent="0.3">
      <c r="A143" t="s">
        <v>1749</v>
      </c>
      <c r="B143" t="s">
        <v>1750</v>
      </c>
      <c r="C143">
        <v>3</v>
      </c>
      <c r="D143" t="s">
        <v>1447</v>
      </c>
      <c r="E143" t="s">
        <v>1757</v>
      </c>
      <c r="F143" t="s">
        <v>1741</v>
      </c>
      <c r="G143" t="str">
        <f>IF(ISBLANK('Q 2'!I9),"",IF('Q 2'!I9="&lt;please select&gt;","",'Q 2'!I9))</f>
        <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No</v>
      </c>
    </row>
    <row r="164" spans="1:11" x14ac:dyDescent="0.3">
      <c r="A164" t="s">
        <v>1749</v>
      </c>
      <c r="B164" t="s">
        <v>1760</v>
      </c>
      <c r="C164">
        <v>1</v>
      </c>
      <c r="D164" t="s">
        <v>1447</v>
      </c>
      <c r="E164" t="s">
        <v>1761</v>
      </c>
      <c r="F164" t="s">
        <v>1741</v>
      </c>
      <c r="G164" t="str">
        <f>IF(ISBLANK('Q 2'!C39),"",IF('Q 2'!C39="&lt;please select&gt;","",'Q 2'!C39))</f>
        <v>We are using NL and Belguim accredited Verifiers</v>
      </c>
    </row>
    <row r="165" spans="1:11" x14ac:dyDescent="0.3">
      <c r="A165" t="s">
        <v>1749</v>
      </c>
      <c r="B165" t="s">
        <v>1760</v>
      </c>
      <c r="C165">
        <v>1</v>
      </c>
      <c r="D165" t="s">
        <v>1447</v>
      </c>
      <c r="E165" t="s">
        <v>1762</v>
      </c>
      <c r="F165" t="s">
        <v>1741</v>
      </c>
      <c r="G165" t="str">
        <f>IF(ISBLANK('Q 2'!E39),"",IF('Q 2'!E39="&lt;please select&gt;","",'Q 2'!E39))</f>
        <v/>
      </c>
    </row>
    <row r="166" spans="1:11" x14ac:dyDescent="0.3">
      <c r="A166" t="s">
        <v>1749</v>
      </c>
      <c r="B166" t="s">
        <v>1760</v>
      </c>
      <c r="C166">
        <v>1</v>
      </c>
      <c r="D166" t="s">
        <v>1447</v>
      </c>
      <c r="E166" t="s">
        <v>1763</v>
      </c>
      <c r="F166" t="s">
        <v>1741</v>
      </c>
      <c r="G166" t="str">
        <f>IF(ISBLANK('Q 2'!F39),"",IF('Q 2'!F39="&lt;please select&gt;","",'Q 2'!F39))</f>
        <v/>
      </c>
    </row>
    <row r="167" spans="1:11" x14ac:dyDescent="0.3">
      <c r="A167" t="s">
        <v>1749</v>
      </c>
      <c r="B167" t="s">
        <v>1760</v>
      </c>
      <c r="C167">
        <v>1</v>
      </c>
      <c r="D167" t="s">
        <v>1447</v>
      </c>
      <c r="E167" t="s">
        <v>1764</v>
      </c>
      <c r="F167" t="s">
        <v>1741</v>
      </c>
      <c r="G167" t="str">
        <f>IF(ISBLANK('Q 2'!G39),"",IF('Q 2'!G39="&lt;please select&gt;","",'Q 2'!G39))</f>
        <v/>
      </c>
    </row>
    <row r="168" spans="1:11" x14ac:dyDescent="0.3">
      <c r="A168" t="s">
        <v>1749</v>
      </c>
      <c r="B168" t="s">
        <v>1760</v>
      </c>
      <c r="C168">
        <v>1</v>
      </c>
      <c r="D168" t="s">
        <v>1447</v>
      </c>
      <c r="E168" t="s">
        <v>1765</v>
      </c>
      <c r="F168" t="s">
        <v>1741</v>
      </c>
      <c r="G168" t="str">
        <f>IF(ISBLANK('Q 2'!H39),"",IF('Q 2'!H39="&lt;please select&gt;","",'Q 2'!H39))</f>
        <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Environment Agency</v>
      </c>
    </row>
    <row r="176" spans="1:11" x14ac:dyDescent="0.3">
      <c r="A176" t="s">
        <v>1749</v>
      </c>
      <c r="B176" t="s">
        <v>1773</v>
      </c>
      <c r="C176">
        <v>1</v>
      </c>
      <c r="D176" t="s">
        <v>1447</v>
      </c>
      <c r="E176" t="s">
        <v>1775</v>
      </c>
      <c r="F176" t="s">
        <v>1741</v>
      </c>
      <c r="G176" t="str">
        <f>IF(ISBLANK('Q 2'!E49),"",IF('Q 2'!E49="&lt;please select&gt;","",'Q 2'!E49))</f>
        <v>EA</v>
      </c>
    </row>
    <row r="177" spans="1:7" x14ac:dyDescent="0.3">
      <c r="A177" t="s">
        <v>1749</v>
      </c>
      <c r="B177" t="s">
        <v>1773</v>
      </c>
      <c r="C177">
        <v>1</v>
      </c>
      <c r="D177" t="s">
        <v>1447</v>
      </c>
      <c r="E177" t="s">
        <v>1776</v>
      </c>
      <c r="F177" t="s">
        <v>1741</v>
      </c>
      <c r="G177" t="str">
        <f>IF(ISBLANK('Q 2'!F49),"",IF('Q 2'!F49="&lt;please select&gt;","",'Q 2'!F49))</f>
        <v/>
      </c>
    </row>
    <row r="178" spans="1:7" x14ac:dyDescent="0.3">
      <c r="A178" t="s">
        <v>1749</v>
      </c>
      <c r="B178" t="s">
        <v>1773</v>
      </c>
      <c r="C178">
        <v>1</v>
      </c>
      <c r="D178" t="s">
        <v>1447</v>
      </c>
      <c r="E178" t="s">
        <v>1777</v>
      </c>
      <c r="F178" t="s">
        <v>1741</v>
      </c>
      <c r="G178" t="str">
        <f>IF(ISBLANK('Q 2'!G49),"",IF('Q 2'!G49="&lt;please select&gt;","",'Q 2'!G49))</f>
        <v/>
      </c>
    </row>
    <row r="179" spans="1:7" x14ac:dyDescent="0.3">
      <c r="A179" t="s">
        <v>1749</v>
      </c>
      <c r="B179" t="s">
        <v>1773</v>
      </c>
      <c r="C179">
        <v>1</v>
      </c>
      <c r="D179" t="s">
        <v>1447</v>
      </c>
      <c r="E179" t="s">
        <v>1778</v>
      </c>
      <c r="F179" t="s">
        <v>1741</v>
      </c>
      <c r="G179" t="str">
        <f>IF(ISBLANK('Q 2'!H49),"",IF('Q 2'!H49="&lt;please select&gt;","",'Q 2'!H49))</f>
        <v/>
      </c>
    </row>
    <row r="180" spans="1:7" x14ac:dyDescent="0.3">
      <c r="A180" t="s">
        <v>1779</v>
      </c>
      <c r="B180" t="s">
        <v>1780</v>
      </c>
      <c r="C180">
        <v>1</v>
      </c>
      <c r="D180" t="s">
        <v>1447</v>
      </c>
      <c r="E180" t="s">
        <v>1781</v>
      </c>
      <c r="F180" t="s">
        <v>1741</v>
      </c>
      <c r="G180" t="str">
        <f>IF(ISBLANK('Q 2'!F54),"",IF('Q 2'!F54="&lt;please select&gt;","",'Q 2'!F54))</f>
        <v>DAERA</v>
      </c>
    </row>
    <row r="181" spans="1:7" x14ac:dyDescent="0.3">
      <c r="A181" t="s">
        <v>1779</v>
      </c>
      <c r="B181" t="s">
        <v>1780</v>
      </c>
      <c r="C181">
        <v>2</v>
      </c>
      <c r="D181" t="s">
        <v>1447</v>
      </c>
      <c r="E181" t="s">
        <v>1781</v>
      </c>
      <c r="F181" t="s">
        <v>1741</v>
      </c>
      <c r="G181" t="str">
        <f>IF(ISBLANK('Q 2'!F55),"",IF('Q 2'!F55="&lt;please select&gt;","",'Q 2'!F55))</f>
        <v>DAERA</v>
      </c>
    </row>
    <row r="182" spans="1:7" x14ac:dyDescent="0.3">
      <c r="A182" t="s">
        <v>1779</v>
      </c>
      <c r="B182" t="s">
        <v>1780</v>
      </c>
      <c r="C182">
        <v>3</v>
      </c>
      <c r="D182" t="s">
        <v>1447</v>
      </c>
      <c r="E182" t="s">
        <v>1781</v>
      </c>
      <c r="F182" t="s">
        <v>1741</v>
      </c>
      <c r="G182" t="str">
        <f>IF(ISBLANK('Q 2'!F56),"",IF('Q 2'!F56="&lt;please select&gt;","",'Q 2'!F56))</f>
        <v>Not Applicable</v>
      </c>
    </row>
    <row r="183" spans="1:7" x14ac:dyDescent="0.3">
      <c r="A183" t="s">
        <v>1779</v>
      </c>
      <c r="B183" t="s">
        <v>1780</v>
      </c>
      <c r="C183">
        <v>4</v>
      </c>
      <c r="D183" t="s">
        <v>1447</v>
      </c>
      <c r="E183" t="s">
        <v>1781</v>
      </c>
      <c r="F183" t="s">
        <v>1741</v>
      </c>
      <c r="G183" t="str">
        <f>IF(ISBLANK('Q 2'!F57),"",IF('Q 2'!F57="&lt;please select&gt;","",'Q 2'!F57))</f>
        <v>DAERA</v>
      </c>
    </row>
    <row r="184" spans="1:7" x14ac:dyDescent="0.3">
      <c r="A184" t="s">
        <v>1779</v>
      </c>
      <c r="B184" t="s">
        <v>1780</v>
      </c>
      <c r="C184">
        <v>6</v>
      </c>
      <c r="D184" t="s">
        <v>1447</v>
      </c>
      <c r="E184" t="s">
        <v>1781</v>
      </c>
      <c r="F184" t="s">
        <v>1741</v>
      </c>
      <c r="G184" t="str">
        <f>IF(ISBLANK('Q 2'!F59),"",IF('Q 2'!F59="&lt;please select&gt;","",'Q 2'!F59))</f>
        <v>BEIS</v>
      </c>
    </row>
    <row r="185" spans="1:7" x14ac:dyDescent="0.3">
      <c r="A185" t="s">
        <v>1779</v>
      </c>
      <c r="B185" t="s">
        <v>1780</v>
      </c>
      <c r="C185">
        <v>7</v>
      </c>
      <c r="D185" t="s">
        <v>1447</v>
      </c>
      <c r="E185" t="s">
        <v>1781</v>
      </c>
      <c r="F185" t="s">
        <v>1741</v>
      </c>
      <c r="G185" t="str">
        <f>IF(ISBLANK('Q 2'!F60),"",IF('Q 2'!F60="&lt;please select&gt;","",'Q 2'!F60))</f>
        <v>BEIS</v>
      </c>
    </row>
    <row r="186" spans="1:7" x14ac:dyDescent="0.3">
      <c r="A186" t="s">
        <v>1779</v>
      </c>
      <c r="B186" t="s">
        <v>1780</v>
      </c>
      <c r="C186">
        <v>8</v>
      </c>
      <c r="D186" t="s">
        <v>1447</v>
      </c>
      <c r="E186" t="s">
        <v>1781</v>
      </c>
      <c r="F186" t="s">
        <v>1741</v>
      </c>
      <c r="G186" t="str">
        <f>IF(ISBLANK('Q 2'!F61),"",IF('Q 2'!F61="&lt;please select&gt;","",'Q 2'!F61))</f>
        <v>DAERA</v>
      </c>
    </row>
    <row r="187" spans="1:7" x14ac:dyDescent="0.3">
      <c r="A187" t="s">
        <v>1779</v>
      </c>
      <c r="B187" t="s">
        <v>1780</v>
      </c>
      <c r="C187">
        <v>9</v>
      </c>
      <c r="D187" t="s">
        <v>1447</v>
      </c>
      <c r="E187" t="s">
        <v>1781</v>
      </c>
      <c r="F187" t="s">
        <v>1741</v>
      </c>
      <c r="G187" t="str">
        <f>IF(ISBLANK('Q 2'!F62),"",IF('Q 2'!F62="&lt;please select&gt;","",'Q 2'!F62))</f>
        <v>DAERA</v>
      </c>
    </row>
    <row r="188" spans="1:7" x14ac:dyDescent="0.3">
      <c r="A188" t="s">
        <v>1779</v>
      </c>
      <c r="B188" t="s">
        <v>1780</v>
      </c>
      <c r="C188">
        <v>10</v>
      </c>
      <c r="D188" t="s">
        <v>1447</v>
      </c>
      <c r="E188" t="s">
        <v>1781</v>
      </c>
      <c r="F188" t="s">
        <v>1741</v>
      </c>
      <c r="G188" t="str">
        <f>IF(ISBLANK('Q 2'!F63),"",IF('Q 2'!F63="&lt;please select&gt;","",'Q 2'!F63))</f>
        <v>DAERA</v>
      </c>
    </row>
    <row r="189" spans="1:7" x14ac:dyDescent="0.3">
      <c r="A189" t="s">
        <v>1779</v>
      </c>
      <c r="B189" t="s">
        <v>1780</v>
      </c>
      <c r="C189">
        <v>11</v>
      </c>
      <c r="D189" t="s">
        <v>1447</v>
      </c>
      <c r="E189" t="s">
        <v>1781</v>
      </c>
      <c r="F189" t="s">
        <v>1741</v>
      </c>
      <c r="G189" t="str">
        <f>IF(ISBLANK('Q 2'!F64),"",IF('Q 2'!F64="&lt;please select&gt;","",'Q 2'!F64))</f>
        <v>DAERA</v>
      </c>
    </row>
    <row r="190" spans="1:7" x14ac:dyDescent="0.3">
      <c r="A190" t="s">
        <v>1779</v>
      </c>
      <c r="B190" t="s">
        <v>1780</v>
      </c>
      <c r="C190">
        <v>12</v>
      </c>
      <c r="D190" t="s">
        <v>1447</v>
      </c>
      <c r="E190" t="s">
        <v>1781</v>
      </c>
      <c r="F190" t="s">
        <v>1741</v>
      </c>
      <c r="G190" t="str">
        <f>IF(ISBLANK('Q 2'!F65),"",IF('Q 2'!F65="&lt;please select&gt;","",'Q 2'!F65))</f>
        <v>BEIS</v>
      </c>
    </row>
    <row r="191" spans="1:7" x14ac:dyDescent="0.3">
      <c r="A191" t="s">
        <v>1779</v>
      </c>
      <c r="B191" t="s">
        <v>1780</v>
      </c>
      <c r="C191">
        <v>13</v>
      </c>
      <c r="D191" t="s">
        <v>1447</v>
      </c>
      <c r="E191" t="s">
        <v>1781</v>
      </c>
      <c r="F191" t="s">
        <v>1741</v>
      </c>
      <c r="G191" t="str">
        <f>IF(ISBLANK('Q 2'!F66),"",IF('Q 2'!F66="&lt;please select&gt;","",'Q 2'!F66))</f>
        <v>NA</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
      </c>
    </row>
    <row r="197" spans="1:7" x14ac:dyDescent="0.3">
      <c r="A197" t="s">
        <v>1779</v>
      </c>
      <c r="B197" t="s">
        <v>1780</v>
      </c>
      <c r="C197">
        <v>6</v>
      </c>
      <c r="D197" t="s">
        <v>1447</v>
      </c>
      <c r="E197" t="s">
        <v>1782</v>
      </c>
      <c r="F197" t="s">
        <v>1741</v>
      </c>
      <c r="G197" t="str">
        <f>IF(ISBLANK('Q 2'!H59),"",IF('Q 2'!H59="&lt;please select&gt;","",'Q 2'!H59))</f>
        <v/>
      </c>
    </row>
    <row r="198" spans="1:7" x14ac:dyDescent="0.3">
      <c r="A198" t="s">
        <v>1779</v>
      </c>
      <c r="B198" t="s">
        <v>1780</v>
      </c>
      <c r="C198">
        <v>7</v>
      </c>
      <c r="D198" t="s">
        <v>1447</v>
      </c>
      <c r="E198" t="s">
        <v>1782</v>
      </c>
      <c r="F198" t="s">
        <v>1741</v>
      </c>
      <c r="G198" t="str">
        <f>IF(ISBLANK('Q 2'!H60),"",IF('Q 2'!H60="&lt;please select&gt;","",'Q 2'!H60))</f>
        <v/>
      </c>
    </row>
    <row r="199" spans="1:7" x14ac:dyDescent="0.3">
      <c r="A199" t="s">
        <v>1779</v>
      </c>
      <c r="B199" t="s">
        <v>1780</v>
      </c>
      <c r="C199">
        <v>8</v>
      </c>
      <c r="D199" t="s">
        <v>1447</v>
      </c>
      <c r="E199" t="s">
        <v>1782</v>
      </c>
      <c r="F199" t="s">
        <v>1741</v>
      </c>
      <c r="G199" t="str">
        <f>IF(ISBLANK('Q 2'!H61),"",IF('Q 2'!H61="&lt;please select&gt;","",'Q 2'!H61))</f>
        <v/>
      </c>
    </row>
    <row r="200" spans="1:7" x14ac:dyDescent="0.3">
      <c r="A200" t="s">
        <v>1779</v>
      </c>
      <c r="B200" t="s">
        <v>1780</v>
      </c>
      <c r="C200">
        <v>9</v>
      </c>
      <c r="D200" t="s">
        <v>1447</v>
      </c>
      <c r="E200" t="s">
        <v>1782</v>
      </c>
      <c r="F200" t="s">
        <v>1741</v>
      </c>
      <c r="G200" t="str">
        <f>IF(ISBLANK('Q 2'!H62),"",IF('Q 2'!H62="&lt;please select&gt;","",'Q 2'!H62))</f>
        <v/>
      </c>
    </row>
    <row r="201" spans="1:7" x14ac:dyDescent="0.3">
      <c r="A201" t="s">
        <v>1779</v>
      </c>
      <c r="B201" t="s">
        <v>1780</v>
      </c>
      <c r="C201">
        <v>10</v>
      </c>
      <c r="D201" t="s">
        <v>1447</v>
      </c>
      <c r="E201" t="s">
        <v>1782</v>
      </c>
      <c r="F201" t="s">
        <v>1741</v>
      </c>
      <c r="G201" t="str">
        <f>IF(ISBLANK('Q 2'!H63),"",IF('Q 2'!H63="&lt;please select&gt;","",'Q 2'!H63))</f>
        <v/>
      </c>
    </row>
    <row r="202" spans="1:7" x14ac:dyDescent="0.3">
      <c r="A202" t="s">
        <v>1779</v>
      </c>
      <c r="B202" t="s">
        <v>1780</v>
      </c>
      <c r="C202">
        <v>11</v>
      </c>
      <c r="D202" t="s">
        <v>1447</v>
      </c>
      <c r="E202" t="s">
        <v>1782</v>
      </c>
      <c r="F202" t="s">
        <v>1741</v>
      </c>
      <c r="G202" t="str">
        <f>IF(ISBLANK('Q 2'!H64),"",IF('Q 2'!H64="&lt;please select&gt;","",'Q 2'!H64))</f>
        <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Department of Agriculture, Environment and Rural Affairs</v>
      </c>
    </row>
    <row r="212" spans="1:11" x14ac:dyDescent="0.3">
      <c r="A212" t="s">
        <v>1784</v>
      </c>
      <c r="B212" t="s">
        <v>1785</v>
      </c>
      <c r="C212">
        <v>0</v>
      </c>
      <c r="D212" t="s">
        <v>1447</v>
      </c>
      <c r="E212" t="s">
        <v>1787</v>
      </c>
      <c r="F212" t="s">
        <v>1741</v>
      </c>
      <c r="G212" t="str">
        <f>IF(ISBLANK('Q 2'!$G$82),"",IF('Q 2'!$G$82="&lt;please select&gt;","",'Q 2'!$G$82))</f>
        <v>DAERA</v>
      </c>
    </row>
    <row r="213" spans="1:11" x14ac:dyDescent="0.3">
      <c r="A213" t="s">
        <v>1784</v>
      </c>
      <c r="B213" t="s">
        <v>1788</v>
      </c>
      <c r="C213">
        <v>1</v>
      </c>
      <c r="D213" t="s">
        <v>1447</v>
      </c>
      <c r="E213" t="s">
        <v>1789</v>
      </c>
      <c r="F213" t="s">
        <v>1759</v>
      </c>
      <c r="K213" t="str">
        <f>IF(ISBLANK('Q 2'!G86),"",IF('Q 2'!G86="&lt;please select&gt;","",'Q 2'!G86))</f>
        <v>Yes</v>
      </c>
    </row>
    <row r="214" spans="1:11" x14ac:dyDescent="0.3">
      <c r="A214" t="s">
        <v>1784</v>
      </c>
      <c r="B214" t="s">
        <v>1788</v>
      </c>
      <c r="C214">
        <v>2</v>
      </c>
      <c r="D214" t="s">
        <v>1447</v>
      </c>
      <c r="E214" t="s">
        <v>1789</v>
      </c>
      <c r="F214" t="s">
        <v>1759</v>
      </c>
      <c r="K214" t="str">
        <f>IF(ISBLANK('Q 2'!G87),"",IF('Q 2'!G87="&lt;please select&gt;","",'Q 2'!G87))</f>
        <v>Yes</v>
      </c>
    </row>
    <row r="215" spans="1:11" x14ac:dyDescent="0.3">
      <c r="A215" t="s">
        <v>1784</v>
      </c>
      <c r="B215" t="s">
        <v>1788</v>
      </c>
      <c r="C215">
        <v>3</v>
      </c>
      <c r="D215" t="s">
        <v>1447</v>
      </c>
      <c r="E215" t="s">
        <v>1789</v>
      </c>
      <c r="F215" t="s">
        <v>1759</v>
      </c>
      <c r="K215" t="str">
        <f>IF(ISBLANK('Q 2'!G88),"",IF('Q 2'!G88="&lt;please select&gt;","",'Q 2'!G88))</f>
        <v>Yes</v>
      </c>
    </row>
    <row r="216" spans="1:11" x14ac:dyDescent="0.3">
      <c r="A216" t="s">
        <v>1784</v>
      </c>
      <c r="B216" t="s">
        <v>1788</v>
      </c>
      <c r="C216">
        <v>4</v>
      </c>
      <c r="D216" t="s">
        <v>1447</v>
      </c>
      <c r="E216" t="s">
        <v>1789</v>
      </c>
      <c r="F216" t="s">
        <v>1759</v>
      </c>
      <c r="K216" t="str">
        <f>IF(ISBLANK('Q 2'!G89),"",IF('Q 2'!G89="&lt;please select&gt;","",'Q 2'!G89))</f>
        <v>Yes</v>
      </c>
    </row>
    <row r="217" spans="1:11" x14ac:dyDescent="0.3">
      <c r="A217" t="s">
        <v>1784</v>
      </c>
      <c r="B217" t="s">
        <v>1788</v>
      </c>
      <c r="C217">
        <v>5</v>
      </c>
      <c r="D217" t="s">
        <v>1447</v>
      </c>
      <c r="E217" t="s">
        <v>1789</v>
      </c>
      <c r="F217" t="s">
        <v>1759</v>
      </c>
      <c r="K217" t="str">
        <f>IF(ISBLANK('Q 2'!G90),"",IF('Q 2'!G90="&lt;please select&gt;","",'Q 2'!G90))</f>
        <v>Yes</v>
      </c>
    </row>
    <row r="218" spans="1:11" x14ac:dyDescent="0.3">
      <c r="A218" t="s">
        <v>1784</v>
      </c>
      <c r="B218" t="s">
        <v>1788</v>
      </c>
      <c r="C218">
        <v>6</v>
      </c>
      <c r="D218" t="s">
        <v>1447</v>
      </c>
      <c r="E218" t="s">
        <v>1789</v>
      </c>
      <c r="F218" t="s">
        <v>1759</v>
      </c>
      <c r="K218" t="str">
        <f>IF(ISBLANK('Q 2'!G91),"",IF('Q 2'!G91="&lt;please select&gt;","",'Q 2'!G91))</f>
        <v>Yes</v>
      </c>
    </row>
    <row r="219" spans="1:11" x14ac:dyDescent="0.3">
      <c r="A219" t="s">
        <v>1784</v>
      </c>
      <c r="B219" t="s">
        <v>1788</v>
      </c>
      <c r="C219">
        <v>7</v>
      </c>
      <c r="D219" t="s">
        <v>1419</v>
      </c>
      <c r="E219" t="s">
        <v>1783</v>
      </c>
      <c r="F219" t="s">
        <v>1741</v>
      </c>
      <c r="G219" t="str">
        <f>IF(ISBLANK('Q 2'!F92),"",IF('Q 2'!F92="&lt;please select&gt;","",'Q 2'!F92))</f>
        <v>yes</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Training opportunities are organised on an adhoc basis. When one competent authority arranges training, these opportunities are opened to all competent authorities to attend.</v>
      </c>
    </row>
    <row r="228" spans="1:11" x14ac:dyDescent="0.3">
      <c r="A228" t="s">
        <v>1784</v>
      </c>
      <c r="B228" t="s">
        <v>1788</v>
      </c>
      <c r="C228">
        <v>6</v>
      </c>
      <c r="D228" t="s">
        <v>1447</v>
      </c>
      <c r="E228" t="s">
        <v>1790</v>
      </c>
      <c r="F228" t="s">
        <v>1791</v>
      </c>
      <c r="J228" t="str">
        <f>IF(ISBLANK('Q 2'!H91),"",IF('Q 2'!H91="&lt;please select&gt;","",'Q 2'!H91))</f>
        <v>All EU &amp; UK regulators use the same internet based IT system, ETSWAP.</v>
      </c>
    </row>
    <row r="229" spans="1:11" x14ac:dyDescent="0.3">
      <c r="A229" t="s">
        <v>1784</v>
      </c>
      <c r="B229" t="s">
        <v>1788</v>
      </c>
      <c r="C229">
        <v>7</v>
      </c>
      <c r="D229" t="s">
        <v>1419</v>
      </c>
      <c r="E229" t="s">
        <v>1790</v>
      </c>
      <c r="F229" t="s">
        <v>1791</v>
      </c>
      <c r="J229" t="str">
        <f>IF(ISBLANK('Q 2'!H92),"",IF('Q 2'!H92="&lt;please select&gt;","",'Q 2'!H92))</f>
        <v>Regular meetings with EU &amp; UK regulators, DAERA and BEIS, including training.</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Yes</v>
      </c>
    </row>
    <row r="234" spans="1:11" x14ac:dyDescent="0.3">
      <c r="A234" t="s">
        <v>1792</v>
      </c>
      <c r="B234" t="s">
        <v>1793</v>
      </c>
      <c r="C234">
        <v>2</v>
      </c>
      <c r="D234" t="s">
        <v>1447</v>
      </c>
      <c r="E234" t="s">
        <v>1794</v>
      </c>
      <c r="F234" t="s">
        <v>1759</v>
      </c>
      <c r="K234" t="str">
        <f>IF(ISBLANK('Q 2'!G101),"",IF('Q 2'!G101="&lt;please select&gt;","",'Q 2'!G101))</f>
        <v>Yes</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we are in the process of setting up meetings with ROI authorities</v>
      </c>
    </row>
    <row r="241" spans="1:11" x14ac:dyDescent="0.3">
      <c r="A241" t="s">
        <v>1792</v>
      </c>
      <c r="B241" t="s">
        <v>1793</v>
      </c>
      <c r="C241">
        <v>2</v>
      </c>
      <c r="D241" t="s">
        <v>1447</v>
      </c>
      <c r="E241" t="s">
        <v>1795</v>
      </c>
      <c r="F241" t="s">
        <v>1791</v>
      </c>
      <c r="J241" t="str">
        <f>IF(ISBLANK('Q 2'!H101),"",IF('Q 2'!H101="&lt;please select&gt;","",'Q 2'!H101))</f>
        <v>planning annual meeting</v>
      </c>
    </row>
    <row r="242" spans="1:11" x14ac:dyDescent="0.3">
      <c r="A242" t="s">
        <v>1792</v>
      </c>
      <c r="B242" t="s">
        <v>1793</v>
      </c>
      <c r="C242">
        <v>3</v>
      </c>
      <c r="D242" t="s">
        <v>1447</v>
      </c>
      <c r="E242" t="s">
        <v>1795</v>
      </c>
      <c r="F242" t="s">
        <v>1791</v>
      </c>
      <c r="J242" t="str">
        <f>IF(ISBLANK('Q 2'!H102),"",IF('Q 2'!H102="&lt;please select&gt;","",'Q 2'!H102))</f>
        <v>It is possible but not done in practice</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5</v>
      </c>
    </row>
    <row r="248" spans="1:11" x14ac:dyDescent="0.3">
      <c r="A248" t="s">
        <v>1796</v>
      </c>
      <c r="B248" t="s">
        <v>1797</v>
      </c>
      <c r="C248">
        <v>2</v>
      </c>
      <c r="D248" t="s">
        <v>1447</v>
      </c>
      <c r="E248" t="s">
        <v>1798</v>
      </c>
      <c r="F248" t="s">
        <v>1748</v>
      </c>
      <c r="H248" s="165" t="str">
        <f>IF(ISBLANK('Q 3'!G8),"",IF('Q 3'!G8="&lt;please select&gt;","",'Q 3'!G8))</f>
        <v>2</v>
      </c>
    </row>
    <row r="249" spans="1:11" x14ac:dyDescent="0.3">
      <c r="A249" t="s">
        <v>1796</v>
      </c>
      <c r="B249" t="s">
        <v>1797</v>
      </c>
      <c r="C249">
        <v>3</v>
      </c>
      <c r="D249" t="s">
        <v>1447</v>
      </c>
      <c r="E249" t="s">
        <v>1798</v>
      </c>
      <c r="F249" t="s">
        <v>1748</v>
      </c>
      <c r="H249" s="165" t="str">
        <f>IF(ISBLANK('Q 3'!G9),"",IF('Q 3'!G9="&lt;please select&gt;","",'Q 3'!G9))</f>
        <v>0</v>
      </c>
    </row>
    <row r="250" spans="1:11" x14ac:dyDescent="0.3">
      <c r="A250" t="s">
        <v>1796</v>
      </c>
      <c r="B250" t="s">
        <v>1797</v>
      </c>
      <c r="C250">
        <v>4</v>
      </c>
      <c r="D250" t="s">
        <v>1447</v>
      </c>
      <c r="E250" t="s">
        <v>1798</v>
      </c>
      <c r="F250" t="s">
        <v>1748</v>
      </c>
      <c r="H250" s="165" t="str">
        <f>IF(ISBLANK('Q 3'!G10),"",IF('Q 3'!G10="&lt;please select&gt;","",'Q 3'!G10))</f>
        <v>3</v>
      </c>
    </row>
    <row r="251" spans="1:11" x14ac:dyDescent="0.3">
      <c r="A251" t="s">
        <v>1796</v>
      </c>
      <c r="B251" t="s">
        <v>1797</v>
      </c>
      <c r="C251">
        <v>5</v>
      </c>
      <c r="D251" t="s">
        <v>1447</v>
      </c>
      <c r="E251" t="s">
        <v>1798</v>
      </c>
      <c r="F251" t="s">
        <v>1748</v>
      </c>
      <c r="H251" s="165" t="str">
        <f>IF(ISBLANK('Q 3'!G11),"",IF('Q 3'!G11="&lt;please select&gt;","",'Q 3'!G11))</f>
        <v>2</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No</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No</v>
      </c>
    </row>
    <row r="257" spans="1:11" x14ac:dyDescent="0.3">
      <c r="A257" t="s">
        <v>1796</v>
      </c>
      <c r="B257" t="s">
        <v>1799</v>
      </c>
      <c r="C257">
        <v>6</v>
      </c>
      <c r="D257" t="s">
        <v>1447</v>
      </c>
      <c r="E257" t="s">
        <v>1800</v>
      </c>
      <c r="F257" t="s">
        <v>1759</v>
      </c>
      <c r="K257" t="str">
        <f>IF(ISBLANK('Q 3'!H20),"",IF('Q 3'!H20="&lt;please select&gt;","",'Q 3'!H20))</f>
        <v>No</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No</v>
      </c>
    </row>
    <row r="262" spans="1:11" x14ac:dyDescent="0.3">
      <c r="A262" t="s">
        <v>1796</v>
      </c>
      <c r="B262" t="s">
        <v>1799</v>
      </c>
      <c r="C262">
        <v>11</v>
      </c>
      <c r="D262" t="s">
        <v>1447</v>
      </c>
      <c r="E262" t="s">
        <v>1800</v>
      </c>
      <c r="F262" t="s">
        <v>1759</v>
      </c>
      <c r="K262" t="str">
        <f>IF(ISBLANK('Q 3'!H25),"",IF('Q 3'!H25="&lt;please select&gt;","",'Q 3'!H25))</f>
        <v>No</v>
      </c>
    </row>
    <row r="263" spans="1:11" x14ac:dyDescent="0.3">
      <c r="A263" t="s">
        <v>1796</v>
      </c>
      <c r="B263" t="s">
        <v>1799</v>
      </c>
      <c r="C263">
        <v>12</v>
      </c>
      <c r="D263" t="s">
        <v>1447</v>
      </c>
      <c r="E263" t="s">
        <v>1800</v>
      </c>
      <c r="F263" t="s">
        <v>1759</v>
      </c>
      <c r="K263" t="str">
        <f>IF(ISBLANK('Q 3'!H26),"",IF('Q 3'!H26="&lt;please select&gt;","",'Q 3'!H26))</f>
        <v>No</v>
      </c>
    </row>
    <row r="264" spans="1:11" x14ac:dyDescent="0.3">
      <c r="A264" t="s">
        <v>1796</v>
      </c>
      <c r="B264" t="s">
        <v>1799</v>
      </c>
      <c r="C264">
        <v>13</v>
      </c>
      <c r="D264" t="s">
        <v>1447</v>
      </c>
      <c r="E264" t="s">
        <v>1800</v>
      </c>
      <c r="F264" t="s">
        <v>1759</v>
      </c>
      <c r="K264" t="str">
        <f>IF(ISBLANK('Q 3'!H27),"",IF('Q 3'!H27="&lt;please select&gt;","",'Q 3'!H27))</f>
        <v>No</v>
      </c>
    </row>
    <row r="265" spans="1:11" x14ac:dyDescent="0.3">
      <c r="A265" t="s">
        <v>1796</v>
      </c>
      <c r="B265" t="s">
        <v>1799</v>
      </c>
      <c r="C265">
        <v>14</v>
      </c>
      <c r="D265" t="s">
        <v>1447</v>
      </c>
      <c r="E265" t="s">
        <v>1800</v>
      </c>
      <c r="F265" t="s">
        <v>1759</v>
      </c>
      <c r="K265" t="str">
        <f>IF(ISBLANK('Q 3'!H28),"",IF('Q 3'!H28="&lt;please select&gt;","",'Q 3'!H28))</f>
        <v>No</v>
      </c>
    </row>
    <row r="266" spans="1:11" x14ac:dyDescent="0.3">
      <c r="A266" t="s">
        <v>1796</v>
      </c>
      <c r="B266" t="s">
        <v>1799</v>
      </c>
      <c r="C266">
        <v>15</v>
      </c>
      <c r="D266" t="s">
        <v>1447</v>
      </c>
      <c r="E266" t="s">
        <v>1800</v>
      </c>
      <c r="F266" t="s">
        <v>1759</v>
      </c>
      <c r="K266" t="str">
        <f>IF(ISBLANK('Q 3'!H29),"",IF('Q 3'!H29="&lt;please select&gt;","",'Q 3'!H29))</f>
        <v>No</v>
      </c>
    </row>
    <row r="267" spans="1:11" x14ac:dyDescent="0.3">
      <c r="A267" t="s">
        <v>1796</v>
      </c>
      <c r="B267" t="s">
        <v>1799</v>
      </c>
      <c r="C267">
        <v>16</v>
      </c>
      <c r="D267" t="s">
        <v>1447</v>
      </c>
      <c r="E267" t="s">
        <v>1800</v>
      </c>
      <c r="F267" t="s">
        <v>1759</v>
      </c>
      <c r="K267" t="str">
        <f>IF(ISBLANK('Q 3'!H30),"",IF('Q 3'!H30="&lt;please select&gt;","",'Q 3'!H30))</f>
        <v>No</v>
      </c>
    </row>
    <row r="268" spans="1:11" x14ac:dyDescent="0.3">
      <c r="A268" t="s">
        <v>1796</v>
      </c>
      <c r="B268" t="s">
        <v>1799</v>
      </c>
      <c r="C268">
        <v>17</v>
      </c>
      <c r="D268" t="s">
        <v>1447</v>
      </c>
      <c r="E268" t="s">
        <v>1800</v>
      </c>
      <c r="F268" t="s">
        <v>1759</v>
      </c>
      <c r="K268" t="str">
        <f>IF(ISBLANK('Q 3'!H31),"",IF('Q 3'!H31="&lt;please select&gt;","",'Q 3'!H31))</f>
        <v>No</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No</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No</v>
      </c>
    </row>
    <row r="275" spans="1:11" x14ac:dyDescent="0.3">
      <c r="A275" t="s">
        <v>1796</v>
      </c>
      <c r="B275" t="s">
        <v>1799</v>
      </c>
      <c r="C275">
        <v>24</v>
      </c>
      <c r="D275" t="s">
        <v>1447</v>
      </c>
      <c r="E275" t="s">
        <v>1800</v>
      </c>
      <c r="F275" t="s">
        <v>1759</v>
      </c>
      <c r="K275" t="str">
        <f>IF(ISBLANK('Q 3'!H38),"",IF('Q 3'!H38="&lt;please select&gt;","",'Q 3'!H38))</f>
        <v>No</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0</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0</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0</v>
      </c>
    </row>
    <row r="297" spans="1:11" x14ac:dyDescent="0.3">
      <c r="A297" t="s">
        <v>1811</v>
      </c>
      <c r="B297" t="s">
        <v>1812</v>
      </c>
      <c r="C297">
        <v>3</v>
      </c>
      <c r="D297" t="s">
        <v>1447</v>
      </c>
      <c r="E297" t="s">
        <v>1814</v>
      </c>
      <c r="F297" t="s">
        <v>1748</v>
      </c>
      <c r="H297" s="165" t="str">
        <f>IF(ISBLANK('Q 3'!H66),"",IF('Q 3'!H66="&lt;please select&gt;","",'Q 3'!H66))</f>
        <v>0</v>
      </c>
    </row>
    <row r="298" spans="1:11" x14ac:dyDescent="0.3">
      <c r="A298" t="s">
        <v>1811</v>
      </c>
      <c r="B298" t="s">
        <v>1812</v>
      </c>
      <c r="C298">
        <v>1</v>
      </c>
      <c r="D298" t="s">
        <v>1447</v>
      </c>
      <c r="E298" t="s">
        <v>1815</v>
      </c>
      <c r="F298" t="s">
        <v>1748</v>
      </c>
      <c r="H298" s="165" t="str">
        <f>IF(ISBLANK('Q 3'!I64),"",IF('Q 3'!I64="&lt;please select&gt;","",'Q 3'!I64))</f>
        <v>0</v>
      </c>
    </row>
    <row r="299" spans="1:11" x14ac:dyDescent="0.3">
      <c r="A299" t="s">
        <v>1811</v>
      </c>
      <c r="B299" t="s">
        <v>1812</v>
      </c>
      <c r="C299">
        <v>2</v>
      </c>
      <c r="D299" t="s">
        <v>1447</v>
      </c>
      <c r="E299" t="s">
        <v>1815</v>
      </c>
      <c r="F299" t="s">
        <v>1748</v>
      </c>
      <c r="H299" s="165" t="str">
        <f>IF(ISBLANK('Q 3'!I65),"",IF('Q 3'!I65="&lt;please select&gt;","",'Q 3'!I65))</f>
        <v>0</v>
      </c>
    </row>
    <row r="300" spans="1:11" x14ac:dyDescent="0.3">
      <c r="A300" t="s">
        <v>1811</v>
      </c>
      <c r="B300" t="s">
        <v>1812</v>
      </c>
      <c r="C300">
        <v>3</v>
      </c>
      <c r="D300" t="s">
        <v>1447</v>
      </c>
      <c r="E300" t="s">
        <v>1815</v>
      </c>
      <c r="F300" t="s">
        <v>1748</v>
      </c>
      <c r="H300" s="165" t="str">
        <f>IF(ISBLANK('Q 3'!I66),"",IF('Q 3'!I66="&lt;please select&gt;","",'Q 3'!I66))</f>
        <v>0</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Yes</v>
      </c>
    </row>
    <row r="304" spans="1:11" x14ac:dyDescent="0.3">
      <c r="A304" t="s">
        <v>1816</v>
      </c>
      <c r="B304" t="s">
        <v>1817</v>
      </c>
      <c r="C304">
        <v>4</v>
      </c>
      <c r="D304" t="s">
        <v>1447</v>
      </c>
      <c r="E304" t="s">
        <v>1818</v>
      </c>
      <c r="F304" t="s">
        <v>1737</v>
      </c>
      <c r="K304" t="str">
        <f>IF(ISBLANK('Q 4'!$G11),"",IF('Q 4'!$G11="&lt;please select&gt;","",'Q 4'!$G11))</f>
        <v>Yes</v>
      </c>
    </row>
    <row r="305" spans="1:11" x14ac:dyDescent="0.3">
      <c r="A305" t="s">
        <v>1816</v>
      </c>
      <c r="B305" t="s">
        <v>1817</v>
      </c>
      <c r="C305">
        <v>5</v>
      </c>
      <c r="D305" t="s">
        <v>1447</v>
      </c>
      <c r="E305" t="s">
        <v>1818</v>
      </c>
      <c r="F305" t="s">
        <v>1737</v>
      </c>
      <c r="K305" t="str">
        <f>IF(ISBLANK('Q 4'!$G12),"",IF('Q 4'!$G12="&lt;please select&gt;","",'Q 4'!$G12))</f>
        <v>Yes</v>
      </c>
    </row>
    <row r="306" spans="1:11" x14ac:dyDescent="0.3">
      <c r="A306" t="s">
        <v>1816</v>
      </c>
      <c r="B306" t="s">
        <v>1817</v>
      </c>
      <c r="C306">
        <v>6</v>
      </c>
      <c r="D306" t="s">
        <v>1447</v>
      </c>
      <c r="E306" t="s">
        <v>1818</v>
      </c>
      <c r="F306" t="s">
        <v>1737</v>
      </c>
      <c r="K306" t="str">
        <f>IF(ISBLANK('Q 4'!$G13),"",IF('Q 4'!$G13="&lt;please select&gt;","",'Q 4'!$G13))</f>
        <v>Yes</v>
      </c>
    </row>
    <row r="307" spans="1:11" x14ac:dyDescent="0.3">
      <c r="A307" t="s">
        <v>1816</v>
      </c>
      <c r="B307" t="s">
        <v>1817</v>
      </c>
      <c r="C307">
        <v>7</v>
      </c>
      <c r="D307" t="s">
        <v>1447</v>
      </c>
      <c r="E307" t="s">
        <v>1818</v>
      </c>
      <c r="F307" t="s">
        <v>1737</v>
      </c>
      <c r="K307" t="str">
        <f>IF(ISBLANK('Q 4'!$G14),"",IF('Q 4'!$G14="&lt;please select&gt;","",'Q 4'!$G14))</f>
        <v>Yes</v>
      </c>
    </row>
    <row r="308" spans="1:11" x14ac:dyDescent="0.3">
      <c r="A308" t="s">
        <v>1816</v>
      </c>
      <c r="B308" t="s">
        <v>1817</v>
      </c>
      <c r="C308">
        <v>8</v>
      </c>
      <c r="D308" t="s">
        <v>1447</v>
      </c>
      <c r="E308" t="s">
        <v>1818</v>
      </c>
      <c r="F308" t="s">
        <v>1737</v>
      </c>
      <c r="K308" t="str">
        <f>IF(ISBLANK('Q 4'!$G15),"",IF('Q 4'!$G15="&lt;please select&gt;","",'Q 4'!$G15))</f>
        <v>Yes</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ETS and IED inspectors are in the same Unit / same person</v>
      </c>
    </row>
    <row r="317" spans="1:11" x14ac:dyDescent="0.3">
      <c r="A317" t="s">
        <v>1820</v>
      </c>
      <c r="B317" t="s">
        <v>1821</v>
      </c>
      <c r="C317">
        <v>1</v>
      </c>
      <c r="D317" t="s">
        <v>1447</v>
      </c>
      <c r="E317" t="s">
        <v>1822</v>
      </c>
      <c r="F317" t="s">
        <v>1741</v>
      </c>
      <c r="G317" t="str">
        <f>IF(ISBLANK('Q 4'!G19),"",IF('Q 4'!G19="&lt;please select&gt;","",'Q 4'!G19))</f>
        <v>Under regulation 14 of the Greenhouse Gas Emissions Trading Scheme Regulations 2012 a permit can be revoked in any circumstance, and in particular in case an operator fails to pay permit fees. Under the same provision a permit must also be revoked when an operator fails to surrender the permit following a cease in operation.</v>
      </c>
    </row>
    <row r="318" spans="1:11" x14ac:dyDescent="0.3">
      <c r="A318" t="s">
        <v>1820</v>
      </c>
      <c r="B318" t="s">
        <v>1821</v>
      </c>
      <c r="C318">
        <v>2</v>
      </c>
      <c r="D318" t="s">
        <v>1447</v>
      </c>
      <c r="E318" t="s">
        <v>1822</v>
      </c>
      <c r="F318" t="s">
        <v>1741</v>
      </c>
      <c r="G318" t="str">
        <f>IF(ISBLANK('Q 4'!G20),"",IF('Q 4'!G20="&lt;please select&gt;","",'Q 4'!G20))</f>
        <v>Permits do not expire, but must be reviewed every five years.</v>
      </c>
    </row>
    <row r="319" spans="1:11" x14ac:dyDescent="0.3">
      <c r="A319" t="s">
        <v>1820</v>
      </c>
      <c r="B319" t="s">
        <v>1821</v>
      </c>
      <c r="C319">
        <v>3</v>
      </c>
      <c r="D319" t="s">
        <v>1447</v>
      </c>
      <c r="E319" t="s">
        <v>1822</v>
      </c>
      <c r="F319" t="s">
        <v>1741</v>
      </c>
      <c r="G319" t="str">
        <f>IF(ISBLANK('Q 4'!G21),"",IF('Q 4'!G21="&lt;please select&gt;","",'Q 4'!G21))</f>
        <v>Under regulation 11(2)(c) of the Greenhouse Gas Emissions Trading Scheme Regulations 2012 the permit can be updated in any case of increase in capacity regularly notified to the Competent Authority by 31 December.</v>
      </c>
    </row>
    <row r="320" spans="1:11" x14ac:dyDescent="0.3">
      <c r="A320" t="s">
        <v>1820</v>
      </c>
      <c r="B320" t="s">
        <v>1821</v>
      </c>
      <c r="C320">
        <v>4</v>
      </c>
      <c r="D320" t="s">
        <v>1447</v>
      </c>
      <c r="E320" t="s">
        <v>1822</v>
      </c>
      <c r="F320" t="s">
        <v>1741</v>
      </c>
      <c r="G320" t="str">
        <f>IF(ISBLANK('Q 4'!G22),"",IF('Q 4'!G22="&lt;please select&gt;","",'Q 4'!G22))</f>
        <v>Under regulation 11(2)(c) of the Greenhouse Gas Emissions Trading Scheme Regulations 2012 the permit can be updated in any case of decrease in capacity regularly notified to the Competent Authority by 31 December.</v>
      </c>
    </row>
    <row r="321" spans="1:11" x14ac:dyDescent="0.3">
      <c r="A321" t="s">
        <v>1820</v>
      </c>
      <c r="B321" t="s">
        <v>1821</v>
      </c>
      <c r="C321">
        <v>5</v>
      </c>
      <c r="D321" t="s">
        <v>1447</v>
      </c>
      <c r="E321" t="s">
        <v>1822</v>
      </c>
      <c r="F321" t="s">
        <v>1741</v>
      </c>
      <c r="G321" t="str">
        <f>IF(ISBLANK('Q 4'!G23),"",IF('Q 4'!G23="&lt;please select&gt;","",'Q 4'!G23))</f>
        <v>Under regulation 11(2)(b) of the Greenhouse Gas Emissions Trading Scheme Regulations 2012 a permit can be updated in all cases of changes to the monitoring plan set out in Article 69 of Commission Regulation (EU) No 601/2012.</v>
      </c>
    </row>
    <row r="322" spans="1:11" x14ac:dyDescent="0.3">
      <c r="A322" t="s">
        <v>1820</v>
      </c>
      <c r="B322" t="s">
        <v>1821</v>
      </c>
      <c r="C322">
        <v>6</v>
      </c>
      <c r="D322" t="s">
        <v>1447</v>
      </c>
      <c r="E322" t="s">
        <v>1822</v>
      </c>
      <c r="F322" t="s">
        <v>1741</v>
      </c>
      <c r="G322" t="str">
        <f>IF(ISBLANK('Q 4'!G24),"",IF('Q 4'!G24="&lt;please select&gt;","",'Q 4'!G24))</f>
        <v/>
      </c>
    </row>
    <row r="323" spans="1:11" x14ac:dyDescent="0.3">
      <c r="A323" t="s">
        <v>1820</v>
      </c>
      <c r="B323" t="s">
        <v>1821</v>
      </c>
      <c r="C323">
        <v>7</v>
      </c>
      <c r="D323" t="s">
        <v>1447</v>
      </c>
      <c r="E323" t="s">
        <v>1822</v>
      </c>
      <c r="F323" t="s">
        <v>1741</v>
      </c>
      <c r="G323" t="str">
        <f>IF(ISBLANK('Q 4'!G25),"",IF('Q 4'!G25="&lt;please select&gt;","",'Q 4'!G25))</f>
        <v>Under regulation 11(3)(a) of the Greenhouse Gas Emissions Trading Scheme Regulations 2012 the permit can be updated anytime the operator is allowed to request such a change on the basis of a specific provision of the permit itself.</v>
      </c>
    </row>
    <row r="324" spans="1:11" x14ac:dyDescent="0.3">
      <c r="A324" t="s">
        <v>1820</v>
      </c>
      <c r="B324" t="s">
        <v>1821</v>
      </c>
      <c r="C324">
        <v>8</v>
      </c>
      <c r="D324" t="s">
        <v>1447</v>
      </c>
      <c r="E324" t="s">
        <v>1822</v>
      </c>
      <c r="F324" t="s">
        <v>1741</v>
      </c>
      <c r="G324" t="str">
        <f>IF(ISBLANK('Q 4'!G26),"",IF('Q 4'!G26="&lt;please select&gt;","",'Q 4'!G26))</f>
        <v>Under regulation 11(6) of the Greenhouse Gas Emissions Trading Scheme Regulations 2012 a permit can be consolidated permit after any permit update, or when the same operator holds more permits for the same sites.</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0</v>
      </c>
    </row>
    <row r="327" spans="1:11" x14ac:dyDescent="0.3">
      <c r="A327" t="s">
        <v>1824</v>
      </c>
      <c r="B327" t="s">
        <v>1825</v>
      </c>
      <c r="C327">
        <v>0</v>
      </c>
      <c r="D327" t="s">
        <v>1447</v>
      </c>
      <c r="E327" t="s">
        <v>1825</v>
      </c>
      <c r="F327" t="s">
        <v>1759</v>
      </c>
      <c r="K327" t="str">
        <f>IF(ISBLANK('Q 5'!$I$6),"",IF('Q 5'!$I$6="&lt;please select&gt;","",'Q 5'!$I$6))</f>
        <v>No</v>
      </c>
    </row>
    <row r="328" spans="1:11" x14ac:dyDescent="0.3">
      <c r="A328" t="s">
        <v>1824</v>
      </c>
      <c r="B328" t="s">
        <v>1826</v>
      </c>
      <c r="C328">
        <v>0</v>
      </c>
      <c r="D328" t="s">
        <v>1447</v>
      </c>
      <c r="E328" t="s">
        <v>1826</v>
      </c>
      <c r="F328" t="s">
        <v>1741</v>
      </c>
      <c r="G328" t="str">
        <f>IF(ISBLANK('Q 5'!$C$8),"",IF('Q 5'!$C$8="&lt;please select&gt;","",'Q 5'!$C$8))</f>
        <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Yes</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Yes</v>
      </c>
    </row>
    <row r="336" spans="1:11" x14ac:dyDescent="0.3">
      <c r="A336" t="s">
        <v>1829</v>
      </c>
      <c r="B336" t="s">
        <v>1830</v>
      </c>
      <c r="C336">
        <v>6</v>
      </c>
      <c r="D336" t="s">
        <v>1447</v>
      </c>
      <c r="E336" t="s">
        <v>1831</v>
      </c>
      <c r="F336" t="s">
        <v>1759</v>
      </c>
      <c r="K336" t="str">
        <f>IF(ISBLANK('Q 5'!G21),"",IF('Q 5'!G21="&lt;please select&gt;","",'Q 5'!G21))</f>
        <v>Yes</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WE use the same system for EU and UK ETS management so collect all relevant data for UK use</v>
      </c>
    </row>
    <row r="339" spans="1:11" x14ac:dyDescent="0.3">
      <c r="A339" t="s">
        <v>1829</v>
      </c>
      <c r="B339" t="s">
        <v>1830</v>
      </c>
      <c r="C339">
        <v>2</v>
      </c>
      <c r="D339" t="s">
        <v>1447</v>
      </c>
      <c r="E339" t="s">
        <v>1832</v>
      </c>
      <c r="F339" t="s">
        <v>1791</v>
      </c>
      <c r="J339" t="str">
        <f>IF(ISBLANK('Q 5'!H17),"",IF('Q 5'!H17="&lt;please select&gt;","",'Q 5'!H17))</f>
        <v>WE use the same system for EU and UK ETS management so collect all relevant data for UK use</v>
      </c>
    </row>
    <row r="340" spans="1:11" x14ac:dyDescent="0.3">
      <c r="A340" t="s">
        <v>1829</v>
      </c>
      <c r="B340" t="s">
        <v>1830</v>
      </c>
      <c r="C340">
        <v>3</v>
      </c>
      <c r="D340" t="s">
        <v>1447</v>
      </c>
      <c r="E340" t="s">
        <v>1832</v>
      </c>
      <c r="F340" t="s">
        <v>1791</v>
      </c>
      <c r="J340" t="str">
        <f>IF(ISBLANK('Q 5'!H18),"",IF('Q 5'!H18="&lt;please select&gt;","",'Q 5'!H18))</f>
        <v>WE use the same system for EU and UK ETS management so collect all relevant data for UK use</v>
      </c>
    </row>
    <row r="341" spans="1:11" x14ac:dyDescent="0.3">
      <c r="A341" t="s">
        <v>1829</v>
      </c>
      <c r="B341" t="s">
        <v>1830</v>
      </c>
      <c r="C341">
        <v>4</v>
      </c>
      <c r="D341" t="s">
        <v>1447</v>
      </c>
      <c r="E341" t="s">
        <v>1832</v>
      </c>
      <c r="F341" t="s">
        <v>1791</v>
      </c>
      <c r="J341" t="str">
        <f>IF(ISBLANK('Q 5'!H19),"",IF('Q 5'!H19="&lt;please select&gt;","",'Q 5'!H19))</f>
        <v>WE use the same system for EU and UK ETS management so collect all relevant data for UK use</v>
      </c>
    </row>
    <row r="342" spans="1:11" x14ac:dyDescent="0.3">
      <c r="A342" t="s">
        <v>1829</v>
      </c>
      <c r="B342" t="s">
        <v>1830</v>
      </c>
      <c r="C342">
        <v>5</v>
      </c>
      <c r="D342" t="s">
        <v>1447</v>
      </c>
      <c r="E342" t="s">
        <v>1832</v>
      </c>
      <c r="F342" t="s">
        <v>1791</v>
      </c>
      <c r="J342" t="str">
        <f>IF(ISBLANK('Q 5'!H20),"",IF('Q 5'!H20="&lt;please select&gt;","",'Q 5'!H20))</f>
        <v>WE use the same system for EU and UK ETS management so collect all relevant data for UK use</v>
      </c>
    </row>
    <row r="343" spans="1:11" x14ac:dyDescent="0.3">
      <c r="A343" t="s">
        <v>1829</v>
      </c>
      <c r="B343" t="s">
        <v>1830</v>
      </c>
      <c r="C343">
        <v>6</v>
      </c>
      <c r="D343" t="s">
        <v>1447</v>
      </c>
      <c r="E343" t="s">
        <v>1832</v>
      </c>
      <c r="F343" t="s">
        <v>1791</v>
      </c>
      <c r="J343" t="str">
        <f>IF(ISBLANK('Q 5'!H21),"",IF('Q 5'!H21="&lt;please select&gt;","",'Q 5'!H21))</f>
        <v>WE use the same system for EU and UK ETS management so collect all relevant data for UK use</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No</v>
      </c>
    </row>
    <row r="346" spans="1:11" x14ac:dyDescent="0.3">
      <c r="A346" t="s">
        <v>1833</v>
      </c>
      <c r="B346" t="s">
        <v>1835</v>
      </c>
      <c r="C346">
        <v>1</v>
      </c>
      <c r="D346" t="s">
        <v>1447</v>
      </c>
      <c r="E346" t="s">
        <v>1836</v>
      </c>
      <c r="F346" t="s">
        <v>1737</v>
      </c>
      <c r="K346" t="str">
        <f>IF(ISBLANK('Q 5'!F28),"",IF('Q 5'!F28="&lt;please select&gt;","",'Q 5'!F28))</f>
        <v>Member State specific template</v>
      </c>
    </row>
    <row r="347" spans="1:11" x14ac:dyDescent="0.3">
      <c r="A347" t="s">
        <v>1833</v>
      </c>
      <c r="B347" t="s">
        <v>1835</v>
      </c>
      <c r="C347">
        <v>2</v>
      </c>
      <c r="D347" t="s">
        <v>1447</v>
      </c>
      <c r="E347" t="s">
        <v>1836</v>
      </c>
      <c r="F347" t="s">
        <v>1737</v>
      </c>
      <c r="K347" t="str">
        <f>IF(ISBLANK('Q 5'!F29),"",IF('Q 5'!F29="&lt;please select&gt;","",'Q 5'!F29))</f>
        <v>Member State specific template</v>
      </c>
    </row>
    <row r="348" spans="1:11" x14ac:dyDescent="0.3">
      <c r="A348" t="s">
        <v>1833</v>
      </c>
      <c r="B348" t="s">
        <v>1835</v>
      </c>
      <c r="C348">
        <v>3</v>
      </c>
      <c r="D348" t="s">
        <v>1447</v>
      </c>
      <c r="E348" t="s">
        <v>1836</v>
      </c>
      <c r="F348" t="s">
        <v>1737</v>
      </c>
      <c r="K348" t="str">
        <f>IF(ISBLANK('Q 5'!F30),"",IF('Q 5'!F30="&lt;please select&gt;","",'Q 5'!F30))</f>
        <v>Member State specific template</v>
      </c>
    </row>
    <row r="349" spans="1:11" x14ac:dyDescent="0.3">
      <c r="A349" t="s">
        <v>1833</v>
      </c>
      <c r="B349" t="s">
        <v>1835</v>
      </c>
      <c r="C349">
        <v>4</v>
      </c>
      <c r="D349" t="s">
        <v>1447</v>
      </c>
      <c r="E349" t="s">
        <v>1836</v>
      </c>
      <c r="F349" t="s">
        <v>1737</v>
      </c>
      <c r="K349" t="str">
        <f>IF(ISBLANK('Q 5'!F31),"",IF('Q 5'!F31="&lt;please select&gt;","",'Q 5'!F31))</f>
        <v>Member State specific template</v>
      </c>
    </row>
    <row r="350" spans="1:11" x14ac:dyDescent="0.3">
      <c r="A350" t="s">
        <v>1833</v>
      </c>
      <c r="B350" t="s">
        <v>1835</v>
      </c>
      <c r="C350">
        <v>1</v>
      </c>
      <c r="D350" t="s">
        <v>1447</v>
      </c>
      <c r="E350" t="s">
        <v>1837</v>
      </c>
      <c r="F350" t="s">
        <v>1741</v>
      </c>
      <c r="G350" t="str">
        <f>IF(ISBLANK('Q 5'!H28),"",IF('Q 5'!H28="&lt;please select&gt;","",'Q 5'!H28))</f>
        <v>Web based form within the ETSWAP application.
 We don’t ask for additional information beyond that
 requested in the Commission’s template. Additional
 elements are included purely for the functionality 
within the web form.</v>
      </c>
    </row>
    <row r="351" spans="1:11" x14ac:dyDescent="0.3">
      <c r="A351" t="s">
        <v>1833</v>
      </c>
      <c r="B351" t="s">
        <v>1835</v>
      </c>
      <c r="C351">
        <v>2</v>
      </c>
      <c r="D351" t="s">
        <v>1447</v>
      </c>
      <c r="E351" t="s">
        <v>1837</v>
      </c>
      <c r="F351" t="s">
        <v>1741</v>
      </c>
      <c r="G351" t="str">
        <f>IF(ISBLANK('Q 5'!H29),"",IF('Q 5'!H29="&lt;please select&gt;","",'Q 5'!H29))</f>
        <v>Web based form within the ETSWAP application.
 We don’t ask for additional information beyond that
 requested in the Commission’s template. Additional
 elements are included purely for the functionality
 within the web form.</v>
      </c>
    </row>
    <row r="352" spans="1:11" x14ac:dyDescent="0.3">
      <c r="A352" t="s">
        <v>1833</v>
      </c>
      <c r="B352" t="s">
        <v>1835</v>
      </c>
      <c r="C352">
        <v>3</v>
      </c>
      <c r="D352" t="s">
        <v>1447</v>
      </c>
      <c r="E352" t="s">
        <v>1837</v>
      </c>
      <c r="F352" t="s">
        <v>1741</v>
      </c>
      <c r="G352" t="str">
        <f>IF(ISBLANK('Q 5'!H30),"",IF('Q 5'!H30="&lt;please select&gt;","",'Q 5'!H30))</f>
        <v>Web based form within the ETSWAP application. 
We don’t ask for additional information beyond that
 requested in the Commission’s template. Additional
 elements are included purely for the functionality
 within the web form.</v>
      </c>
    </row>
    <row r="353" spans="1:11" x14ac:dyDescent="0.3">
      <c r="A353" t="s">
        <v>1833</v>
      </c>
      <c r="B353" t="s">
        <v>1835</v>
      </c>
      <c r="C353">
        <v>4</v>
      </c>
      <c r="D353" t="s">
        <v>1447</v>
      </c>
      <c r="E353" t="s">
        <v>1837</v>
      </c>
      <c r="F353" t="s">
        <v>1741</v>
      </c>
      <c r="G353" t="str">
        <f>IF(ISBLANK('Q 5'!H31),"",IF('Q 5'!H31="&lt;please select&gt;","",'Q 5'!H31))</f>
        <v>Web based form within the ETSWAP application.
 We don’t ask for additional information beyond that
 requested in the Commission’s template. Additional
 elements are included purely for the functionality
 within the web form.</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The web based forms in ETSWAP were designed using the latest available drafts of the Commission's templates for monitoring plans, emission reports, tonne kilometre reports and verification report opinion statements. Whilst the forms do contain additional elements to improve the user experience (e.g. showing/hiding individual fields or sections and performing calculations to minimise the risk of errors), we have deliberately avoided adding extra information requirements to any of the template forms. Data within the forms is stored in extensible markup language (XML) format. Whilst the schema for this XML is currently bespoke to ETSWAP it could be modified to better align with the Commission's Reporting Language now that this has been completed. Functionality was built into ETSWAP to enable upload of XML files for Phase II aviation emission reports and monitoring plans, however, we found that very few operators were in a position to be able to use this functionality and no operators actually uploaded their emission reports via XML in practice.</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13985</v>
      </c>
    </row>
    <row r="366" spans="1:11" x14ac:dyDescent="0.3">
      <c r="A366" t="s">
        <v>1843</v>
      </c>
      <c r="B366" t="s">
        <v>1844</v>
      </c>
      <c r="C366">
        <v>2</v>
      </c>
      <c r="D366" t="s">
        <v>1447</v>
      </c>
      <c r="E366" t="s">
        <v>1845</v>
      </c>
      <c r="F366" t="s">
        <v>1806</v>
      </c>
      <c r="I366" t="str">
        <f>IF(ISBLANK('Q 5'!F54),"",IF('Q 5'!F54="&lt;please select&gt;","",'Q 5'!F54))</f>
        <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
      </c>
    </row>
    <row r="369" spans="1:9" x14ac:dyDescent="0.3">
      <c r="A369" t="s">
        <v>1843</v>
      </c>
      <c r="B369" t="s">
        <v>1844</v>
      </c>
      <c r="C369">
        <v>5</v>
      </c>
      <c r="D369" t="s">
        <v>1447</v>
      </c>
      <c r="E369" t="s">
        <v>1845</v>
      </c>
      <c r="F369" t="s">
        <v>1806</v>
      </c>
      <c r="I369" t="str">
        <f>IF(ISBLANK('Q 5'!F57),"",IF('Q 5'!F57="&lt;please select&gt;","",'Q 5'!F57))</f>
        <v>30433</v>
      </c>
    </row>
    <row r="370" spans="1:9" x14ac:dyDescent="0.3">
      <c r="A370" t="s">
        <v>1843</v>
      </c>
      <c r="B370" t="s">
        <v>1844</v>
      </c>
      <c r="C370">
        <v>6</v>
      </c>
      <c r="D370" t="s">
        <v>1447</v>
      </c>
      <c r="E370" t="s">
        <v>1845</v>
      </c>
      <c r="F370" t="s">
        <v>1806</v>
      </c>
      <c r="I370" t="str">
        <f>IF(ISBLANK('Q 5'!F58),"",IF('Q 5'!F58="&lt;please select&gt;","",'Q 5'!F58))</f>
        <v/>
      </c>
    </row>
    <row r="371" spans="1:9" x14ac:dyDescent="0.3">
      <c r="A371" t="s">
        <v>1843</v>
      </c>
      <c r="B371" t="s">
        <v>1844</v>
      </c>
      <c r="C371">
        <v>7</v>
      </c>
      <c r="D371" t="s">
        <v>1447</v>
      </c>
      <c r="E371" t="s">
        <v>1845</v>
      </c>
      <c r="F371" t="s">
        <v>1806</v>
      </c>
      <c r="I371" t="str">
        <f>IF(ISBLANK('Q 5'!F59),"",IF('Q 5'!F59="&lt;please select&gt;","",'Q 5'!F59))</f>
        <v/>
      </c>
    </row>
    <row r="372" spans="1:9" x14ac:dyDescent="0.3">
      <c r="A372" t="s">
        <v>1843</v>
      </c>
      <c r="B372" t="s">
        <v>1844</v>
      </c>
      <c r="C372">
        <v>8</v>
      </c>
      <c r="D372" t="s">
        <v>1447</v>
      </c>
      <c r="E372" t="s">
        <v>1845</v>
      </c>
      <c r="F372" t="s">
        <v>1806</v>
      </c>
      <c r="I372" t="str">
        <f>IF(ISBLANK('Q 5'!F60),"",IF('Q 5'!F60="&lt;please select&gt;","",'Q 5'!F60))</f>
        <v/>
      </c>
    </row>
    <row r="373" spans="1:9" x14ac:dyDescent="0.3">
      <c r="A373" t="s">
        <v>1843</v>
      </c>
      <c r="B373" t="s">
        <v>1844</v>
      </c>
      <c r="C373">
        <v>9</v>
      </c>
      <c r="D373" t="s">
        <v>1447</v>
      </c>
      <c r="E373" t="s">
        <v>1845</v>
      </c>
      <c r="F373" t="s">
        <v>1806</v>
      </c>
      <c r="I373" t="str">
        <f>IF(ISBLANK('Q 5'!F61),"",IF('Q 5'!F61="&lt;please select&gt;","",'Q 5'!F61))</f>
        <v>804.5</v>
      </c>
    </row>
    <row r="374" spans="1:9" x14ac:dyDescent="0.3">
      <c r="A374" t="s">
        <v>1843</v>
      </c>
      <c r="B374" t="s">
        <v>1844</v>
      </c>
      <c r="C374">
        <v>10</v>
      </c>
      <c r="D374" t="s">
        <v>1447</v>
      </c>
      <c r="E374" t="s">
        <v>1845</v>
      </c>
      <c r="F374" t="s">
        <v>1806</v>
      </c>
      <c r="I374" t="str">
        <f>IF(ISBLANK('Q 5'!F62),"",IF('Q 5'!F62="&lt;please select&gt;","",'Q 5'!F62))</f>
        <v>0.2</v>
      </c>
    </row>
    <row r="375" spans="1:9" x14ac:dyDescent="0.3">
      <c r="A375" t="s">
        <v>1843</v>
      </c>
      <c r="B375" t="s">
        <v>1844</v>
      </c>
      <c r="C375">
        <v>11</v>
      </c>
      <c r="D375" t="s">
        <v>1447</v>
      </c>
      <c r="E375" t="s">
        <v>1845</v>
      </c>
      <c r="F375" t="s">
        <v>1806</v>
      </c>
      <c r="I375" t="str">
        <f>IF(ISBLANK('Q 5'!F63),"",IF('Q 5'!F63="&lt;please select&gt;","",'Q 5'!F63))</f>
        <v/>
      </c>
    </row>
    <row r="376" spans="1:9" x14ac:dyDescent="0.3">
      <c r="A376" t="s">
        <v>1843</v>
      </c>
      <c r="B376" t="s">
        <v>1844</v>
      </c>
      <c r="C376">
        <v>12</v>
      </c>
      <c r="D376" t="s">
        <v>1447</v>
      </c>
      <c r="E376" t="s">
        <v>1845</v>
      </c>
      <c r="F376" t="s">
        <v>1806</v>
      </c>
      <c r="I376" t="str">
        <f>IF(ISBLANK('Q 5'!F64),"",IF('Q 5'!F64="&lt;please select&gt;","",'Q 5'!F64))</f>
        <v>81</v>
      </c>
    </row>
    <row r="377" spans="1:9" x14ac:dyDescent="0.3">
      <c r="A377" t="s">
        <v>1843</v>
      </c>
      <c r="B377" t="s">
        <v>1844</v>
      </c>
      <c r="C377">
        <v>1</v>
      </c>
      <c r="D377" t="s">
        <v>1447</v>
      </c>
      <c r="E377" t="s">
        <v>1848</v>
      </c>
      <c r="F377" t="s">
        <v>1806</v>
      </c>
      <c r="I377" t="str">
        <f>IF(ISBLANK('Q 5'!H53),"",IF('Q 5'!H53="&lt;please select&gt;","",'Q 5'!H53))</f>
        <v>1308351</v>
      </c>
    </row>
    <row r="378" spans="1:9" x14ac:dyDescent="0.3">
      <c r="A378" t="s">
        <v>1843</v>
      </c>
      <c r="B378" t="s">
        <v>1844</v>
      </c>
      <c r="C378">
        <v>2</v>
      </c>
      <c r="D378" t="s">
        <v>1447</v>
      </c>
      <c r="E378" t="s">
        <v>1848</v>
      </c>
      <c r="F378" t="s">
        <v>1806</v>
      </c>
      <c r="I378" t="str">
        <f>IF(ISBLANK('Q 5'!H54),"",IF('Q 5'!H54="&lt;please select&gt;","",'Q 5'!H54))</f>
        <v/>
      </c>
    </row>
    <row r="379" spans="1:9" x14ac:dyDescent="0.3">
      <c r="A379" t="s">
        <v>1843</v>
      </c>
      <c r="B379" t="s">
        <v>1844</v>
      </c>
      <c r="C379">
        <v>3</v>
      </c>
      <c r="D379" t="s">
        <v>1447</v>
      </c>
      <c r="E379" t="s">
        <v>1848</v>
      </c>
      <c r="F379" t="s">
        <v>1806</v>
      </c>
      <c r="I379" t="str">
        <f>IF(ISBLANK('Q 5'!H55),"",IF('Q 5'!H55="&lt;please select&gt;","",'Q 5'!H55))</f>
        <v/>
      </c>
    </row>
    <row r="380" spans="1:9" x14ac:dyDescent="0.3">
      <c r="A380" t="s">
        <v>1843</v>
      </c>
      <c r="B380" t="s">
        <v>1844</v>
      </c>
      <c r="C380">
        <v>4</v>
      </c>
      <c r="D380" t="s">
        <v>1447</v>
      </c>
      <c r="E380" t="s">
        <v>1848</v>
      </c>
      <c r="F380" t="s">
        <v>1806</v>
      </c>
      <c r="I380" t="str">
        <f>IF(ISBLANK('Q 5'!H56),"",IF('Q 5'!H56="&lt;please select&gt;","",'Q 5'!H56))</f>
        <v/>
      </c>
    </row>
    <row r="381" spans="1:9" x14ac:dyDescent="0.3">
      <c r="A381" t="s">
        <v>1843</v>
      </c>
      <c r="B381" t="s">
        <v>1844</v>
      </c>
      <c r="C381">
        <v>5</v>
      </c>
      <c r="D381" t="s">
        <v>1447</v>
      </c>
      <c r="E381" t="s">
        <v>1848</v>
      </c>
      <c r="F381" t="s">
        <v>1806</v>
      </c>
      <c r="I381" t="str">
        <f>IF(ISBLANK('Q 5'!H57),"",IF('Q 5'!H57="&lt;please select&gt;","",'Q 5'!H57))</f>
        <v>1737368</v>
      </c>
    </row>
    <row r="382" spans="1:9" x14ac:dyDescent="0.3">
      <c r="A382" t="s">
        <v>1843</v>
      </c>
      <c r="B382" t="s">
        <v>1844</v>
      </c>
      <c r="C382">
        <v>6</v>
      </c>
      <c r="D382" t="s">
        <v>1447</v>
      </c>
      <c r="E382" t="s">
        <v>1848</v>
      </c>
      <c r="F382" t="s">
        <v>1806</v>
      </c>
      <c r="I382" t="str">
        <f>IF(ISBLANK('Q 5'!H58),"",IF('Q 5'!H58="&lt;please select&gt;","",'Q 5'!H58))</f>
        <v/>
      </c>
    </row>
    <row r="383" spans="1:9" x14ac:dyDescent="0.3">
      <c r="A383" t="s">
        <v>1843</v>
      </c>
      <c r="B383" t="s">
        <v>1844</v>
      </c>
      <c r="C383">
        <v>7</v>
      </c>
      <c r="D383" t="s">
        <v>1447</v>
      </c>
      <c r="E383" t="s">
        <v>1848</v>
      </c>
      <c r="F383" t="s">
        <v>1806</v>
      </c>
      <c r="I383" t="str">
        <f>IF(ISBLANK('Q 5'!H59),"",IF('Q 5'!H59="&lt;please select&gt;","",'Q 5'!H59))</f>
        <v/>
      </c>
    </row>
    <row r="384" spans="1:9" x14ac:dyDescent="0.3">
      <c r="A384" t="s">
        <v>1843</v>
      </c>
      <c r="B384" t="s">
        <v>1844</v>
      </c>
      <c r="C384">
        <v>8</v>
      </c>
      <c r="D384" t="s">
        <v>1447</v>
      </c>
      <c r="E384" t="s">
        <v>1848</v>
      </c>
      <c r="F384" t="s">
        <v>1806</v>
      </c>
      <c r="I384" t="str">
        <f>IF(ISBLANK('Q 5'!H60),"",IF('Q 5'!H60="&lt;please select&gt;","",'Q 5'!H60))</f>
        <v/>
      </c>
    </row>
    <row r="385" spans="1:11" x14ac:dyDescent="0.3">
      <c r="A385" t="s">
        <v>1843</v>
      </c>
      <c r="B385" t="s">
        <v>1844</v>
      </c>
      <c r="C385">
        <v>9</v>
      </c>
      <c r="D385" t="s">
        <v>1447</v>
      </c>
      <c r="E385" t="s">
        <v>1848</v>
      </c>
      <c r="F385" t="s">
        <v>1806</v>
      </c>
      <c r="I385" t="str">
        <f>IF(ISBLANK('Q 5'!H61),"",IF('Q 5'!H61="&lt;please select&gt;","",'Q 5'!H61))</f>
        <v>62169</v>
      </c>
    </row>
    <row r="386" spans="1:11" x14ac:dyDescent="0.3">
      <c r="A386" t="s">
        <v>1843</v>
      </c>
      <c r="B386" t="s">
        <v>1844</v>
      </c>
      <c r="C386">
        <v>10</v>
      </c>
      <c r="D386" t="s">
        <v>1447</v>
      </c>
      <c r="E386" t="s">
        <v>1848</v>
      </c>
      <c r="F386" t="s">
        <v>1806</v>
      </c>
      <c r="I386" t="str">
        <f>IF(ISBLANK('Q 5'!H62),"",IF('Q 5'!H62="&lt;please select&gt;","",'Q 5'!H62))</f>
        <v>13</v>
      </c>
    </row>
    <row r="387" spans="1:11" x14ac:dyDescent="0.3">
      <c r="A387" t="s">
        <v>1843</v>
      </c>
      <c r="B387" t="s">
        <v>1844</v>
      </c>
      <c r="C387">
        <v>11</v>
      </c>
      <c r="D387" t="s">
        <v>1447</v>
      </c>
      <c r="E387" t="s">
        <v>1848</v>
      </c>
      <c r="F387" t="s">
        <v>1806</v>
      </c>
      <c r="I387" t="str">
        <f>IF(ISBLANK('Q 5'!H63),"",IF('Q 5'!H63="&lt;please select&gt;","",'Q 5'!H63))</f>
        <v/>
      </c>
    </row>
    <row r="388" spans="1:11" x14ac:dyDescent="0.3">
      <c r="A388" t="s">
        <v>1843</v>
      </c>
      <c r="B388" t="s">
        <v>1844</v>
      </c>
      <c r="C388">
        <v>12</v>
      </c>
      <c r="D388" t="s">
        <v>1447</v>
      </c>
      <c r="E388" t="s">
        <v>1848</v>
      </c>
      <c r="F388" t="s">
        <v>1806</v>
      </c>
      <c r="I388" t="str">
        <f>IF(ISBLANK('Q 5'!H64),"",IF('Q 5'!H64="&lt;please select&gt;","",'Q 5'!H64))</f>
        <v>9665</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
      </c>
    </row>
    <row r="391" spans="1:11" x14ac:dyDescent="0.3">
      <c r="A391" t="s">
        <v>1846</v>
      </c>
      <c r="B391" t="s">
        <v>1849</v>
      </c>
      <c r="C391">
        <v>3</v>
      </c>
      <c r="D391" t="s">
        <v>1447</v>
      </c>
      <c r="E391" t="s">
        <v>1850</v>
      </c>
      <c r="F391" t="s">
        <v>1737</v>
      </c>
      <c r="K391" t="str">
        <f>IF(ISBLANK('Q 5'!C71),"",IF('Q 5'!C71="&lt;please select&gt;","",'Q 5'!C71))</f>
        <v/>
      </c>
    </row>
    <row r="392" spans="1:11" x14ac:dyDescent="0.3">
      <c r="A392" t="s">
        <v>1846</v>
      </c>
      <c r="B392" t="s">
        <v>1849</v>
      </c>
      <c r="C392">
        <v>4</v>
      </c>
      <c r="D392" t="s">
        <v>1447</v>
      </c>
      <c r="E392" t="s">
        <v>1850</v>
      </c>
      <c r="F392" t="s">
        <v>1737</v>
      </c>
      <c r="K392" t="str">
        <f>IF(ISBLANK('Q 5'!C72),"",IF('Q 5'!C72="&lt;please select&gt;","",'Q 5'!C72))</f>
        <v/>
      </c>
    </row>
    <row r="393" spans="1:11" x14ac:dyDescent="0.3">
      <c r="A393" t="s">
        <v>1846</v>
      </c>
      <c r="B393" t="s">
        <v>1849</v>
      </c>
      <c r="C393">
        <v>5</v>
      </c>
      <c r="D393" t="s">
        <v>1447</v>
      </c>
      <c r="E393" t="s">
        <v>1850</v>
      </c>
      <c r="F393" t="s">
        <v>1737</v>
      </c>
      <c r="K393" t="str">
        <f>IF(ISBLANK('Q 5'!C73),"",IF('Q 5'!C73="&lt;please select&gt;","",'Q 5'!C73))</f>
        <v/>
      </c>
    </row>
    <row r="394" spans="1:11" x14ac:dyDescent="0.3">
      <c r="A394" t="s">
        <v>1846</v>
      </c>
      <c r="B394" t="s">
        <v>1849</v>
      </c>
      <c r="C394">
        <v>6</v>
      </c>
      <c r="D394" t="s">
        <v>1447</v>
      </c>
      <c r="E394" t="s">
        <v>1850</v>
      </c>
      <c r="F394" t="s">
        <v>1737</v>
      </c>
      <c r="K394" t="str">
        <f>IF(ISBLANK('Q 5'!C74),"",IF('Q 5'!C74="&lt;please select&gt;","",'Q 5'!C74))</f>
        <v/>
      </c>
    </row>
    <row r="395" spans="1:11" x14ac:dyDescent="0.3">
      <c r="A395" t="s">
        <v>1846</v>
      </c>
      <c r="B395" t="s">
        <v>1849</v>
      </c>
      <c r="C395">
        <v>7</v>
      </c>
      <c r="D395" t="s">
        <v>1447</v>
      </c>
      <c r="E395" t="s">
        <v>1850</v>
      </c>
      <c r="F395" t="s">
        <v>1737</v>
      </c>
      <c r="K395" t="str">
        <f>IF(ISBLANK('Q 5'!C75),"",IF('Q 5'!C75="&lt;please select&gt;","",'Q 5'!C75))</f>
        <v/>
      </c>
    </row>
    <row r="396" spans="1:11" x14ac:dyDescent="0.3">
      <c r="A396" t="s">
        <v>1846</v>
      </c>
      <c r="B396" t="s">
        <v>1849</v>
      </c>
      <c r="C396">
        <v>8</v>
      </c>
      <c r="D396" t="s">
        <v>1447</v>
      </c>
      <c r="E396" t="s">
        <v>1850</v>
      </c>
      <c r="F396" t="s">
        <v>1737</v>
      </c>
      <c r="K396" t="str">
        <f>IF(ISBLANK('Q 5'!C76),"",IF('Q 5'!C76="&lt;please select&gt;","",'Q 5'!C76))</f>
        <v/>
      </c>
    </row>
    <row r="397" spans="1:11" x14ac:dyDescent="0.3">
      <c r="A397" t="s">
        <v>1846</v>
      </c>
      <c r="B397" t="s">
        <v>1849</v>
      </c>
      <c r="C397">
        <v>9</v>
      </c>
      <c r="D397" t="s">
        <v>1447</v>
      </c>
      <c r="E397" t="s">
        <v>1850</v>
      </c>
      <c r="F397" t="s">
        <v>1737</v>
      </c>
      <c r="K397" t="str">
        <f>IF(ISBLANK('Q 5'!C77),"",IF('Q 5'!C77="&lt;please select&gt;","",'Q 5'!C77))</f>
        <v/>
      </c>
    </row>
    <row r="398" spans="1:11" x14ac:dyDescent="0.3">
      <c r="A398" t="s">
        <v>1846</v>
      </c>
      <c r="B398" t="s">
        <v>1849</v>
      </c>
      <c r="C398">
        <v>10</v>
      </c>
      <c r="D398" t="s">
        <v>1447</v>
      </c>
      <c r="E398" t="s">
        <v>1850</v>
      </c>
      <c r="F398" t="s">
        <v>1737</v>
      </c>
      <c r="K398" t="str">
        <f>IF(ISBLANK('Q 5'!C78),"",IF('Q 5'!C78="&lt;please select&gt;","",'Q 5'!C78))</f>
        <v/>
      </c>
    </row>
    <row r="399" spans="1:11" x14ac:dyDescent="0.3">
      <c r="A399" t="s">
        <v>1846</v>
      </c>
      <c r="B399" t="s">
        <v>1849</v>
      </c>
      <c r="C399">
        <v>11</v>
      </c>
      <c r="D399" t="s">
        <v>1447</v>
      </c>
      <c r="E399" t="s">
        <v>1850</v>
      </c>
      <c r="F399" t="s">
        <v>1737</v>
      </c>
      <c r="K399" t="str">
        <f>IF(ISBLANK('Q 5'!C79),"",IF('Q 5'!C79="&lt;please select&gt;","",'Q 5'!C79))</f>
        <v/>
      </c>
    </row>
    <row r="400" spans="1:11" x14ac:dyDescent="0.3">
      <c r="A400" t="s">
        <v>1846</v>
      </c>
      <c r="B400" t="s">
        <v>1849</v>
      </c>
      <c r="C400">
        <v>12</v>
      </c>
      <c r="D400" t="s">
        <v>1447</v>
      </c>
      <c r="E400" t="s">
        <v>1850</v>
      </c>
      <c r="F400" t="s">
        <v>1737</v>
      </c>
      <c r="K400" t="str">
        <f>IF(ISBLANK('Q 5'!C80),"",IF('Q 5'!C80="&lt;please select&gt;","",'Q 5'!C80))</f>
        <v/>
      </c>
    </row>
    <row r="401" spans="1:11" x14ac:dyDescent="0.3">
      <c r="A401" t="s">
        <v>1846</v>
      </c>
      <c r="B401" t="s">
        <v>1849</v>
      </c>
      <c r="C401">
        <v>13</v>
      </c>
      <c r="D401" t="s">
        <v>1447</v>
      </c>
      <c r="E401" t="s">
        <v>1850</v>
      </c>
      <c r="F401" t="s">
        <v>1737</v>
      </c>
      <c r="K401" t="str">
        <f>IF(ISBLANK('Q 5'!C81),"",IF('Q 5'!C81="&lt;please select&gt;","",'Q 5'!C81))</f>
        <v/>
      </c>
    </row>
    <row r="402" spans="1:11" x14ac:dyDescent="0.3">
      <c r="A402" t="s">
        <v>1846</v>
      </c>
      <c r="B402" t="s">
        <v>1849</v>
      </c>
      <c r="C402">
        <v>14</v>
      </c>
      <c r="D402" t="s">
        <v>1447</v>
      </c>
      <c r="E402" t="s">
        <v>1850</v>
      </c>
      <c r="F402" t="s">
        <v>1737</v>
      </c>
      <c r="K402" t="str">
        <f>IF(ISBLANK('Q 5'!C82),"",IF('Q 5'!C82="&lt;please select&gt;","",'Q 5'!C82))</f>
        <v/>
      </c>
    </row>
    <row r="403" spans="1:11" x14ac:dyDescent="0.3">
      <c r="A403" t="s">
        <v>1846</v>
      </c>
      <c r="B403" t="s">
        <v>1849</v>
      </c>
      <c r="C403">
        <v>15</v>
      </c>
      <c r="D403" t="s">
        <v>1447</v>
      </c>
      <c r="E403" t="s">
        <v>1850</v>
      </c>
      <c r="F403" t="s">
        <v>1737</v>
      </c>
      <c r="K403" t="str">
        <f>IF(ISBLANK('Q 5'!C83),"",IF('Q 5'!C83="&lt;please select&gt;","",'Q 5'!C83))</f>
        <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3117565</v>
      </c>
    </row>
    <row r="650" spans="1:11" x14ac:dyDescent="0.3">
      <c r="A650" t="s">
        <v>1846</v>
      </c>
      <c r="B650" t="s">
        <v>1849</v>
      </c>
      <c r="C650">
        <v>2</v>
      </c>
      <c r="D650" t="s">
        <v>1447</v>
      </c>
      <c r="E650" t="s">
        <v>1852</v>
      </c>
      <c r="F650" t="s">
        <v>1806</v>
      </c>
      <c r="I650" t="str">
        <f>IF(ISBLANK('Q 5'!G70),"",IF('Q 5'!G70="&lt;please select&gt;","",'Q 5'!G70))</f>
        <v/>
      </c>
    </row>
    <row r="651" spans="1:11" x14ac:dyDescent="0.3">
      <c r="A651" t="s">
        <v>1846</v>
      </c>
      <c r="B651" t="s">
        <v>1849</v>
      </c>
      <c r="C651">
        <v>3</v>
      </c>
      <c r="D651" t="s">
        <v>1447</v>
      </c>
      <c r="E651" t="s">
        <v>1852</v>
      </c>
      <c r="F651" t="s">
        <v>1806</v>
      </c>
      <c r="I651" t="str">
        <f>IF(ISBLANK('Q 5'!G71),"",IF('Q 5'!G71="&lt;please select&gt;","",'Q 5'!G71))</f>
        <v/>
      </c>
    </row>
    <row r="652" spans="1:11" x14ac:dyDescent="0.3">
      <c r="A652" t="s">
        <v>1846</v>
      </c>
      <c r="B652" t="s">
        <v>1849</v>
      </c>
      <c r="C652">
        <v>4</v>
      </c>
      <c r="D652" t="s">
        <v>1447</v>
      </c>
      <c r="E652" t="s">
        <v>1852</v>
      </c>
      <c r="F652" t="s">
        <v>1806</v>
      </c>
      <c r="I652" t="str">
        <f>IF(ISBLANK('Q 5'!G72),"",IF('Q 5'!G72="&lt;please select&gt;","",'Q 5'!G72))</f>
        <v/>
      </c>
    </row>
    <row r="653" spans="1:11" x14ac:dyDescent="0.3">
      <c r="A653" t="s">
        <v>1846</v>
      </c>
      <c r="B653" t="s">
        <v>1849</v>
      </c>
      <c r="C653">
        <v>5</v>
      </c>
      <c r="D653" t="s">
        <v>1447</v>
      </c>
      <c r="E653" t="s">
        <v>1852</v>
      </c>
      <c r="F653" t="s">
        <v>1806</v>
      </c>
      <c r="I653" t="str">
        <f>IF(ISBLANK('Q 5'!G73),"",IF('Q 5'!G73="&lt;please select&gt;","",'Q 5'!G73))</f>
        <v/>
      </c>
    </row>
    <row r="654" spans="1:11" x14ac:dyDescent="0.3">
      <c r="A654" t="s">
        <v>1846</v>
      </c>
      <c r="B654" t="s">
        <v>1849</v>
      </c>
      <c r="C654">
        <v>6</v>
      </c>
      <c r="D654" t="s">
        <v>1447</v>
      </c>
      <c r="E654" t="s">
        <v>1852</v>
      </c>
      <c r="F654" t="s">
        <v>1806</v>
      </c>
      <c r="I654" t="str">
        <f>IF(ISBLANK('Q 5'!G74),"",IF('Q 5'!G74="&lt;please select&gt;","",'Q 5'!G74))</f>
        <v/>
      </c>
    </row>
    <row r="655" spans="1:11" x14ac:dyDescent="0.3">
      <c r="A655" t="s">
        <v>1846</v>
      </c>
      <c r="B655" t="s">
        <v>1849</v>
      </c>
      <c r="C655">
        <v>7</v>
      </c>
      <c r="D655" t="s">
        <v>1447</v>
      </c>
      <c r="E655" t="s">
        <v>1852</v>
      </c>
      <c r="F655" t="s">
        <v>1806</v>
      </c>
      <c r="I655" t="str">
        <f>IF(ISBLANK('Q 5'!G75),"",IF('Q 5'!G75="&lt;please select&gt;","",'Q 5'!G75))</f>
        <v/>
      </c>
    </row>
    <row r="656" spans="1:11" x14ac:dyDescent="0.3">
      <c r="A656" t="s">
        <v>1846</v>
      </c>
      <c r="B656" t="s">
        <v>1849</v>
      </c>
      <c r="C656">
        <v>8</v>
      </c>
      <c r="D656" t="s">
        <v>1447</v>
      </c>
      <c r="E656" t="s">
        <v>1852</v>
      </c>
      <c r="F656" t="s">
        <v>1806</v>
      </c>
      <c r="I656" t="str">
        <f>IF(ISBLANK('Q 5'!G76),"",IF('Q 5'!G76="&lt;please select&gt;","",'Q 5'!G76))</f>
        <v/>
      </c>
    </row>
    <row r="657" spans="1:9" x14ac:dyDescent="0.3">
      <c r="A657" t="s">
        <v>1846</v>
      </c>
      <c r="B657" t="s">
        <v>1849</v>
      </c>
      <c r="C657">
        <v>9</v>
      </c>
      <c r="D657" t="s">
        <v>1447</v>
      </c>
      <c r="E657" t="s">
        <v>1852</v>
      </c>
      <c r="F657" t="s">
        <v>1806</v>
      </c>
      <c r="I657" t="str">
        <f>IF(ISBLANK('Q 5'!G77),"",IF('Q 5'!G77="&lt;please select&gt;","",'Q 5'!G77))</f>
        <v/>
      </c>
    </row>
    <row r="658" spans="1:9" x14ac:dyDescent="0.3">
      <c r="A658" t="s">
        <v>1846</v>
      </c>
      <c r="B658" t="s">
        <v>1849</v>
      </c>
      <c r="C658">
        <v>10</v>
      </c>
      <c r="D658" t="s">
        <v>1447</v>
      </c>
      <c r="E658" t="s">
        <v>1852</v>
      </c>
      <c r="F658" t="s">
        <v>1806</v>
      </c>
      <c r="I658" t="str">
        <f>IF(ISBLANK('Q 5'!G78),"",IF('Q 5'!G78="&lt;please select&gt;","",'Q 5'!G78))</f>
        <v/>
      </c>
    </row>
    <row r="659" spans="1:9" x14ac:dyDescent="0.3">
      <c r="A659" t="s">
        <v>1846</v>
      </c>
      <c r="B659" t="s">
        <v>1849</v>
      </c>
      <c r="C659">
        <v>11</v>
      </c>
      <c r="D659" t="s">
        <v>1447</v>
      </c>
      <c r="E659" t="s">
        <v>1852</v>
      </c>
      <c r="F659" t="s">
        <v>1806</v>
      </c>
      <c r="I659" t="str">
        <f>IF(ISBLANK('Q 5'!G79),"",IF('Q 5'!G79="&lt;please select&gt;","",'Q 5'!G79))</f>
        <v/>
      </c>
    </row>
    <row r="660" spans="1:9" x14ac:dyDescent="0.3">
      <c r="A660" t="s">
        <v>1846</v>
      </c>
      <c r="B660" t="s">
        <v>1849</v>
      </c>
      <c r="C660">
        <v>12</v>
      </c>
      <c r="D660" t="s">
        <v>1447</v>
      </c>
      <c r="E660" t="s">
        <v>1852</v>
      </c>
      <c r="F660" t="s">
        <v>1806</v>
      </c>
      <c r="I660" t="str">
        <f>IF(ISBLANK('Q 5'!G80),"",IF('Q 5'!G80="&lt;please select&gt;","",'Q 5'!G80))</f>
        <v/>
      </c>
    </row>
    <row r="661" spans="1:9" x14ac:dyDescent="0.3">
      <c r="A661" t="s">
        <v>1846</v>
      </c>
      <c r="B661" t="s">
        <v>1849</v>
      </c>
      <c r="C661">
        <v>13</v>
      </c>
      <c r="D661" t="s">
        <v>1447</v>
      </c>
      <c r="E661" t="s">
        <v>1852</v>
      </c>
      <c r="F661" t="s">
        <v>1806</v>
      </c>
      <c r="I661" t="str">
        <f>IF(ISBLANK('Q 5'!G81),"",IF('Q 5'!G81="&lt;please select&gt;","",'Q 5'!G81))</f>
        <v/>
      </c>
    </row>
    <row r="662" spans="1:9" x14ac:dyDescent="0.3">
      <c r="A662" t="s">
        <v>1846</v>
      </c>
      <c r="B662" t="s">
        <v>1849</v>
      </c>
      <c r="C662">
        <v>14</v>
      </c>
      <c r="D662" t="s">
        <v>1447</v>
      </c>
      <c r="E662" t="s">
        <v>1852</v>
      </c>
      <c r="F662" t="s">
        <v>1806</v>
      </c>
      <c r="I662" t="str">
        <f>IF(ISBLANK('Q 5'!G82),"",IF('Q 5'!G82="&lt;please select&gt;","",'Q 5'!G82))</f>
        <v/>
      </c>
    </row>
    <row r="663" spans="1:9" x14ac:dyDescent="0.3">
      <c r="A663" t="s">
        <v>1846</v>
      </c>
      <c r="B663" t="s">
        <v>1849</v>
      </c>
      <c r="C663">
        <v>15</v>
      </c>
      <c r="D663" t="s">
        <v>1447</v>
      </c>
      <c r="E663" t="s">
        <v>1852</v>
      </c>
      <c r="F663" t="s">
        <v>1806</v>
      </c>
      <c r="I663" t="str">
        <f>IF(ISBLANK('Q 5'!G83),"",IF('Q 5'!G83="&lt;please select&gt;","",'Q 5'!G83))</f>
        <v/>
      </c>
    </row>
    <row r="664" spans="1:9" x14ac:dyDescent="0.3">
      <c r="A664" t="s">
        <v>1846</v>
      </c>
      <c r="B664" t="s">
        <v>1849</v>
      </c>
      <c r="C664">
        <v>16</v>
      </c>
      <c r="D664" t="s">
        <v>1447</v>
      </c>
      <c r="E664" t="s">
        <v>1852</v>
      </c>
      <c r="F664" t="s">
        <v>1806</v>
      </c>
      <c r="I664" t="str">
        <f>IF(ISBLANK('Q 5'!G84),"",IF('Q 5'!G84="&lt;please select&gt;","",'Q 5'!G84))</f>
        <v/>
      </c>
    </row>
    <row r="665" spans="1:9" x14ac:dyDescent="0.3">
      <c r="A665" t="s">
        <v>1846</v>
      </c>
      <c r="B665" t="s">
        <v>1849</v>
      </c>
      <c r="C665">
        <v>17</v>
      </c>
      <c r="D665" t="s">
        <v>1447</v>
      </c>
      <c r="E665" t="s">
        <v>1852</v>
      </c>
      <c r="F665" t="s">
        <v>1806</v>
      </c>
      <c r="I665" t="str">
        <f>IF(ISBLANK('Q 5'!G85),"",IF('Q 5'!G85="&lt;please select&gt;","",'Q 5'!G85))</f>
        <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3117178</v>
      </c>
    </row>
    <row r="780" spans="1:9" x14ac:dyDescent="0.3">
      <c r="A780" t="s">
        <v>1846</v>
      </c>
      <c r="B780" t="s">
        <v>1849</v>
      </c>
      <c r="C780">
        <v>2</v>
      </c>
      <c r="D780" t="s">
        <v>1447</v>
      </c>
      <c r="E780" t="s">
        <v>1853</v>
      </c>
      <c r="F780" t="s">
        <v>1806</v>
      </c>
      <c r="I780" t="str">
        <f>IF(ISBLANK('Q 5'!H70),"",IF('Q 5'!H70="&lt;please select&gt;","",'Q 5'!H70))</f>
        <v/>
      </c>
    </row>
    <row r="781" spans="1:9" x14ac:dyDescent="0.3">
      <c r="A781" t="s">
        <v>1846</v>
      </c>
      <c r="B781" t="s">
        <v>1849</v>
      </c>
      <c r="C781">
        <v>3</v>
      </c>
      <c r="D781" t="s">
        <v>1447</v>
      </c>
      <c r="E781" t="s">
        <v>1853</v>
      </c>
      <c r="F781" t="s">
        <v>1806</v>
      </c>
      <c r="I781" t="str">
        <f>IF(ISBLANK('Q 5'!H71),"",IF('Q 5'!H71="&lt;please select&gt;","",'Q 5'!H71))</f>
        <v/>
      </c>
    </row>
    <row r="782" spans="1:9" x14ac:dyDescent="0.3">
      <c r="A782" t="s">
        <v>1846</v>
      </c>
      <c r="B782" t="s">
        <v>1849</v>
      </c>
      <c r="C782">
        <v>4</v>
      </c>
      <c r="D782" t="s">
        <v>1447</v>
      </c>
      <c r="E782" t="s">
        <v>1853</v>
      </c>
      <c r="F782" t="s">
        <v>1806</v>
      </c>
      <c r="I782" t="str">
        <f>IF(ISBLANK('Q 5'!H72),"",IF('Q 5'!H72="&lt;please select&gt;","",'Q 5'!H72))</f>
        <v/>
      </c>
    </row>
    <row r="783" spans="1:9" x14ac:dyDescent="0.3">
      <c r="A783" t="s">
        <v>1846</v>
      </c>
      <c r="B783" t="s">
        <v>1849</v>
      </c>
      <c r="C783">
        <v>5</v>
      </c>
      <c r="D783" t="s">
        <v>1447</v>
      </c>
      <c r="E783" t="s">
        <v>1853</v>
      </c>
      <c r="F783" t="s">
        <v>1806</v>
      </c>
      <c r="I783" t="str">
        <f>IF(ISBLANK('Q 5'!H73),"",IF('Q 5'!H73="&lt;please select&gt;","",'Q 5'!H73))</f>
        <v/>
      </c>
    </row>
    <row r="784" spans="1:9" x14ac:dyDescent="0.3">
      <c r="A784" t="s">
        <v>1846</v>
      </c>
      <c r="B784" t="s">
        <v>1849</v>
      </c>
      <c r="C784">
        <v>6</v>
      </c>
      <c r="D784" t="s">
        <v>1447</v>
      </c>
      <c r="E784" t="s">
        <v>1853</v>
      </c>
      <c r="F784" t="s">
        <v>1806</v>
      </c>
      <c r="I784" t="str">
        <f>IF(ISBLANK('Q 5'!H74),"",IF('Q 5'!H74="&lt;please select&gt;","",'Q 5'!H74))</f>
        <v/>
      </c>
    </row>
    <row r="785" spans="1:9" x14ac:dyDescent="0.3">
      <c r="A785" t="s">
        <v>1846</v>
      </c>
      <c r="B785" t="s">
        <v>1849</v>
      </c>
      <c r="C785">
        <v>7</v>
      </c>
      <c r="D785" t="s">
        <v>1447</v>
      </c>
      <c r="E785" t="s">
        <v>1853</v>
      </c>
      <c r="F785" t="s">
        <v>1806</v>
      </c>
      <c r="I785" t="str">
        <f>IF(ISBLANK('Q 5'!H75),"",IF('Q 5'!H75="&lt;please select&gt;","",'Q 5'!H75))</f>
        <v/>
      </c>
    </row>
    <row r="786" spans="1:9" x14ac:dyDescent="0.3">
      <c r="A786" t="s">
        <v>1846</v>
      </c>
      <c r="B786" t="s">
        <v>1849</v>
      </c>
      <c r="C786">
        <v>8</v>
      </c>
      <c r="D786" t="s">
        <v>1447</v>
      </c>
      <c r="E786" t="s">
        <v>1853</v>
      </c>
      <c r="F786" t="s">
        <v>1806</v>
      </c>
      <c r="I786" t="str">
        <f>IF(ISBLANK('Q 5'!H76),"",IF('Q 5'!H76="&lt;please select&gt;","",'Q 5'!H76))</f>
        <v/>
      </c>
    </row>
    <row r="787" spans="1:9" x14ac:dyDescent="0.3">
      <c r="A787" t="s">
        <v>1846</v>
      </c>
      <c r="B787" t="s">
        <v>1849</v>
      </c>
      <c r="C787">
        <v>9</v>
      </c>
      <c r="D787" t="s">
        <v>1447</v>
      </c>
      <c r="E787" t="s">
        <v>1853</v>
      </c>
      <c r="F787" t="s">
        <v>1806</v>
      </c>
      <c r="I787" t="str">
        <f>IF(ISBLANK('Q 5'!H77),"",IF('Q 5'!H77="&lt;please select&gt;","",'Q 5'!H77))</f>
        <v/>
      </c>
    </row>
    <row r="788" spans="1:9" x14ac:dyDescent="0.3">
      <c r="A788" t="s">
        <v>1846</v>
      </c>
      <c r="B788" t="s">
        <v>1849</v>
      </c>
      <c r="C788">
        <v>10</v>
      </c>
      <c r="D788" t="s">
        <v>1447</v>
      </c>
      <c r="E788" t="s">
        <v>1853</v>
      </c>
      <c r="F788" t="s">
        <v>1806</v>
      </c>
      <c r="I788" t="str">
        <f>IF(ISBLANK('Q 5'!H78),"",IF('Q 5'!H78="&lt;please select&gt;","",'Q 5'!H78))</f>
        <v/>
      </c>
    </row>
    <row r="789" spans="1:9" x14ac:dyDescent="0.3">
      <c r="A789" t="s">
        <v>1846</v>
      </c>
      <c r="B789" t="s">
        <v>1849</v>
      </c>
      <c r="C789">
        <v>11</v>
      </c>
      <c r="D789" t="s">
        <v>1447</v>
      </c>
      <c r="E789" t="s">
        <v>1853</v>
      </c>
      <c r="F789" t="s">
        <v>1806</v>
      </c>
      <c r="I789" t="str">
        <f>IF(ISBLANK('Q 5'!H79),"",IF('Q 5'!H79="&lt;please select&gt;","",'Q 5'!H79))</f>
        <v/>
      </c>
    </row>
    <row r="790" spans="1:9" x14ac:dyDescent="0.3">
      <c r="A790" t="s">
        <v>1846</v>
      </c>
      <c r="B790" t="s">
        <v>1849</v>
      </c>
      <c r="C790">
        <v>12</v>
      </c>
      <c r="D790" t="s">
        <v>1447</v>
      </c>
      <c r="E790" t="s">
        <v>1853</v>
      </c>
      <c r="F790" t="s">
        <v>1806</v>
      </c>
      <c r="I790" t="str">
        <f>IF(ISBLANK('Q 5'!H80),"",IF('Q 5'!H80="&lt;please select&gt;","",'Q 5'!H80))</f>
        <v/>
      </c>
    </row>
    <row r="791" spans="1:9" x14ac:dyDescent="0.3">
      <c r="A791" t="s">
        <v>1846</v>
      </c>
      <c r="B791" t="s">
        <v>1849</v>
      </c>
      <c r="C791">
        <v>13</v>
      </c>
      <c r="D791" t="s">
        <v>1447</v>
      </c>
      <c r="E791" t="s">
        <v>1853</v>
      </c>
      <c r="F791" t="s">
        <v>1806</v>
      </c>
      <c r="I791" t="str">
        <f>IF(ISBLANK('Q 5'!H81),"",IF('Q 5'!H81="&lt;please select&gt;","",'Q 5'!H81))</f>
        <v/>
      </c>
    </row>
    <row r="792" spans="1:9" x14ac:dyDescent="0.3">
      <c r="A792" t="s">
        <v>1846</v>
      </c>
      <c r="B792" t="s">
        <v>1849</v>
      </c>
      <c r="C792">
        <v>14</v>
      </c>
      <c r="D792" t="s">
        <v>1447</v>
      </c>
      <c r="E792" t="s">
        <v>1853</v>
      </c>
      <c r="F792" t="s">
        <v>1806</v>
      </c>
      <c r="I792" t="str">
        <f>IF(ISBLANK('Q 5'!H82),"",IF('Q 5'!H82="&lt;please select&gt;","",'Q 5'!H82))</f>
        <v/>
      </c>
    </row>
    <row r="793" spans="1:9" x14ac:dyDescent="0.3">
      <c r="A793" t="s">
        <v>1846</v>
      </c>
      <c r="B793" t="s">
        <v>1849</v>
      </c>
      <c r="C793">
        <v>15</v>
      </c>
      <c r="D793" t="s">
        <v>1447</v>
      </c>
      <c r="E793" t="s">
        <v>1853</v>
      </c>
      <c r="F793" t="s">
        <v>1806</v>
      </c>
      <c r="I793" t="str">
        <f>IF(ISBLANK('Q 5'!H83),"",IF('Q 5'!H83="&lt;please select&gt;","",'Q 5'!H83))</f>
        <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387</v>
      </c>
    </row>
    <row r="910" spans="1:9" x14ac:dyDescent="0.3">
      <c r="A910" t="s">
        <v>1846</v>
      </c>
      <c r="B910" t="s">
        <v>1849</v>
      </c>
      <c r="C910">
        <v>2</v>
      </c>
      <c r="D910" t="s">
        <v>1447</v>
      </c>
      <c r="E910" t="s">
        <v>1854</v>
      </c>
      <c r="F910" t="s">
        <v>1806</v>
      </c>
      <c r="I910" t="str">
        <f>IF(ISBLANK('Q 5'!I70),"",IF('Q 5'!I70="&lt;please select&gt;","",'Q 5'!I70))</f>
        <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
      </c>
    </row>
    <row r="913" spans="1:9" x14ac:dyDescent="0.3">
      <c r="A913" t="s">
        <v>1846</v>
      </c>
      <c r="B913" t="s">
        <v>1849</v>
      </c>
      <c r="C913">
        <v>5</v>
      </c>
      <c r="D913" t="s">
        <v>1447</v>
      </c>
      <c r="E913" t="s">
        <v>1854</v>
      </c>
      <c r="F913" t="s">
        <v>1806</v>
      </c>
      <c r="I913" t="str">
        <f>IF(ISBLANK('Q 5'!I73),"",IF('Q 5'!I73="&lt;please select&gt;","",'Q 5'!I73))</f>
        <v/>
      </c>
    </row>
    <row r="914" spans="1:9" x14ac:dyDescent="0.3">
      <c r="A914" t="s">
        <v>1846</v>
      </c>
      <c r="B914" t="s">
        <v>1849</v>
      </c>
      <c r="C914">
        <v>6</v>
      </c>
      <c r="D914" t="s">
        <v>1447</v>
      </c>
      <c r="E914" t="s">
        <v>1854</v>
      </c>
      <c r="F914" t="s">
        <v>1806</v>
      </c>
      <c r="I914" t="str">
        <f>IF(ISBLANK('Q 5'!I74),"",IF('Q 5'!I74="&lt;please select&gt;","",'Q 5'!I74))</f>
        <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
      </c>
    </row>
    <row r="918" spans="1:9" x14ac:dyDescent="0.3">
      <c r="A918" t="s">
        <v>1846</v>
      </c>
      <c r="B918" t="s">
        <v>1849</v>
      </c>
      <c r="C918">
        <v>10</v>
      </c>
      <c r="D918" t="s">
        <v>1447</v>
      </c>
      <c r="E918" t="s">
        <v>1854</v>
      </c>
      <c r="F918" t="s">
        <v>1806</v>
      </c>
      <c r="I918" t="str">
        <f>IF(ISBLANK('Q 5'!I78),"",IF('Q 5'!I78="&lt;please select&gt;","",'Q 5'!I78))</f>
        <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A installation</v>
      </c>
    </row>
    <row r="1040" spans="1:11" x14ac:dyDescent="0.3">
      <c r="A1040" t="s">
        <v>1847</v>
      </c>
      <c r="B1040" t="s">
        <v>1855</v>
      </c>
      <c r="C1040">
        <v>2</v>
      </c>
      <c r="D1040" t="s">
        <v>1447</v>
      </c>
      <c r="E1040" t="s">
        <v>1856</v>
      </c>
      <c r="F1040" t="s">
        <v>1737</v>
      </c>
      <c r="K1040" t="str">
        <f>IF(ISBLANK('Q 5'!C204),"",IF('Q 5'!C204="&lt;please select&gt;","",'Q 5'!C204))</f>
        <v>Category A installation</v>
      </c>
    </row>
    <row r="1041" spans="1:11" x14ac:dyDescent="0.3">
      <c r="A1041" t="s">
        <v>1847</v>
      </c>
      <c r="B1041" t="s">
        <v>1855</v>
      </c>
      <c r="C1041">
        <v>3</v>
      </c>
      <c r="D1041" t="s">
        <v>1447</v>
      </c>
      <c r="E1041" t="s">
        <v>1856</v>
      </c>
      <c r="F1041" t="s">
        <v>1737</v>
      </c>
      <c r="K1041" t="str">
        <f>IF(ISBLANK('Q 5'!C205),"",IF('Q 5'!C205="&lt;please select&gt;","",'Q 5'!C205))</f>
        <v>Category A installation</v>
      </c>
    </row>
    <row r="1042" spans="1:11" x14ac:dyDescent="0.3">
      <c r="A1042" t="s">
        <v>1847</v>
      </c>
      <c r="B1042" t="s">
        <v>1855</v>
      </c>
      <c r="C1042">
        <v>4</v>
      </c>
      <c r="D1042" t="s">
        <v>1447</v>
      </c>
      <c r="E1042" t="s">
        <v>1856</v>
      </c>
      <c r="F1042" t="s">
        <v>1737</v>
      </c>
      <c r="K1042" t="str">
        <f>IF(ISBLANK('Q 5'!C206),"",IF('Q 5'!C206="&lt;please select&gt;","",'Q 5'!C206))</f>
        <v>Category A installation</v>
      </c>
    </row>
    <row r="1043" spans="1:11" x14ac:dyDescent="0.3">
      <c r="A1043" t="s">
        <v>1847</v>
      </c>
      <c r="B1043" t="s">
        <v>1855</v>
      </c>
      <c r="C1043">
        <v>5</v>
      </c>
      <c r="D1043" t="s">
        <v>1447</v>
      </c>
      <c r="E1043" t="s">
        <v>1856</v>
      </c>
      <c r="F1043" t="s">
        <v>1737</v>
      </c>
      <c r="K1043" t="str">
        <f>IF(ISBLANK('Q 5'!C207),"",IF('Q 5'!C207="&lt;please select&gt;","",'Q 5'!C207))</f>
        <v>Category A installation</v>
      </c>
    </row>
    <row r="1044" spans="1:11" x14ac:dyDescent="0.3">
      <c r="A1044" t="s">
        <v>1847</v>
      </c>
      <c r="B1044" t="s">
        <v>1855</v>
      </c>
      <c r="C1044">
        <v>6</v>
      </c>
      <c r="D1044" t="s">
        <v>1447</v>
      </c>
      <c r="E1044" t="s">
        <v>1856</v>
      </c>
      <c r="F1044" t="s">
        <v>1737</v>
      </c>
      <c r="K1044" t="str">
        <f>IF(ISBLANK('Q 5'!C208),"",IF('Q 5'!C208="&lt;please select&gt;","",'Q 5'!C208))</f>
        <v>Category A installation</v>
      </c>
    </row>
    <row r="1045" spans="1:11" x14ac:dyDescent="0.3">
      <c r="A1045" t="s">
        <v>1847</v>
      </c>
      <c r="B1045" t="s">
        <v>1855</v>
      </c>
      <c r="C1045">
        <v>7</v>
      </c>
      <c r="D1045" t="s">
        <v>1447</v>
      </c>
      <c r="E1045" t="s">
        <v>1856</v>
      </c>
      <c r="F1045" t="s">
        <v>1737</v>
      </c>
      <c r="K1045" t="str">
        <f>IF(ISBLANK('Q 5'!C209),"",IF('Q 5'!C209="&lt;please select&gt;","",'Q 5'!C209))</f>
        <v>Category C installation</v>
      </c>
    </row>
    <row r="1046" spans="1:11" x14ac:dyDescent="0.3">
      <c r="A1046" t="s">
        <v>1847</v>
      </c>
      <c r="B1046" t="s">
        <v>1855</v>
      </c>
      <c r="C1046">
        <v>8</v>
      </c>
      <c r="D1046" t="s">
        <v>1447</v>
      </c>
      <c r="E1046" t="s">
        <v>1856</v>
      </c>
      <c r="F1046" t="s">
        <v>1737</v>
      </c>
      <c r="K1046" t="str">
        <f>IF(ISBLANK('Q 5'!C210),"",IF('Q 5'!C210="&lt;please select&gt;","",'Q 5'!C210))</f>
        <v>Category C installation</v>
      </c>
    </row>
    <row r="1047" spans="1:11" x14ac:dyDescent="0.3">
      <c r="A1047" t="s">
        <v>1847</v>
      </c>
      <c r="B1047" t="s">
        <v>1855</v>
      </c>
      <c r="C1047">
        <v>9</v>
      </c>
      <c r="D1047" t="s">
        <v>1447</v>
      </c>
      <c r="E1047" t="s">
        <v>1856</v>
      </c>
      <c r="F1047" t="s">
        <v>1737</v>
      </c>
      <c r="K1047" t="str">
        <f>IF(ISBLANK('Q 5'!C211),"",IF('Q 5'!C211="&lt;please select&gt;","",'Q 5'!C211))</f>
        <v>Category C installation</v>
      </c>
    </row>
    <row r="1048" spans="1:11" x14ac:dyDescent="0.3">
      <c r="A1048" t="s">
        <v>1847</v>
      </c>
      <c r="B1048" t="s">
        <v>1855</v>
      </c>
      <c r="C1048">
        <v>10</v>
      </c>
      <c r="D1048" t="s">
        <v>1447</v>
      </c>
      <c r="E1048" t="s">
        <v>1856</v>
      </c>
      <c r="F1048" t="s">
        <v>1737</v>
      </c>
      <c r="K1048" t="str">
        <f>IF(ISBLANK('Q 5'!C212),"",IF('Q 5'!C212="&lt;please select&gt;","",'Q 5'!C212))</f>
        <v>Category C installation</v>
      </c>
    </row>
    <row r="1049" spans="1:11" x14ac:dyDescent="0.3">
      <c r="A1049" t="s">
        <v>1847</v>
      </c>
      <c r="B1049" t="s">
        <v>1855</v>
      </c>
      <c r="C1049">
        <v>11</v>
      </c>
      <c r="D1049" t="s">
        <v>1447</v>
      </c>
      <c r="E1049" t="s">
        <v>1856</v>
      </c>
      <c r="F1049" t="s">
        <v>1737</v>
      </c>
      <c r="K1049" t="str">
        <f>IF(ISBLANK('Q 5'!C213),"",IF('Q 5'!C213="&lt;please select&gt;","",'Q 5'!C213))</f>
        <v>Category C installation</v>
      </c>
    </row>
    <row r="1050" spans="1:11" x14ac:dyDescent="0.3">
      <c r="A1050" t="s">
        <v>1847</v>
      </c>
      <c r="B1050" t="s">
        <v>1855</v>
      </c>
      <c r="C1050">
        <v>12</v>
      </c>
      <c r="D1050" t="s">
        <v>1447</v>
      </c>
      <c r="E1050" t="s">
        <v>1856</v>
      </c>
      <c r="F1050" t="s">
        <v>1737</v>
      </c>
      <c r="K1050" t="str">
        <f>IF(ISBLANK('Q 5'!C214),"",IF('Q 5'!C214="&lt;please select&gt;","",'Q 5'!C214))</f>
        <v>Category C installation</v>
      </c>
    </row>
    <row r="1051" spans="1:11" x14ac:dyDescent="0.3">
      <c r="A1051" t="s">
        <v>1847</v>
      </c>
      <c r="B1051" t="s">
        <v>1855</v>
      </c>
      <c r="C1051">
        <v>13</v>
      </c>
      <c r="D1051" t="s">
        <v>1447</v>
      </c>
      <c r="E1051" t="s">
        <v>1856</v>
      </c>
      <c r="F1051" t="s">
        <v>1737</v>
      </c>
      <c r="K1051" t="str">
        <f>IF(ISBLANK('Q 5'!C215),"",IF('Q 5'!C215="&lt;please select&gt;","",'Q 5'!C215))</f>
        <v>Category C installation</v>
      </c>
    </row>
    <row r="1052" spans="1:11" x14ac:dyDescent="0.3">
      <c r="A1052" t="s">
        <v>1847</v>
      </c>
      <c r="B1052" t="s">
        <v>1855</v>
      </c>
      <c r="C1052">
        <v>14</v>
      </c>
      <c r="D1052" t="s">
        <v>1447</v>
      </c>
      <c r="E1052" t="s">
        <v>1856</v>
      </c>
      <c r="F1052" t="s">
        <v>1737</v>
      </c>
      <c r="K1052" t="str">
        <f>IF(ISBLANK('Q 5'!C216),"",IF('Q 5'!C216="&lt;please select&gt;","",'Q 5'!C216))</f>
        <v/>
      </c>
    </row>
    <row r="1053" spans="1:11" x14ac:dyDescent="0.3">
      <c r="A1053" t="s">
        <v>1847</v>
      </c>
      <c r="B1053" t="s">
        <v>1855</v>
      </c>
      <c r="C1053">
        <v>15</v>
      </c>
      <c r="D1053" t="s">
        <v>1447</v>
      </c>
      <c r="E1053" t="s">
        <v>1856</v>
      </c>
      <c r="F1053" t="s">
        <v>1737</v>
      </c>
      <c r="K1053" t="str">
        <f>IF(ISBLANK('Q 5'!C217),"",IF('Q 5'!C217="&lt;please select&gt;","",'Q 5'!C217))</f>
        <v/>
      </c>
    </row>
    <row r="1054" spans="1:11" x14ac:dyDescent="0.3">
      <c r="A1054" t="s">
        <v>1847</v>
      </c>
      <c r="B1054" t="s">
        <v>1855</v>
      </c>
      <c r="C1054">
        <v>16</v>
      </c>
      <c r="D1054" t="s">
        <v>1447</v>
      </c>
      <c r="E1054" t="s">
        <v>1856</v>
      </c>
      <c r="F1054" t="s">
        <v>1737</v>
      </c>
      <c r="K1054" t="str">
        <f>IF(ISBLANK('Q 5'!C218),"",IF('Q 5'!C218="&lt;please select&gt;","",'Q 5'!C218))</f>
        <v/>
      </c>
    </row>
    <row r="1055" spans="1:11" x14ac:dyDescent="0.3">
      <c r="A1055" t="s">
        <v>1847</v>
      </c>
      <c r="B1055" t="s">
        <v>1855</v>
      </c>
      <c r="C1055">
        <v>17</v>
      </c>
      <c r="D1055" t="s">
        <v>1447</v>
      </c>
      <c r="E1055" t="s">
        <v>1856</v>
      </c>
      <c r="F1055" t="s">
        <v>1737</v>
      </c>
      <c r="K1055" t="str">
        <f>IF(ISBLANK('Q 5'!C219),"",IF('Q 5'!C219="&lt;please select&gt;","",'Q 5'!C219))</f>
        <v/>
      </c>
    </row>
    <row r="1056" spans="1:11" x14ac:dyDescent="0.3">
      <c r="A1056" t="s">
        <v>1847</v>
      </c>
      <c r="B1056" t="s">
        <v>1855</v>
      </c>
      <c r="C1056">
        <v>18</v>
      </c>
      <c r="D1056" t="s">
        <v>1447</v>
      </c>
      <c r="E1056" t="s">
        <v>1856</v>
      </c>
      <c r="F1056" t="s">
        <v>1737</v>
      </c>
      <c r="K1056" t="str">
        <f>IF(ISBLANK('Q 5'!C220),"",IF('Q 5'!C220="&lt;please select&gt;","",'Q 5'!C220))</f>
        <v/>
      </c>
    </row>
    <row r="1057" spans="1:11" x14ac:dyDescent="0.3">
      <c r="A1057" t="s">
        <v>1847</v>
      </c>
      <c r="B1057" t="s">
        <v>1855</v>
      </c>
      <c r="C1057">
        <v>19</v>
      </c>
      <c r="D1057" t="s">
        <v>1447</v>
      </c>
      <c r="E1057" t="s">
        <v>1856</v>
      </c>
      <c r="F1057" t="s">
        <v>1737</v>
      </c>
      <c r="K1057" t="str">
        <f>IF(ISBLANK('Q 5'!C221),"",IF('Q 5'!C221="&lt;please select&gt;","",'Q 5'!C221))</f>
        <v/>
      </c>
    </row>
    <row r="1058" spans="1:11" x14ac:dyDescent="0.3">
      <c r="A1058" t="s">
        <v>1847</v>
      </c>
      <c r="B1058" t="s">
        <v>1855</v>
      </c>
      <c r="C1058">
        <v>20</v>
      </c>
      <c r="D1058" t="s">
        <v>1447</v>
      </c>
      <c r="E1058" t="s">
        <v>1856</v>
      </c>
      <c r="F1058" t="s">
        <v>1737</v>
      </c>
      <c r="K1058" t="str">
        <f>IF(ISBLANK('Q 5'!C222),"",IF('Q 5'!C222="&lt;please select&gt;","",'Q 5'!C222))</f>
        <v/>
      </c>
    </row>
    <row r="1059" spans="1:11" x14ac:dyDescent="0.3">
      <c r="A1059" t="s">
        <v>1847</v>
      </c>
      <c r="B1059" t="s">
        <v>1855</v>
      </c>
      <c r="C1059">
        <v>21</v>
      </c>
      <c r="D1059" t="s">
        <v>1447</v>
      </c>
      <c r="E1059" t="s">
        <v>1856</v>
      </c>
      <c r="F1059" t="s">
        <v>1737</v>
      </c>
      <c r="K1059" t="str">
        <f>IF(ISBLANK('Q 5'!C223),"",IF('Q 5'!C223="&lt;please select&gt;","",'Q 5'!C223))</f>
        <v/>
      </c>
    </row>
    <row r="1060" spans="1:11" x14ac:dyDescent="0.3">
      <c r="A1060" t="s">
        <v>1847</v>
      </c>
      <c r="B1060" t="s">
        <v>1855</v>
      </c>
      <c r="C1060">
        <v>22</v>
      </c>
      <c r="D1060" t="s">
        <v>1447</v>
      </c>
      <c r="E1060" t="s">
        <v>1856</v>
      </c>
      <c r="F1060" t="s">
        <v>1737</v>
      </c>
      <c r="K1060" t="str">
        <f>IF(ISBLANK('Q 5'!C224),"",IF('Q 5'!C224="&lt;please select&gt;","",'Q 5'!C224))</f>
        <v/>
      </c>
    </row>
    <row r="1061" spans="1:11" x14ac:dyDescent="0.3">
      <c r="A1061" t="s">
        <v>1847</v>
      </c>
      <c r="B1061" t="s">
        <v>1855</v>
      </c>
      <c r="C1061">
        <v>23</v>
      </c>
      <c r="D1061" t="s">
        <v>1447</v>
      </c>
      <c r="E1061" t="s">
        <v>1856</v>
      </c>
      <c r="F1061" t="s">
        <v>1737</v>
      </c>
      <c r="K1061" t="str">
        <f>IF(ISBLANK('Q 5'!C225),"",IF('Q 5'!C225="&lt;please select&gt;","",'Q 5'!C225))</f>
        <v/>
      </c>
    </row>
    <row r="1062" spans="1:11" x14ac:dyDescent="0.3">
      <c r="A1062" t="s">
        <v>1847</v>
      </c>
      <c r="B1062" t="s">
        <v>1855</v>
      </c>
      <c r="C1062">
        <v>24</v>
      </c>
      <c r="D1062" t="s">
        <v>1447</v>
      </c>
      <c r="E1062" t="s">
        <v>1856</v>
      </c>
      <c r="F1062" t="s">
        <v>1737</v>
      </c>
      <c r="K1062" t="str">
        <f>IF(ISBLANK('Q 5'!C226),"",IF('Q 5'!C226="&lt;please select&gt;","",'Q 5'!C226))</f>
        <v/>
      </c>
    </row>
    <row r="1063" spans="1:11" x14ac:dyDescent="0.3">
      <c r="A1063" t="s">
        <v>1847</v>
      </c>
      <c r="B1063" t="s">
        <v>1855</v>
      </c>
      <c r="C1063">
        <v>25</v>
      </c>
      <c r="D1063" t="s">
        <v>1447</v>
      </c>
      <c r="E1063" t="s">
        <v>1856</v>
      </c>
      <c r="F1063" t="s">
        <v>1737</v>
      </c>
      <c r="K1063" t="str">
        <f>IF(ISBLANK('Q 5'!C227),"",IF('Q 5'!C227="&lt;please select&gt;","",'Q 5'!C227))</f>
        <v/>
      </c>
    </row>
    <row r="1064" spans="1:11" x14ac:dyDescent="0.3">
      <c r="A1064" t="s">
        <v>1847</v>
      </c>
      <c r="B1064" t="s">
        <v>1855</v>
      </c>
      <c r="C1064">
        <v>26</v>
      </c>
      <c r="D1064" t="s">
        <v>1447</v>
      </c>
      <c r="E1064" t="s">
        <v>1856</v>
      </c>
      <c r="F1064" t="s">
        <v>1737</v>
      </c>
      <c r="K1064" t="str">
        <f>IF(ISBLANK('Q 5'!C228),"",IF('Q 5'!C228="&lt;please select&gt;","",'Q 5'!C228))</f>
        <v/>
      </c>
    </row>
    <row r="1065" spans="1:11" x14ac:dyDescent="0.3">
      <c r="A1065" t="s">
        <v>1847</v>
      </c>
      <c r="B1065" t="s">
        <v>1855</v>
      </c>
      <c r="C1065">
        <v>27</v>
      </c>
      <c r="D1065" t="s">
        <v>1447</v>
      </c>
      <c r="E1065" t="s">
        <v>1856</v>
      </c>
      <c r="F1065" t="s">
        <v>1737</v>
      </c>
      <c r="K1065" t="str">
        <f>IF(ISBLANK('Q 5'!C229),"",IF('Q 5'!C229="&lt;please select&gt;","",'Q 5'!C229))</f>
        <v/>
      </c>
    </row>
    <row r="1066" spans="1:11" x14ac:dyDescent="0.3">
      <c r="A1066" t="s">
        <v>1847</v>
      </c>
      <c r="B1066" t="s">
        <v>1855</v>
      </c>
      <c r="C1066">
        <v>28</v>
      </c>
      <c r="D1066" t="s">
        <v>1447</v>
      </c>
      <c r="E1066" t="s">
        <v>1856</v>
      </c>
      <c r="F1066" t="s">
        <v>1737</v>
      </c>
      <c r="K1066" t="str">
        <f>IF(ISBLANK('Q 5'!C230),"",IF('Q 5'!C230="&lt;please select&gt;","",'Q 5'!C230))</f>
        <v/>
      </c>
    </row>
    <row r="1067" spans="1:11" x14ac:dyDescent="0.3">
      <c r="A1067" t="s">
        <v>1847</v>
      </c>
      <c r="B1067" t="s">
        <v>1855</v>
      </c>
      <c r="C1067">
        <v>29</v>
      </c>
      <c r="D1067" t="s">
        <v>1447</v>
      </c>
      <c r="E1067" t="s">
        <v>1856</v>
      </c>
      <c r="F1067" t="s">
        <v>1737</v>
      </c>
      <c r="K1067" t="str">
        <f>IF(ISBLANK('Q 5'!C231),"",IF('Q 5'!C231="&lt;please select&gt;","",'Q 5'!C231))</f>
        <v/>
      </c>
    </row>
    <row r="1068" spans="1:11" x14ac:dyDescent="0.3">
      <c r="A1068" t="s">
        <v>1847</v>
      </c>
      <c r="B1068" t="s">
        <v>1855</v>
      </c>
      <c r="C1068">
        <v>30</v>
      </c>
      <c r="D1068" t="s">
        <v>1447</v>
      </c>
      <c r="E1068" t="s">
        <v>1856</v>
      </c>
      <c r="F1068" t="s">
        <v>1737</v>
      </c>
      <c r="K1068" t="str">
        <f>IF(ISBLANK('Q 5'!C232),"",IF('Q 5'!C232="&lt;please select&gt;","",'Q 5'!C232))</f>
        <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natural gas</v>
      </c>
    </row>
    <row r="1840" spans="1:11" x14ac:dyDescent="0.3">
      <c r="A1840" t="s">
        <v>1847</v>
      </c>
      <c r="B1840" t="s">
        <v>1855</v>
      </c>
      <c r="C1840">
        <v>2</v>
      </c>
      <c r="D1840" t="s">
        <v>1447</v>
      </c>
      <c r="E1840" t="s">
        <v>1857</v>
      </c>
      <c r="F1840" t="s">
        <v>1741</v>
      </c>
      <c r="G1840" t="str">
        <f>IF(ISBLANK('Q 5'!H204),"",IF('Q 5'!H204="&lt;please select&gt;","",'Q 5'!H204))</f>
        <v>propane gas</v>
      </c>
    </row>
    <row r="1841" spans="1:7" x14ac:dyDescent="0.3">
      <c r="A1841" t="s">
        <v>1847</v>
      </c>
      <c r="B1841" t="s">
        <v>1855</v>
      </c>
      <c r="C1841">
        <v>3</v>
      </c>
      <c r="D1841" t="s">
        <v>1447</v>
      </c>
      <c r="E1841" t="s">
        <v>1857</v>
      </c>
      <c r="F1841" t="s">
        <v>1741</v>
      </c>
      <c r="G1841" t="str">
        <f>IF(ISBLANK('Q 5'!H205),"",IF('Q 5'!H205="&lt;please select&gt;","",'Q 5'!H205))</f>
        <v>bio-methane</v>
      </c>
    </row>
    <row r="1842" spans="1:7" x14ac:dyDescent="0.3">
      <c r="A1842" t="s">
        <v>1847</v>
      </c>
      <c r="B1842" t="s">
        <v>1855</v>
      </c>
      <c r="C1842">
        <v>4</v>
      </c>
      <c r="D1842" t="s">
        <v>1447</v>
      </c>
      <c r="E1842" t="s">
        <v>1857</v>
      </c>
      <c r="F1842" t="s">
        <v>1741</v>
      </c>
      <c r="G1842" t="str">
        <f>IF(ISBLANK('Q 5'!H206),"",IF('Q 5'!H206="&lt;please select&gt;","",'Q 5'!H206))</f>
        <v xml:space="preserve">gas/diesel oil </v>
      </c>
    </row>
    <row r="1843" spans="1:7" x14ac:dyDescent="0.3">
      <c r="A1843" t="s">
        <v>1847</v>
      </c>
      <c r="B1843" t="s">
        <v>1855</v>
      </c>
      <c r="C1843">
        <v>5</v>
      </c>
      <c r="D1843" t="s">
        <v>1447</v>
      </c>
      <c r="E1843" t="s">
        <v>1857</v>
      </c>
      <c r="F1843" t="s">
        <v>1741</v>
      </c>
      <c r="G1843" t="str">
        <f>IF(ISBLANK('Q 5'!H207),"",IF('Q 5'!H207="&lt;please select&gt;","",'Q 5'!H207))</f>
        <v>wood/wood waste</v>
      </c>
    </row>
    <row r="1844" spans="1:7" x14ac:dyDescent="0.3">
      <c r="A1844" t="s">
        <v>1847</v>
      </c>
      <c r="B1844" t="s">
        <v>1855</v>
      </c>
      <c r="C1844">
        <v>6</v>
      </c>
      <c r="D1844" t="s">
        <v>1447</v>
      </c>
      <c r="E1844" t="s">
        <v>1857</v>
      </c>
      <c r="F1844" t="s">
        <v>1741</v>
      </c>
      <c r="G1844" t="str">
        <f>IF(ISBLANK('Q 5'!H208),"",IF('Q 5'!H208="&lt;please select&gt;","",'Q 5'!H208))</f>
        <v>urea</v>
      </c>
    </row>
    <row r="1845" spans="1:7" x14ac:dyDescent="0.3">
      <c r="A1845" t="s">
        <v>1847</v>
      </c>
      <c r="B1845" t="s">
        <v>1855</v>
      </c>
      <c r="C1845">
        <v>7</v>
      </c>
      <c r="D1845" t="s">
        <v>1447</v>
      </c>
      <c r="E1845" t="s">
        <v>1857</v>
      </c>
      <c r="F1845" t="s">
        <v>1741</v>
      </c>
      <c r="G1845" t="str">
        <f>IF(ISBLANK('Q 5'!H209),"",IF('Q 5'!H209="&lt;please select&gt;","",'Q 5'!H209))</f>
        <v xml:space="preserve">gas/diesel oil </v>
      </c>
    </row>
    <row r="1846" spans="1:7" x14ac:dyDescent="0.3">
      <c r="A1846" t="s">
        <v>1847</v>
      </c>
      <c r="B1846" t="s">
        <v>1855</v>
      </c>
      <c r="C1846">
        <v>8</v>
      </c>
      <c r="D1846" t="s">
        <v>1447</v>
      </c>
      <c r="E1846" t="s">
        <v>1857</v>
      </c>
      <c r="F1846" t="s">
        <v>1741</v>
      </c>
      <c r="G1846" t="str">
        <f>IF(ISBLANK('Q 5'!H210),"",IF('Q 5'!H210="&lt;please select&gt;","",'Q 5'!H210))</f>
        <v>kerosene(other than jet kerosene)</v>
      </c>
    </row>
    <row r="1847" spans="1:7" x14ac:dyDescent="0.3">
      <c r="A1847" t="s">
        <v>1847</v>
      </c>
      <c r="B1847" t="s">
        <v>1855</v>
      </c>
      <c r="C1847">
        <v>9</v>
      </c>
      <c r="D1847" t="s">
        <v>1447</v>
      </c>
      <c r="E1847" t="s">
        <v>1857</v>
      </c>
      <c r="F1847" t="s">
        <v>1741</v>
      </c>
      <c r="G1847" t="str">
        <f>IF(ISBLANK('Q 5'!H211),"",IF('Q 5'!H211="&lt;please select&gt;","",'Q 5'!H211))</f>
        <v>petrol</v>
      </c>
    </row>
    <row r="1848" spans="1:7" x14ac:dyDescent="0.3">
      <c r="A1848" t="s">
        <v>1847</v>
      </c>
      <c r="B1848" t="s">
        <v>1855</v>
      </c>
      <c r="C1848">
        <v>10</v>
      </c>
      <c r="D1848" t="s">
        <v>1447</v>
      </c>
      <c r="E1848" t="s">
        <v>1857</v>
      </c>
      <c r="F1848" t="s">
        <v>1741</v>
      </c>
      <c r="G1848" t="str">
        <f>IF(ISBLANK('Q 5'!H212),"",IF('Q 5'!H212="&lt;please select&gt;","",'Q 5'!H212))</f>
        <v>propane</v>
      </c>
    </row>
    <row r="1849" spans="1:7" x14ac:dyDescent="0.3">
      <c r="A1849" t="s">
        <v>1847</v>
      </c>
      <c r="B1849" t="s">
        <v>1855</v>
      </c>
      <c r="C1849">
        <v>11</v>
      </c>
      <c r="D1849" t="s">
        <v>1447</v>
      </c>
      <c r="E1849" t="s">
        <v>1857</v>
      </c>
      <c r="F1849" t="s">
        <v>1741</v>
      </c>
      <c r="G1849" t="str">
        <f>IF(ISBLANK('Q 5'!H213),"",IF('Q 5'!H213="&lt;please select&gt;","",'Q 5'!H213))</f>
        <v>LPG</v>
      </c>
    </row>
    <row r="1850" spans="1:7" x14ac:dyDescent="0.3">
      <c r="A1850" t="s">
        <v>1847</v>
      </c>
      <c r="B1850" t="s">
        <v>1855</v>
      </c>
      <c r="C1850">
        <v>12</v>
      </c>
      <c r="D1850" t="s">
        <v>1447</v>
      </c>
      <c r="E1850" t="s">
        <v>1857</v>
      </c>
      <c r="F1850" t="s">
        <v>1741</v>
      </c>
      <c r="G1850" t="str">
        <f>IF(ISBLANK('Q 5'!H214),"",IF('Q 5'!H214="&lt;please select&gt;","",'Q 5'!H214))</f>
        <v>acetylene</v>
      </c>
    </row>
    <row r="1851" spans="1:7" x14ac:dyDescent="0.3">
      <c r="A1851" t="s">
        <v>1847</v>
      </c>
      <c r="B1851" t="s">
        <v>1855</v>
      </c>
      <c r="C1851">
        <v>13</v>
      </c>
      <c r="D1851" t="s">
        <v>1447</v>
      </c>
      <c r="E1851" t="s">
        <v>1857</v>
      </c>
      <c r="F1851" t="s">
        <v>1741</v>
      </c>
      <c r="G1851" t="str">
        <f>IF(ISBLANK('Q 5'!H215),"",IF('Q 5'!H215="&lt;please select&gt;","",'Q 5'!H215))</f>
        <v>liquid urea</v>
      </c>
    </row>
    <row r="1852" spans="1:7" x14ac:dyDescent="0.3">
      <c r="A1852" t="s">
        <v>1847</v>
      </c>
      <c r="B1852" t="s">
        <v>1855</v>
      </c>
      <c r="C1852">
        <v>14</v>
      </c>
      <c r="D1852" t="s">
        <v>1447</v>
      </c>
      <c r="E1852" t="s">
        <v>1857</v>
      </c>
      <c r="F1852" t="s">
        <v>1741</v>
      </c>
      <c r="G1852" t="str">
        <f>IF(ISBLANK('Q 5'!H216),"",IF('Q 5'!H216="&lt;please select&gt;","",'Q 5'!H216))</f>
        <v/>
      </c>
    </row>
    <row r="1853" spans="1:7" x14ac:dyDescent="0.3">
      <c r="A1853" t="s">
        <v>1847</v>
      </c>
      <c r="B1853" t="s">
        <v>1855</v>
      </c>
      <c r="C1853">
        <v>15</v>
      </c>
      <c r="D1853" t="s">
        <v>1447</v>
      </c>
      <c r="E1853" t="s">
        <v>1857</v>
      </c>
      <c r="F1853" t="s">
        <v>1741</v>
      </c>
      <c r="G1853" t="str">
        <f>IF(ISBLANK('Q 5'!H217),"",IF('Q 5'!H217="&lt;please select&gt;","",'Q 5'!H217))</f>
        <v/>
      </c>
    </row>
    <row r="1854" spans="1:7" x14ac:dyDescent="0.3">
      <c r="A1854" t="s">
        <v>1847</v>
      </c>
      <c r="B1854" t="s">
        <v>1855</v>
      </c>
      <c r="C1854">
        <v>16</v>
      </c>
      <c r="D1854" t="s">
        <v>1447</v>
      </c>
      <c r="E1854" t="s">
        <v>1857</v>
      </c>
      <c r="F1854" t="s">
        <v>1741</v>
      </c>
      <c r="G1854" t="str">
        <f>IF(ISBLANK('Q 5'!H218),"",IF('Q 5'!H218="&lt;please select&gt;","",'Q 5'!H218))</f>
        <v/>
      </c>
    </row>
    <row r="1855" spans="1:7" x14ac:dyDescent="0.3">
      <c r="A1855" t="s">
        <v>1847</v>
      </c>
      <c r="B1855" t="s">
        <v>1855</v>
      </c>
      <c r="C1855">
        <v>17</v>
      </c>
      <c r="D1855" t="s">
        <v>1447</v>
      </c>
      <c r="E1855" t="s">
        <v>1857</v>
      </c>
      <c r="F1855" t="s">
        <v>1741</v>
      </c>
      <c r="G1855" t="str">
        <f>IF(ISBLANK('Q 5'!H219),"",IF('Q 5'!H219="&lt;please select&gt;","",'Q 5'!H219))</f>
        <v/>
      </c>
    </row>
    <row r="1856" spans="1:7" x14ac:dyDescent="0.3">
      <c r="A1856" t="s">
        <v>1847</v>
      </c>
      <c r="B1856" t="s">
        <v>1855</v>
      </c>
      <c r="C1856">
        <v>18</v>
      </c>
      <c r="D1856" t="s">
        <v>1447</v>
      </c>
      <c r="E1856" t="s">
        <v>1857</v>
      </c>
      <c r="F1856" t="s">
        <v>1741</v>
      </c>
      <c r="G1856" t="str">
        <f>IF(ISBLANK('Q 5'!H220),"",IF('Q 5'!H220="&lt;please select&gt;","",'Q 5'!H220))</f>
        <v/>
      </c>
    </row>
    <row r="1857" spans="1:7" x14ac:dyDescent="0.3">
      <c r="A1857" t="s">
        <v>1847</v>
      </c>
      <c r="B1857" t="s">
        <v>1855</v>
      </c>
      <c r="C1857">
        <v>19</v>
      </c>
      <c r="D1857" t="s">
        <v>1447</v>
      </c>
      <c r="E1857" t="s">
        <v>1857</v>
      </c>
      <c r="F1857" t="s">
        <v>1741</v>
      </c>
      <c r="G1857" t="str">
        <f>IF(ISBLANK('Q 5'!H221),"",IF('Q 5'!H221="&lt;please select&gt;","",'Q 5'!H221))</f>
        <v/>
      </c>
    </row>
    <row r="1858" spans="1:7" x14ac:dyDescent="0.3">
      <c r="A1858" t="s">
        <v>1847</v>
      </c>
      <c r="B1858" t="s">
        <v>1855</v>
      </c>
      <c r="C1858">
        <v>20</v>
      </c>
      <c r="D1858" t="s">
        <v>1447</v>
      </c>
      <c r="E1858" t="s">
        <v>1857</v>
      </c>
      <c r="F1858" t="s">
        <v>1741</v>
      </c>
      <c r="G1858" t="str">
        <f>IF(ISBLANK('Q 5'!H222),"",IF('Q 5'!H222="&lt;please select&gt;","",'Q 5'!H222))</f>
        <v/>
      </c>
    </row>
    <row r="1859" spans="1:7" x14ac:dyDescent="0.3">
      <c r="A1859" t="s">
        <v>1847</v>
      </c>
      <c r="B1859" t="s">
        <v>1855</v>
      </c>
      <c r="C1859">
        <v>21</v>
      </c>
      <c r="D1859" t="s">
        <v>1447</v>
      </c>
      <c r="E1859" t="s">
        <v>1857</v>
      </c>
      <c r="F1859" t="s">
        <v>1741</v>
      </c>
      <c r="G1859" t="str">
        <f>IF(ISBLANK('Q 5'!H223),"",IF('Q 5'!H223="&lt;please select&gt;","",'Q 5'!H223))</f>
        <v/>
      </c>
    </row>
    <row r="1860" spans="1:7" x14ac:dyDescent="0.3">
      <c r="A1860" t="s">
        <v>1847</v>
      </c>
      <c r="B1860" t="s">
        <v>1855</v>
      </c>
      <c r="C1860">
        <v>22</v>
      </c>
      <c r="D1860" t="s">
        <v>1447</v>
      </c>
      <c r="E1860" t="s">
        <v>1857</v>
      </c>
      <c r="F1860" t="s">
        <v>1741</v>
      </c>
      <c r="G1860" t="str">
        <f>IF(ISBLANK('Q 5'!H224),"",IF('Q 5'!H224="&lt;please select&gt;","",'Q 5'!H224))</f>
        <v/>
      </c>
    </row>
    <row r="1861" spans="1:7" x14ac:dyDescent="0.3">
      <c r="A1861" t="s">
        <v>1847</v>
      </c>
      <c r="B1861" t="s">
        <v>1855</v>
      </c>
      <c r="C1861">
        <v>23</v>
      </c>
      <c r="D1861" t="s">
        <v>1447</v>
      </c>
      <c r="E1861" t="s">
        <v>1857</v>
      </c>
      <c r="F1861" t="s">
        <v>1741</v>
      </c>
      <c r="G1861" t="str">
        <f>IF(ISBLANK('Q 5'!H225),"",IF('Q 5'!H225="&lt;please select&gt;","",'Q 5'!H225))</f>
        <v/>
      </c>
    </row>
    <row r="1862" spans="1:7" x14ac:dyDescent="0.3">
      <c r="A1862" t="s">
        <v>1847</v>
      </c>
      <c r="B1862" t="s">
        <v>1855</v>
      </c>
      <c r="C1862">
        <v>24</v>
      </c>
      <c r="D1862" t="s">
        <v>1447</v>
      </c>
      <c r="E1862" t="s">
        <v>1857</v>
      </c>
      <c r="F1862" t="s">
        <v>1741</v>
      </c>
      <c r="G1862" t="str">
        <f>IF(ISBLANK('Q 5'!H226),"",IF('Q 5'!H226="&lt;please select&gt;","",'Q 5'!H226))</f>
        <v/>
      </c>
    </row>
    <row r="1863" spans="1:7" x14ac:dyDescent="0.3">
      <c r="A1863" t="s">
        <v>1847</v>
      </c>
      <c r="B1863" t="s">
        <v>1855</v>
      </c>
      <c r="C1863">
        <v>25</v>
      </c>
      <c r="D1863" t="s">
        <v>1447</v>
      </c>
      <c r="E1863" t="s">
        <v>1857</v>
      </c>
      <c r="F1863" t="s">
        <v>1741</v>
      </c>
      <c r="G1863" t="str">
        <f>IF(ISBLANK('Q 5'!H227),"",IF('Q 5'!H227="&lt;please select&gt;","",'Q 5'!H227))</f>
        <v/>
      </c>
    </row>
    <row r="1864" spans="1:7" x14ac:dyDescent="0.3">
      <c r="A1864" t="s">
        <v>1847</v>
      </c>
      <c r="B1864" t="s">
        <v>1855</v>
      </c>
      <c r="C1864">
        <v>26</v>
      </c>
      <c r="D1864" t="s">
        <v>1447</v>
      </c>
      <c r="E1864" t="s">
        <v>1857</v>
      </c>
      <c r="F1864" t="s">
        <v>1741</v>
      </c>
      <c r="G1864" t="str">
        <f>IF(ISBLANK('Q 5'!H228),"",IF('Q 5'!H228="&lt;please select&gt;","",'Q 5'!H228))</f>
        <v/>
      </c>
    </row>
    <row r="1865" spans="1:7" x14ac:dyDescent="0.3">
      <c r="A1865" t="s">
        <v>1847</v>
      </c>
      <c r="B1865" t="s">
        <v>1855</v>
      </c>
      <c r="C1865">
        <v>27</v>
      </c>
      <c r="D1865" t="s">
        <v>1447</v>
      </c>
      <c r="E1865" t="s">
        <v>1857</v>
      </c>
      <c r="F1865" t="s">
        <v>1741</v>
      </c>
      <c r="G1865" t="str">
        <f>IF(ISBLANK('Q 5'!H229),"",IF('Q 5'!H229="&lt;please select&gt;","",'Q 5'!H229))</f>
        <v/>
      </c>
    </row>
    <row r="1866" spans="1:7" x14ac:dyDescent="0.3">
      <c r="A1866" t="s">
        <v>1847</v>
      </c>
      <c r="B1866" t="s">
        <v>1855</v>
      </c>
      <c r="C1866">
        <v>28</v>
      </c>
      <c r="D1866" t="s">
        <v>1447</v>
      </c>
      <c r="E1866" t="s">
        <v>1857</v>
      </c>
      <c r="F1866" t="s">
        <v>1741</v>
      </c>
      <c r="G1866" t="str">
        <f>IF(ISBLANK('Q 5'!H230),"",IF('Q 5'!H230="&lt;please select&gt;","",'Q 5'!H230))</f>
        <v/>
      </c>
    </row>
    <row r="1867" spans="1:7" x14ac:dyDescent="0.3">
      <c r="A1867" t="s">
        <v>1847</v>
      </c>
      <c r="B1867" t="s">
        <v>1855</v>
      </c>
      <c r="C1867">
        <v>29</v>
      </c>
      <c r="D1867" t="s">
        <v>1447</v>
      </c>
      <c r="E1867" t="s">
        <v>1857</v>
      </c>
      <c r="F1867" t="s">
        <v>1741</v>
      </c>
      <c r="G1867" t="str">
        <f>IF(ISBLANK('Q 5'!H231),"",IF('Q 5'!H231="&lt;please select&gt;","",'Q 5'!H231))</f>
        <v/>
      </c>
    </row>
    <row r="1868" spans="1:7" x14ac:dyDescent="0.3">
      <c r="A1868" t="s">
        <v>1847</v>
      </c>
      <c r="B1868" t="s">
        <v>1855</v>
      </c>
      <c r="C1868">
        <v>30</v>
      </c>
      <c r="D1868" t="s">
        <v>1447</v>
      </c>
      <c r="E1868" t="s">
        <v>1857</v>
      </c>
      <c r="F1868" t="s">
        <v>1741</v>
      </c>
      <c r="G1868" t="str">
        <f>IF(ISBLANK('Q 5'!H232),"",IF('Q 5'!H232="&lt;please select&gt;","",'Q 5'!H232))</f>
        <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v>
      </c>
    </row>
    <row r="2640" spans="1:8" x14ac:dyDescent="0.3">
      <c r="A2640" t="s">
        <v>1847</v>
      </c>
      <c r="B2640" t="s">
        <v>1855</v>
      </c>
      <c r="C2640">
        <v>2</v>
      </c>
      <c r="D2640" t="s">
        <v>1447</v>
      </c>
      <c r="E2640" t="s">
        <v>1858</v>
      </c>
      <c r="F2640" t="s">
        <v>1748</v>
      </c>
      <c r="H2640" s="165" t="str">
        <f>IF(ISBLANK('Q 5'!I204),"",IF('Q 5'!I204="&lt;please select&gt;","",'Q 5'!I204))</f>
        <v>1</v>
      </c>
    </row>
    <row r="2641" spans="1:8" x14ac:dyDescent="0.3">
      <c r="A2641" t="s">
        <v>1847</v>
      </c>
      <c r="B2641" t="s">
        <v>1855</v>
      </c>
      <c r="C2641">
        <v>3</v>
      </c>
      <c r="D2641" t="s">
        <v>1447</v>
      </c>
      <c r="E2641" t="s">
        <v>1858</v>
      </c>
      <c r="F2641" t="s">
        <v>1748</v>
      </c>
      <c r="H2641" s="165" t="str">
        <f>IF(ISBLANK('Q 5'!I205),"",IF('Q 5'!I205="&lt;please select&gt;","",'Q 5'!I205))</f>
        <v>1</v>
      </c>
    </row>
    <row r="2642" spans="1:8" x14ac:dyDescent="0.3">
      <c r="A2642" t="s">
        <v>1847</v>
      </c>
      <c r="B2642" t="s">
        <v>1855</v>
      </c>
      <c r="C2642">
        <v>4</v>
      </c>
      <c r="D2642" t="s">
        <v>1447</v>
      </c>
      <c r="E2642" t="s">
        <v>1858</v>
      </c>
      <c r="F2642" t="s">
        <v>1748</v>
      </c>
      <c r="H2642" s="165" t="str">
        <f>IF(ISBLANK('Q 5'!I206),"",IF('Q 5'!I206="&lt;please select&gt;","",'Q 5'!I206))</f>
        <v>2</v>
      </c>
    </row>
    <row r="2643" spans="1:8" x14ac:dyDescent="0.3">
      <c r="A2643" t="s">
        <v>1847</v>
      </c>
      <c r="B2643" t="s">
        <v>1855</v>
      </c>
      <c r="C2643">
        <v>5</v>
      </c>
      <c r="D2643" t="s">
        <v>1447</v>
      </c>
      <c r="E2643" t="s">
        <v>1858</v>
      </c>
      <c r="F2643" t="s">
        <v>1748</v>
      </c>
      <c r="H2643" s="165" t="str">
        <f>IF(ISBLANK('Q 5'!I207),"",IF('Q 5'!I207="&lt;please select&gt;","",'Q 5'!I207))</f>
        <v>1</v>
      </c>
    </row>
    <row r="2644" spans="1:8" x14ac:dyDescent="0.3">
      <c r="A2644" t="s">
        <v>1847</v>
      </c>
      <c r="B2644" t="s">
        <v>1855</v>
      </c>
      <c r="C2644">
        <v>6</v>
      </c>
      <c r="D2644" t="s">
        <v>1447</v>
      </c>
      <c r="E2644" t="s">
        <v>1858</v>
      </c>
      <c r="F2644" t="s">
        <v>1748</v>
      </c>
      <c r="H2644" s="165" t="str">
        <f>IF(ISBLANK('Q 5'!I208),"",IF('Q 5'!I208="&lt;please select&gt;","",'Q 5'!I208))</f>
        <v>1</v>
      </c>
    </row>
    <row r="2645" spans="1:8" x14ac:dyDescent="0.3">
      <c r="A2645" t="s">
        <v>1847</v>
      </c>
      <c r="B2645" t="s">
        <v>1855</v>
      </c>
      <c r="C2645">
        <v>7</v>
      </c>
      <c r="D2645" t="s">
        <v>1447</v>
      </c>
      <c r="E2645" t="s">
        <v>1858</v>
      </c>
      <c r="F2645" t="s">
        <v>1748</v>
      </c>
      <c r="H2645" s="165" t="str">
        <f>IF(ISBLANK('Q 5'!I209),"",IF('Q 5'!I209="&lt;please select&gt;","",'Q 5'!I209))</f>
        <v>3</v>
      </c>
    </row>
    <row r="2646" spans="1:8" x14ac:dyDescent="0.3">
      <c r="A2646" t="s">
        <v>1847</v>
      </c>
      <c r="B2646" t="s">
        <v>1855</v>
      </c>
      <c r="C2646">
        <v>8</v>
      </c>
      <c r="D2646" t="s">
        <v>1447</v>
      </c>
      <c r="E2646" t="s">
        <v>1858</v>
      </c>
      <c r="F2646" t="s">
        <v>1748</v>
      </c>
      <c r="H2646" s="165" t="str">
        <f>IF(ISBLANK('Q 5'!I210),"",IF('Q 5'!I210="&lt;please select&gt;","",'Q 5'!I210))</f>
        <v>2</v>
      </c>
    </row>
    <row r="2647" spans="1:8" x14ac:dyDescent="0.3">
      <c r="A2647" t="s">
        <v>1847</v>
      </c>
      <c r="B2647" t="s">
        <v>1855</v>
      </c>
      <c r="C2647">
        <v>9</v>
      </c>
      <c r="D2647" t="s">
        <v>1447</v>
      </c>
      <c r="E2647" t="s">
        <v>1858</v>
      </c>
      <c r="F2647" t="s">
        <v>1748</v>
      </c>
      <c r="H2647" s="165" t="str">
        <f>IF(ISBLANK('Q 5'!I211),"",IF('Q 5'!I211="&lt;please select&gt;","",'Q 5'!I211))</f>
        <v>1</v>
      </c>
    </row>
    <row r="2648" spans="1:8" x14ac:dyDescent="0.3">
      <c r="A2648" t="s">
        <v>1847</v>
      </c>
      <c r="B2648" t="s">
        <v>1855</v>
      </c>
      <c r="C2648">
        <v>10</v>
      </c>
      <c r="D2648" t="s">
        <v>1447</v>
      </c>
      <c r="E2648" t="s">
        <v>1858</v>
      </c>
      <c r="F2648" t="s">
        <v>1748</v>
      </c>
      <c r="H2648" s="165" t="str">
        <f>IF(ISBLANK('Q 5'!I212),"",IF('Q 5'!I212="&lt;please select&gt;","",'Q 5'!I212))</f>
        <v>1</v>
      </c>
    </row>
    <row r="2649" spans="1:8" x14ac:dyDescent="0.3">
      <c r="A2649" t="s">
        <v>1847</v>
      </c>
      <c r="B2649" t="s">
        <v>1855</v>
      </c>
      <c r="C2649">
        <v>11</v>
      </c>
      <c r="D2649" t="s">
        <v>1447</v>
      </c>
      <c r="E2649" t="s">
        <v>1858</v>
      </c>
      <c r="F2649" t="s">
        <v>1748</v>
      </c>
      <c r="H2649" s="165" t="str">
        <f>IF(ISBLANK('Q 5'!I213),"",IF('Q 5'!I213="&lt;please select&gt;","",'Q 5'!I213))</f>
        <v>2</v>
      </c>
    </row>
    <row r="2650" spans="1:8" x14ac:dyDescent="0.3">
      <c r="A2650" t="s">
        <v>1847</v>
      </c>
      <c r="B2650" t="s">
        <v>1855</v>
      </c>
      <c r="C2650">
        <v>12</v>
      </c>
      <c r="D2650" t="s">
        <v>1447</v>
      </c>
      <c r="E2650" t="s">
        <v>1858</v>
      </c>
      <c r="F2650" t="s">
        <v>1748</v>
      </c>
      <c r="H2650" s="165" t="str">
        <f>IF(ISBLANK('Q 5'!I214),"",IF('Q 5'!I214="&lt;please select&gt;","",'Q 5'!I214))</f>
        <v>1</v>
      </c>
    </row>
    <row r="2651" spans="1:8" x14ac:dyDescent="0.3">
      <c r="A2651" t="s">
        <v>1847</v>
      </c>
      <c r="B2651" t="s">
        <v>1855</v>
      </c>
      <c r="C2651">
        <v>13</v>
      </c>
      <c r="D2651" t="s">
        <v>1447</v>
      </c>
      <c r="E2651" t="s">
        <v>1858</v>
      </c>
      <c r="F2651" t="s">
        <v>1748</v>
      </c>
      <c r="H2651" s="165" t="str">
        <f>IF(ISBLANK('Q 5'!I215),"",IF('Q 5'!I215="&lt;please select&gt;","",'Q 5'!I215))</f>
        <v>1</v>
      </c>
    </row>
    <row r="2652" spans="1:8" x14ac:dyDescent="0.3">
      <c r="A2652" t="s">
        <v>1847</v>
      </c>
      <c r="B2652" t="s">
        <v>1855</v>
      </c>
      <c r="C2652">
        <v>14</v>
      </c>
      <c r="D2652" t="s">
        <v>1447</v>
      </c>
      <c r="E2652" t="s">
        <v>1858</v>
      </c>
      <c r="F2652" t="s">
        <v>1748</v>
      </c>
      <c r="H2652" s="165" t="str">
        <f>IF(ISBLANK('Q 5'!I216),"",IF('Q 5'!I216="&lt;please select&gt;","",'Q 5'!I216))</f>
        <v/>
      </c>
    </row>
    <row r="2653" spans="1:8" x14ac:dyDescent="0.3">
      <c r="A2653" t="s">
        <v>1847</v>
      </c>
      <c r="B2653" t="s">
        <v>1855</v>
      </c>
      <c r="C2653">
        <v>15</v>
      </c>
      <c r="D2653" t="s">
        <v>1447</v>
      </c>
      <c r="E2653" t="s">
        <v>1858</v>
      </c>
      <c r="F2653" t="s">
        <v>1748</v>
      </c>
      <c r="H2653" s="165" t="str">
        <f>IF(ISBLANK('Q 5'!I217),"",IF('Q 5'!I217="&lt;please select&gt;","",'Q 5'!I217))</f>
        <v/>
      </c>
    </row>
    <row r="2654" spans="1:8" x14ac:dyDescent="0.3">
      <c r="A2654" t="s">
        <v>1847</v>
      </c>
      <c r="B2654" t="s">
        <v>1855</v>
      </c>
      <c r="C2654">
        <v>16</v>
      </c>
      <c r="D2654" t="s">
        <v>1447</v>
      </c>
      <c r="E2654" t="s">
        <v>1858</v>
      </c>
      <c r="F2654" t="s">
        <v>1748</v>
      </c>
      <c r="H2654" s="165" t="str">
        <f>IF(ISBLANK('Q 5'!I218),"",IF('Q 5'!I218="&lt;please select&gt;","",'Q 5'!I218))</f>
        <v/>
      </c>
    </row>
    <row r="2655" spans="1:8" x14ac:dyDescent="0.3">
      <c r="A2655" t="s">
        <v>1847</v>
      </c>
      <c r="B2655" t="s">
        <v>1855</v>
      </c>
      <c r="C2655">
        <v>17</v>
      </c>
      <c r="D2655" t="s">
        <v>1447</v>
      </c>
      <c r="E2655" t="s">
        <v>1858</v>
      </c>
      <c r="F2655" t="s">
        <v>1748</v>
      </c>
      <c r="H2655" s="165" t="str">
        <f>IF(ISBLANK('Q 5'!I219),"",IF('Q 5'!I219="&lt;please select&gt;","",'Q 5'!I219))</f>
        <v/>
      </c>
    </row>
    <row r="2656" spans="1:8" x14ac:dyDescent="0.3">
      <c r="A2656" t="s">
        <v>1847</v>
      </c>
      <c r="B2656" t="s">
        <v>1855</v>
      </c>
      <c r="C2656">
        <v>18</v>
      </c>
      <c r="D2656" t="s">
        <v>1447</v>
      </c>
      <c r="E2656" t="s">
        <v>1858</v>
      </c>
      <c r="F2656" t="s">
        <v>1748</v>
      </c>
      <c r="H2656" s="165" t="str">
        <f>IF(ISBLANK('Q 5'!I220),"",IF('Q 5'!I220="&lt;please select&gt;","",'Q 5'!I220))</f>
        <v/>
      </c>
    </row>
    <row r="2657" spans="1:8" x14ac:dyDescent="0.3">
      <c r="A2657" t="s">
        <v>1847</v>
      </c>
      <c r="B2657" t="s">
        <v>1855</v>
      </c>
      <c r="C2657">
        <v>19</v>
      </c>
      <c r="D2657" t="s">
        <v>1447</v>
      </c>
      <c r="E2657" t="s">
        <v>1858</v>
      </c>
      <c r="F2657" t="s">
        <v>1748</v>
      </c>
      <c r="H2657" s="165" t="str">
        <f>IF(ISBLANK('Q 5'!I221),"",IF('Q 5'!I221="&lt;please select&gt;","",'Q 5'!I221))</f>
        <v/>
      </c>
    </row>
    <row r="2658" spans="1:8" x14ac:dyDescent="0.3">
      <c r="A2658" t="s">
        <v>1847</v>
      </c>
      <c r="B2658" t="s">
        <v>1855</v>
      </c>
      <c r="C2658">
        <v>20</v>
      </c>
      <c r="D2658" t="s">
        <v>1447</v>
      </c>
      <c r="E2658" t="s">
        <v>1858</v>
      </c>
      <c r="F2658" t="s">
        <v>1748</v>
      </c>
      <c r="H2658" s="165" t="str">
        <f>IF(ISBLANK('Q 5'!I222),"",IF('Q 5'!I222="&lt;please select&gt;","",'Q 5'!I222))</f>
        <v/>
      </c>
    </row>
    <row r="2659" spans="1:8" x14ac:dyDescent="0.3">
      <c r="A2659" t="s">
        <v>1847</v>
      </c>
      <c r="B2659" t="s">
        <v>1855</v>
      </c>
      <c r="C2659">
        <v>21</v>
      </c>
      <c r="D2659" t="s">
        <v>1447</v>
      </c>
      <c r="E2659" t="s">
        <v>1858</v>
      </c>
      <c r="F2659" t="s">
        <v>1748</v>
      </c>
      <c r="H2659" s="165" t="str">
        <f>IF(ISBLANK('Q 5'!I223),"",IF('Q 5'!I223="&lt;please select&gt;","",'Q 5'!I223))</f>
        <v/>
      </c>
    </row>
    <row r="2660" spans="1:8" x14ac:dyDescent="0.3">
      <c r="A2660" t="s">
        <v>1847</v>
      </c>
      <c r="B2660" t="s">
        <v>1855</v>
      </c>
      <c r="C2660">
        <v>22</v>
      </c>
      <c r="D2660" t="s">
        <v>1447</v>
      </c>
      <c r="E2660" t="s">
        <v>1858</v>
      </c>
      <c r="F2660" t="s">
        <v>1748</v>
      </c>
      <c r="H2660" s="165" t="str">
        <f>IF(ISBLANK('Q 5'!I224),"",IF('Q 5'!I224="&lt;please select&gt;","",'Q 5'!I224))</f>
        <v/>
      </c>
    </row>
    <row r="2661" spans="1:8" x14ac:dyDescent="0.3">
      <c r="A2661" t="s">
        <v>1847</v>
      </c>
      <c r="B2661" t="s">
        <v>1855</v>
      </c>
      <c r="C2661">
        <v>23</v>
      </c>
      <c r="D2661" t="s">
        <v>1447</v>
      </c>
      <c r="E2661" t="s">
        <v>1858</v>
      </c>
      <c r="F2661" t="s">
        <v>1748</v>
      </c>
      <c r="H2661" s="165" t="str">
        <f>IF(ISBLANK('Q 5'!I225),"",IF('Q 5'!I225="&lt;please select&gt;","",'Q 5'!I225))</f>
        <v/>
      </c>
    </row>
    <row r="2662" spans="1:8" x14ac:dyDescent="0.3">
      <c r="A2662" t="s">
        <v>1847</v>
      </c>
      <c r="B2662" t="s">
        <v>1855</v>
      </c>
      <c r="C2662">
        <v>24</v>
      </c>
      <c r="D2662" t="s">
        <v>1447</v>
      </c>
      <c r="E2662" t="s">
        <v>1858</v>
      </c>
      <c r="F2662" t="s">
        <v>1748</v>
      </c>
      <c r="H2662" s="165" t="str">
        <f>IF(ISBLANK('Q 5'!I226),"",IF('Q 5'!I226="&lt;please select&gt;","",'Q 5'!I226))</f>
        <v/>
      </c>
    </row>
    <row r="2663" spans="1:8" x14ac:dyDescent="0.3">
      <c r="A2663" t="s">
        <v>1847</v>
      </c>
      <c r="B2663" t="s">
        <v>1855</v>
      </c>
      <c r="C2663">
        <v>25</v>
      </c>
      <c r="D2663" t="s">
        <v>1447</v>
      </c>
      <c r="E2663" t="s">
        <v>1858</v>
      </c>
      <c r="F2663" t="s">
        <v>1748</v>
      </c>
      <c r="H2663" s="165" t="str">
        <f>IF(ISBLANK('Q 5'!I227),"",IF('Q 5'!I227="&lt;please select&gt;","",'Q 5'!I227))</f>
        <v/>
      </c>
    </row>
    <row r="2664" spans="1:8" x14ac:dyDescent="0.3">
      <c r="A2664" t="s">
        <v>1847</v>
      </c>
      <c r="B2664" t="s">
        <v>1855</v>
      </c>
      <c r="C2664">
        <v>26</v>
      </c>
      <c r="D2664" t="s">
        <v>1447</v>
      </c>
      <c r="E2664" t="s">
        <v>1858</v>
      </c>
      <c r="F2664" t="s">
        <v>1748</v>
      </c>
      <c r="H2664" s="165" t="str">
        <f>IF(ISBLANK('Q 5'!I228),"",IF('Q 5'!I228="&lt;please select&gt;","",'Q 5'!I228))</f>
        <v/>
      </c>
    </row>
    <row r="2665" spans="1:8" x14ac:dyDescent="0.3">
      <c r="A2665" t="s">
        <v>1847</v>
      </c>
      <c r="B2665" t="s">
        <v>1855</v>
      </c>
      <c r="C2665">
        <v>27</v>
      </c>
      <c r="D2665" t="s">
        <v>1447</v>
      </c>
      <c r="E2665" t="s">
        <v>1858</v>
      </c>
      <c r="F2665" t="s">
        <v>1748</v>
      </c>
      <c r="H2665" s="165" t="str">
        <f>IF(ISBLANK('Q 5'!I229),"",IF('Q 5'!I229="&lt;please select&gt;","",'Q 5'!I229))</f>
        <v/>
      </c>
    </row>
    <row r="2666" spans="1:8" x14ac:dyDescent="0.3">
      <c r="A2666" t="s">
        <v>1847</v>
      </c>
      <c r="B2666" t="s">
        <v>1855</v>
      </c>
      <c r="C2666">
        <v>28</v>
      </c>
      <c r="D2666" t="s">
        <v>1447</v>
      </c>
      <c r="E2666" t="s">
        <v>1858</v>
      </c>
      <c r="F2666" t="s">
        <v>1748</v>
      </c>
      <c r="H2666" s="165" t="str">
        <f>IF(ISBLANK('Q 5'!I230),"",IF('Q 5'!I230="&lt;please select&gt;","",'Q 5'!I230))</f>
        <v/>
      </c>
    </row>
    <row r="2667" spans="1:8" x14ac:dyDescent="0.3">
      <c r="A2667" t="s">
        <v>1847</v>
      </c>
      <c r="B2667" t="s">
        <v>1855</v>
      </c>
      <c r="C2667">
        <v>29</v>
      </c>
      <c r="D2667" t="s">
        <v>1447</v>
      </c>
      <c r="E2667" t="s">
        <v>1858</v>
      </c>
      <c r="F2667" t="s">
        <v>1748</v>
      </c>
      <c r="H2667" s="165" t="str">
        <f>IF(ISBLANK('Q 5'!I231),"",IF('Q 5'!I231="&lt;please select&gt;","",'Q 5'!I231))</f>
        <v/>
      </c>
    </row>
    <row r="2668" spans="1:8" x14ac:dyDescent="0.3">
      <c r="A2668" t="s">
        <v>1847</v>
      </c>
      <c r="B2668" t="s">
        <v>1855</v>
      </c>
      <c r="C2668">
        <v>30</v>
      </c>
      <c r="D2668" t="s">
        <v>1447</v>
      </c>
      <c r="E2668" t="s">
        <v>1858</v>
      </c>
      <c r="F2668" t="s">
        <v>1748</v>
      </c>
      <c r="H2668" s="165" t="str">
        <f>IF(ISBLANK('Q 5'!I232),"",IF('Q 5'!I232="&lt;please select&gt;","",'Q 5'!I232))</f>
        <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0</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A</v>
      </c>
    </row>
    <row r="4002" spans="1:11" x14ac:dyDescent="0.3">
      <c r="A4002" t="s">
        <v>1886</v>
      </c>
      <c r="B4002" t="s">
        <v>1887</v>
      </c>
      <c r="C4002">
        <v>2</v>
      </c>
      <c r="D4002" t="s">
        <v>1447</v>
      </c>
      <c r="E4002" t="s">
        <v>1856</v>
      </c>
      <c r="F4002" t="s">
        <v>1737</v>
      </c>
      <c r="K4002" t="str">
        <f>IF(ISBLANK('Q 5'!C1145),"",IF('Q 5'!C1145="&lt;please select&gt;","",'Q 5'!C1145))</f>
        <v>Category C</v>
      </c>
    </row>
    <row r="4003" spans="1:11" x14ac:dyDescent="0.3">
      <c r="A4003" t="s">
        <v>1886</v>
      </c>
      <c r="B4003" t="s">
        <v>1887</v>
      </c>
      <c r="C4003">
        <v>3</v>
      </c>
      <c r="D4003" t="s">
        <v>1447</v>
      </c>
      <c r="E4003" t="s">
        <v>1856</v>
      </c>
      <c r="F4003" t="s">
        <v>1737</v>
      </c>
      <c r="K4003" t="str">
        <f>IF(ISBLANK('Q 5'!C1146),"",IF('Q 5'!C1146="&lt;please select&gt;","",'Q 5'!C1146))</f>
        <v>Category A</v>
      </c>
    </row>
    <row r="4004" spans="1:11" x14ac:dyDescent="0.3">
      <c r="A4004" t="s">
        <v>1886</v>
      </c>
      <c r="B4004" t="s">
        <v>1887</v>
      </c>
      <c r="C4004">
        <v>4</v>
      </c>
      <c r="D4004" t="s">
        <v>1447</v>
      </c>
      <c r="E4004" t="s">
        <v>1856</v>
      </c>
      <c r="F4004" t="s">
        <v>1737</v>
      </c>
      <c r="K4004" t="str">
        <f>IF(ISBLANK('Q 5'!C1147),"",IF('Q 5'!C1147="&lt;please select&gt;","",'Q 5'!C1147))</f>
        <v>Category C</v>
      </c>
    </row>
    <row r="4005" spans="1:11" x14ac:dyDescent="0.3">
      <c r="A4005" t="s">
        <v>1886</v>
      </c>
      <c r="B4005" t="s">
        <v>1887</v>
      </c>
      <c r="C4005">
        <v>5</v>
      </c>
      <c r="D4005" t="s">
        <v>1447</v>
      </c>
      <c r="E4005" t="s">
        <v>1856</v>
      </c>
      <c r="F4005" t="s">
        <v>1737</v>
      </c>
      <c r="K4005" t="str">
        <f>IF(ISBLANK('Q 5'!C1148),"",IF('Q 5'!C1148="&lt;please select&gt;","",'Q 5'!C1148))</f>
        <v>Category A</v>
      </c>
    </row>
    <row r="4006" spans="1:11" x14ac:dyDescent="0.3">
      <c r="A4006" t="s">
        <v>1886</v>
      </c>
      <c r="B4006" t="s">
        <v>1887</v>
      </c>
      <c r="C4006">
        <v>6</v>
      </c>
      <c r="D4006" t="s">
        <v>1447</v>
      </c>
      <c r="E4006" t="s">
        <v>1856</v>
      </c>
      <c r="F4006" t="s">
        <v>1737</v>
      </c>
      <c r="K4006" t="str">
        <f>IF(ISBLANK('Q 5'!C1149),"",IF('Q 5'!C1149="&lt;please select&gt;","",'Q 5'!C1149))</f>
        <v>Category C</v>
      </c>
    </row>
    <row r="4007" spans="1:11" x14ac:dyDescent="0.3">
      <c r="A4007" t="s">
        <v>1886</v>
      </c>
      <c r="B4007" t="s">
        <v>1887</v>
      </c>
      <c r="C4007">
        <v>7</v>
      </c>
      <c r="D4007" t="s">
        <v>1447</v>
      </c>
      <c r="E4007" t="s">
        <v>1856</v>
      </c>
      <c r="F4007" t="s">
        <v>1737</v>
      </c>
      <c r="K4007" t="str">
        <f>IF(ISBLANK('Q 5'!C1150),"",IF('Q 5'!C1150="&lt;please select&gt;","",'Q 5'!C1150))</f>
        <v/>
      </c>
    </row>
    <row r="4008" spans="1:11" x14ac:dyDescent="0.3">
      <c r="A4008" t="s">
        <v>1886</v>
      </c>
      <c r="B4008" t="s">
        <v>1887</v>
      </c>
      <c r="C4008">
        <v>8</v>
      </c>
      <c r="D4008" t="s">
        <v>1447</v>
      </c>
      <c r="E4008" t="s">
        <v>1856</v>
      </c>
      <c r="F4008" t="s">
        <v>1737</v>
      </c>
      <c r="K4008" t="str">
        <f>IF(ISBLANK('Q 5'!C1151),"",IF('Q 5'!C1151="&lt;please select&gt;","",'Q 5'!C1151))</f>
        <v/>
      </c>
    </row>
    <row r="4009" spans="1:11" x14ac:dyDescent="0.3">
      <c r="A4009" t="s">
        <v>1886</v>
      </c>
      <c r="B4009" t="s">
        <v>1887</v>
      </c>
      <c r="C4009">
        <v>9</v>
      </c>
      <c r="D4009" t="s">
        <v>1447</v>
      </c>
      <c r="E4009" t="s">
        <v>1856</v>
      </c>
      <c r="F4009" t="s">
        <v>1737</v>
      </c>
      <c r="K4009" t="str">
        <f>IF(ISBLANK('Q 5'!C1152),"",IF('Q 5'!C1152="&lt;please select&gt;","",'Q 5'!C1152))</f>
        <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20 - Combustion of fuels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20 - Combustion of fuels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20 - Combustion of fuels as specified in Annex I of Directive 2003/87/EC</v>
      </c>
    </row>
    <row r="4075" spans="1:11" x14ac:dyDescent="0.3">
      <c r="A4075" t="s">
        <v>1886</v>
      </c>
      <c r="B4075" t="s">
        <v>1887</v>
      </c>
      <c r="C4075">
        <v>5</v>
      </c>
      <c r="D4075" t="s">
        <v>1447</v>
      </c>
      <c r="E4075" t="s">
        <v>1888</v>
      </c>
      <c r="F4075" t="s">
        <v>1737</v>
      </c>
      <c r="K4075" t="str">
        <f>IF(ISBLANK('Q 5'!D1148),"",IF('Q 5'!D1148="&lt;please select&gt;","",'Q 5'!D1148))</f>
        <v>20 - Combustion of fuels as specified in Annex I of Directive 2003/87/EC</v>
      </c>
    </row>
    <row r="4076" spans="1:11" x14ac:dyDescent="0.3">
      <c r="A4076" t="s">
        <v>1886</v>
      </c>
      <c r="B4076" t="s">
        <v>1887</v>
      </c>
      <c r="C4076">
        <v>6</v>
      </c>
      <c r="D4076" t="s">
        <v>1447</v>
      </c>
      <c r="E4076" t="s">
        <v>1888</v>
      </c>
      <c r="F4076" t="s">
        <v>1737</v>
      </c>
      <c r="K4076" t="str">
        <f>IF(ISBLANK('Q 5'!D1149),"",IF('Q 5'!D1149="&lt;please select&gt;","",'Q 5'!D1149))</f>
        <v>20 - Combustion of fuels as specified in Annex I of Directive 2003/87/EC</v>
      </c>
    </row>
    <row r="4077" spans="1:11" x14ac:dyDescent="0.3">
      <c r="A4077" t="s">
        <v>1886</v>
      </c>
      <c r="B4077" t="s">
        <v>1887</v>
      </c>
      <c r="C4077">
        <v>7</v>
      </c>
      <c r="D4077" t="s">
        <v>1447</v>
      </c>
      <c r="E4077" t="s">
        <v>1888</v>
      </c>
      <c r="F4077" t="s">
        <v>1737</v>
      </c>
      <c r="K4077" t="str">
        <f>IF(ISBLANK('Q 5'!D1150),"",IF('Q 5'!D1150="&lt;please select&gt;","",'Q 5'!D1150))</f>
        <v/>
      </c>
    </row>
    <row r="4078" spans="1:11" x14ac:dyDescent="0.3">
      <c r="A4078" t="s">
        <v>1886</v>
      </c>
      <c r="B4078" t="s">
        <v>1887</v>
      </c>
      <c r="C4078">
        <v>8</v>
      </c>
      <c r="D4078" t="s">
        <v>1447</v>
      </c>
      <c r="E4078" t="s">
        <v>1888</v>
      </c>
      <c r="F4078" t="s">
        <v>1737</v>
      </c>
      <c r="K4078" t="str">
        <f>IF(ISBLANK('Q 5'!D1151),"",IF('Q 5'!D1151="&lt;please select&gt;","",'Q 5'!D1151))</f>
        <v/>
      </c>
    </row>
    <row r="4079" spans="1:11" x14ac:dyDescent="0.3">
      <c r="A4079" t="s">
        <v>1886</v>
      </c>
      <c r="B4079" t="s">
        <v>1887</v>
      </c>
      <c r="C4079">
        <v>9</v>
      </c>
      <c r="D4079" t="s">
        <v>1447</v>
      </c>
      <c r="E4079" t="s">
        <v>1888</v>
      </c>
      <c r="F4079" t="s">
        <v>1737</v>
      </c>
      <c r="K4079" t="str">
        <f>IF(ISBLANK('Q 5'!D1152),"",IF('Q 5'!D1152="&lt;please select&gt;","",'Q 5'!D1152))</f>
        <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in accordance with Article 69(3)</v>
      </c>
    </row>
    <row r="4144" spans="1:11" x14ac:dyDescent="0.3">
      <c r="A4144" t="s">
        <v>1886</v>
      </c>
      <c r="B4144" t="s">
        <v>1887</v>
      </c>
      <c r="C4144">
        <v>4</v>
      </c>
      <c r="D4144" t="s">
        <v>1447</v>
      </c>
      <c r="E4144" t="s">
        <v>1889</v>
      </c>
      <c r="F4144" t="s">
        <v>1737</v>
      </c>
      <c r="K4144" t="str">
        <f>IF(ISBLANK('Q 5'!F1147),"",IF('Q 5'!F1147="&lt;please select&gt;","",'Q 5'!F1147))</f>
        <v>Improvement report in accordance with Article 69(3)</v>
      </c>
    </row>
    <row r="4145" spans="1:11" x14ac:dyDescent="0.3">
      <c r="A4145" t="s">
        <v>1886</v>
      </c>
      <c r="B4145" t="s">
        <v>1887</v>
      </c>
      <c r="C4145">
        <v>5</v>
      </c>
      <c r="D4145" t="s">
        <v>1447</v>
      </c>
      <c r="E4145" t="s">
        <v>1889</v>
      </c>
      <c r="F4145" t="s">
        <v>1737</v>
      </c>
      <c r="K4145" t="str">
        <f>IF(ISBLANK('Q 5'!F1148),"",IF('Q 5'!F1148="&lt;please select&gt;","",'Q 5'!F1148))</f>
        <v>Improvement report according to Article 69(4)</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
      </c>
    </row>
    <row r="4148" spans="1:11" x14ac:dyDescent="0.3">
      <c r="A4148" t="s">
        <v>1886</v>
      </c>
      <c r="B4148" t="s">
        <v>1887</v>
      </c>
      <c r="C4148">
        <v>8</v>
      </c>
      <c r="D4148" t="s">
        <v>1447</v>
      </c>
      <c r="E4148" t="s">
        <v>1889</v>
      </c>
      <c r="F4148" t="s">
        <v>1737</v>
      </c>
      <c r="K4148" t="str">
        <f>IF(ISBLANK('Q 5'!F1151),"",IF('Q 5'!F1151="&lt;please select&gt;","",'Q 5'!F1151))</f>
        <v/>
      </c>
    </row>
    <row r="4149" spans="1:11" x14ac:dyDescent="0.3">
      <c r="A4149" t="s">
        <v>1886</v>
      </c>
      <c r="B4149" t="s">
        <v>1887</v>
      </c>
      <c r="C4149">
        <v>9</v>
      </c>
      <c r="D4149" t="s">
        <v>1447</v>
      </c>
      <c r="E4149" t="s">
        <v>1889</v>
      </c>
      <c r="F4149" t="s">
        <v>1737</v>
      </c>
      <c r="K4149" t="str">
        <f>IF(ISBLANK('Q 5'!F1152),"",IF('Q 5'!F1152="&lt;please select&gt;","",'Q 5'!F1152))</f>
        <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0</v>
      </c>
    </row>
    <row r="4212" spans="1:11" x14ac:dyDescent="0.3">
      <c r="A4212" t="s">
        <v>1886</v>
      </c>
      <c r="B4212" t="s">
        <v>1887</v>
      </c>
      <c r="C4212">
        <v>2</v>
      </c>
      <c r="D4212" t="s">
        <v>1447</v>
      </c>
      <c r="E4212" t="s">
        <v>1890</v>
      </c>
      <c r="F4212" t="s">
        <v>1748</v>
      </c>
      <c r="H4212" t="str">
        <f>IF(ISBLANK('Q 5'!H1145),"",IF('Q 5'!H1145="&lt;please select&gt;","",'Q 5'!H1145))</f>
        <v>0</v>
      </c>
    </row>
    <row r="4213" spans="1:11" x14ac:dyDescent="0.3">
      <c r="A4213" t="s">
        <v>1886</v>
      </c>
      <c r="B4213" t="s">
        <v>1887</v>
      </c>
      <c r="C4213">
        <v>3</v>
      </c>
      <c r="D4213" t="s">
        <v>1447</v>
      </c>
      <c r="E4213" t="s">
        <v>1890</v>
      </c>
      <c r="F4213" t="s">
        <v>1748</v>
      </c>
      <c r="H4213" t="str">
        <f>IF(ISBLANK('Q 5'!H1146),"",IF('Q 5'!H1146="&lt;please select&gt;","",'Q 5'!H1146))</f>
        <v>0</v>
      </c>
    </row>
    <row r="4214" spans="1:11" x14ac:dyDescent="0.3">
      <c r="A4214" t="s">
        <v>1886</v>
      </c>
      <c r="B4214" t="s">
        <v>1887</v>
      </c>
      <c r="C4214">
        <v>4</v>
      </c>
      <c r="D4214" t="s">
        <v>1447</v>
      </c>
      <c r="E4214" t="s">
        <v>1890</v>
      </c>
      <c r="F4214" t="s">
        <v>1748</v>
      </c>
      <c r="H4214" t="str">
        <f>IF(ISBLANK('Q 5'!H1147),"",IF('Q 5'!H1147="&lt;please select&gt;","",'Q 5'!H1147))</f>
        <v>0</v>
      </c>
    </row>
    <row r="4215" spans="1:11" x14ac:dyDescent="0.3">
      <c r="A4215" t="s">
        <v>1886</v>
      </c>
      <c r="B4215" t="s">
        <v>1887</v>
      </c>
      <c r="C4215">
        <v>5</v>
      </c>
      <c r="D4215" t="s">
        <v>1447</v>
      </c>
      <c r="E4215" t="s">
        <v>1890</v>
      </c>
      <c r="F4215" t="s">
        <v>1748</v>
      </c>
      <c r="H4215" t="str">
        <f>IF(ISBLANK('Q 5'!H1148),"",IF('Q 5'!H1148="&lt;please select&gt;","",'Q 5'!H1148))</f>
        <v>0</v>
      </c>
    </row>
    <row r="4216" spans="1:11" x14ac:dyDescent="0.3">
      <c r="A4216" t="s">
        <v>1886</v>
      </c>
      <c r="B4216" t="s">
        <v>1887</v>
      </c>
      <c r="C4216">
        <v>6</v>
      </c>
      <c r="D4216" t="s">
        <v>1447</v>
      </c>
      <c r="E4216" t="s">
        <v>1890</v>
      </c>
      <c r="F4216" t="s">
        <v>1748</v>
      </c>
      <c r="H4216" t="str">
        <f>IF(ISBLANK('Q 5'!H1149),"",IF('Q 5'!H1149="&lt;please select&gt;","",'Q 5'!H1149))</f>
        <v>0</v>
      </c>
    </row>
    <row r="4217" spans="1:11" x14ac:dyDescent="0.3">
      <c r="A4217" t="s">
        <v>1886</v>
      </c>
      <c r="B4217" t="s">
        <v>1887</v>
      </c>
      <c r="C4217">
        <v>7</v>
      </c>
      <c r="D4217" t="s">
        <v>1447</v>
      </c>
      <c r="E4217" t="s">
        <v>1890</v>
      </c>
      <c r="F4217" t="s">
        <v>1748</v>
      </c>
      <c r="H4217" t="str">
        <f>IF(ISBLANK('Q 5'!H1150),"",IF('Q 5'!H1150="&lt;please select&gt;","",'Q 5'!H1150))</f>
        <v/>
      </c>
    </row>
    <row r="4218" spans="1:11" x14ac:dyDescent="0.3">
      <c r="A4218" t="s">
        <v>1886</v>
      </c>
      <c r="B4218" t="s">
        <v>1887</v>
      </c>
      <c r="C4218">
        <v>8</v>
      </c>
      <c r="D4218" t="s">
        <v>1447</v>
      </c>
      <c r="E4218" t="s">
        <v>1890</v>
      </c>
      <c r="F4218" t="s">
        <v>1748</v>
      </c>
      <c r="H4218" t="str">
        <f>IF(ISBLANK('Q 5'!H1151),"",IF('Q 5'!H1151="&lt;please select&gt;","",'Q 5'!H1151))</f>
        <v/>
      </c>
    </row>
    <row r="4219" spans="1:11" x14ac:dyDescent="0.3">
      <c r="A4219" t="s">
        <v>1886</v>
      </c>
      <c r="B4219" t="s">
        <v>1887</v>
      </c>
      <c r="C4219">
        <v>9</v>
      </c>
      <c r="D4219" t="s">
        <v>1447</v>
      </c>
      <c r="E4219" t="s">
        <v>1890</v>
      </c>
      <c r="F4219" t="s">
        <v>1748</v>
      </c>
      <c r="H4219" t="str">
        <f>IF(ISBLANK('Q 5'!H1152),"",IF('Q 5'!H1152="&lt;please select&gt;","",'Q 5'!H1152))</f>
        <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0</v>
      </c>
    </row>
    <row r="4282" spans="1:8" x14ac:dyDescent="0.3">
      <c r="A4282" t="s">
        <v>1886</v>
      </c>
      <c r="B4282" t="s">
        <v>1887</v>
      </c>
      <c r="C4282">
        <v>2</v>
      </c>
      <c r="D4282" t="s">
        <v>1447</v>
      </c>
      <c r="E4282" t="s">
        <v>1891</v>
      </c>
      <c r="F4282" t="s">
        <v>1748</v>
      </c>
      <c r="H4282" t="str">
        <f>IF(ISBLANK('Q 5'!I1145),"",IF('Q 5'!I1145="&lt;please select&gt;","",'Q 5'!I1145))</f>
        <v>0</v>
      </c>
    </row>
    <row r="4283" spans="1:8" x14ac:dyDescent="0.3">
      <c r="A4283" t="s">
        <v>1886</v>
      </c>
      <c r="B4283" t="s">
        <v>1887</v>
      </c>
      <c r="C4283">
        <v>3</v>
      </c>
      <c r="D4283" t="s">
        <v>1447</v>
      </c>
      <c r="E4283" t="s">
        <v>1891</v>
      </c>
      <c r="F4283" t="s">
        <v>1748</v>
      </c>
      <c r="H4283" t="str">
        <f>IF(ISBLANK('Q 5'!I1146),"",IF('Q 5'!I1146="&lt;please select&gt;","",'Q 5'!I1146))</f>
        <v>0</v>
      </c>
    </row>
    <row r="4284" spans="1:8" x14ac:dyDescent="0.3">
      <c r="A4284" t="s">
        <v>1886</v>
      </c>
      <c r="B4284" t="s">
        <v>1887</v>
      </c>
      <c r="C4284">
        <v>4</v>
      </c>
      <c r="D4284" t="s">
        <v>1447</v>
      </c>
      <c r="E4284" t="s">
        <v>1891</v>
      </c>
      <c r="F4284" t="s">
        <v>1748</v>
      </c>
      <c r="H4284" t="str">
        <f>IF(ISBLANK('Q 5'!I1147),"",IF('Q 5'!I1147="&lt;please select&gt;","",'Q 5'!I1147))</f>
        <v>0</v>
      </c>
    </row>
    <row r="4285" spans="1:8" x14ac:dyDescent="0.3">
      <c r="A4285" t="s">
        <v>1886</v>
      </c>
      <c r="B4285" t="s">
        <v>1887</v>
      </c>
      <c r="C4285">
        <v>5</v>
      </c>
      <c r="D4285" t="s">
        <v>1447</v>
      </c>
      <c r="E4285" t="s">
        <v>1891</v>
      </c>
      <c r="F4285" t="s">
        <v>1748</v>
      </c>
      <c r="H4285" t="str">
        <f>IF(ISBLANK('Q 5'!I1148),"",IF('Q 5'!I1148="&lt;please select&gt;","",'Q 5'!I1148))</f>
        <v>0</v>
      </c>
    </row>
    <row r="4286" spans="1:8" x14ac:dyDescent="0.3">
      <c r="A4286" t="s">
        <v>1886</v>
      </c>
      <c r="B4286" t="s">
        <v>1887</v>
      </c>
      <c r="C4286">
        <v>6</v>
      </c>
      <c r="D4286" t="s">
        <v>1447</v>
      </c>
      <c r="E4286" t="s">
        <v>1891</v>
      </c>
      <c r="F4286" t="s">
        <v>1748</v>
      </c>
      <c r="H4286" t="str">
        <f>IF(ISBLANK('Q 5'!I1149),"",IF('Q 5'!I1149="&lt;please select&gt;","",'Q 5'!I1149))</f>
        <v>0</v>
      </c>
    </row>
    <row r="4287" spans="1:8" x14ac:dyDescent="0.3">
      <c r="A4287" t="s">
        <v>1886</v>
      </c>
      <c r="B4287" t="s">
        <v>1887</v>
      </c>
      <c r="C4287">
        <v>7</v>
      </c>
      <c r="D4287" t="s">
        <v>1447</v>
      </c>
      <c r="E4287" t="s">
        <v>1891</v>
      </c>
      <c r="F4287" t="s">
        <v>1748</v>
      </c>
      <c r="H4287" t="str">
        <f>IF(ISBLANK('Q 5'!I1150),"",IF('Q 5'!I1150="&lt;please select&gt;","",'Q 5'!I1150))</f>
        <v/>
      </c>
    </row>
    <row r="4288" spans="1:8" x14ac:dyDescent="0.3">
      <c r="A4288" t="s">
        <v>1886</v>
      </c>
      <c r="B4288" t="s">
        <v>1887</v>
      </c>
      <c r="C4288">
        <v>8</v>
      </c>
      <c r="D4288" t="s">
        <v>1447</v>
      </c>
      <c r="E4288" t="s">
        <v>1891</v>
      </c>
      <c r="F4288" t="s">
        <v>1748</v>
      </c>
      <c r="H4288" t="str">
        <f>IF(ISBLANK('Q 5'!I1151),"",IF('Q 5'!I1151="&lt;please select&gt;","",'Q 5'!I1151))</f>
        <v/>
      </c>
    </row>
    <row r="4289" spans="1:8" x14ac:dyDescent="0.3">
      <c r="A4289" t="s">
        <v>1886</v>
      </c>
      <c r="B4289" t="s">
        <v>1887</v>
      </c>
      <c r="C4289">
        <v>9</v>
      </c>
      <c r="D4289" t="s">
        <v>1447</v>
      </c>
      <c r="E4289" t="s">
        <v>1891</v>
      </c>
      <c r="F4289" t="s">
        <v>1748</v>
      </c>
      <c r="H4289" t="str">
        <f>IF(ISBLANK('Q 5'!I1152),"",IF('Q 5'!I1152="&lt;please select&gt;","",'Q 5'!I1152))</f>
        <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No</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
      </c>
    </row>
    <row r="5133" spans="1:9" x14ac:dyDescent="0.3">
      <c r="A5133" t="s">
        <v>1902</v>
      </c>
      <c r="B5133" t="s">
        <v>1904</v>
      </c>
      <c r="C5133">
        <v>2</v>
      </c>
      <c r="D5133" t="s">
        <v>1447</v>
      </c>
      <c r="E5133" t="s">
        <v>1907</v>
      </c>
      <c r="F5133" t="s">
        <v>1806</v>
      </c>
      <c r="I5133" s="165" t="str">
        <f>IF(ISBLANK('Q 5'!G1328),"",IF('Q 5'!G1328="&lt;please select&gt;","",'Q 5'!G1328))</f>
        <v/>
      </c>
    </row>
    <row r="5134" spans="1:9" x14ac:dyDescent="0.3">
      <c r="A5134" t="s">
        <v>1902</v>
      </c>
      <c r="B5134" t="s">
        <v>1904</v>
      </c>
      <c r="C5134">
        <v>3</v>
      </c>
      <c r="D5134" t="s">
        <v>1447</v>
      </c>
      <c r="E5134" t="s">
        <v>1907</v>
      </c>
      <c r="F5134" t="s">
        <v>1806</v>
      </c>
      <c r="I5134" s="165" t="str">
        <f>IF(ISBLANK('Q 5'!G1329),"",IF('Q 5'!G1329="&lt;please select&gt;","",'Q 5'!G1329))</f>
        <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
      </c>
    </row>
    <row r="5183" spans="1:9" x14ac:dyDescent="0.3">
      <c r="A5183" t="s">
        <v>1902</v>
      </c>
      <c r="B5183" t="s">
        <v>1904</v>
      </c>
      <c r="C5183">
        <v>2</v>
      </c>
      <c r="D5183" t="s">
        <v>1447</v>
      </c>
      <c r="E5183" t="s">
        <v>1908</v>
      </c>
      <c r="F5183" t="s">
        <v>1806</v>
      </c>
      <c r="I5183" s="165" t="str">
        <f>IF(ISBLANK('Q 5'!H1328),"",IF('Q 5'!H1328="&lt;please select&gt;","",'Q 5'!H1328))</f>
        <v/>
      </c>
    </row>
    <row r="5184" spans="1:9" x14ac:dyDescent="0.3">
      <c r="A5184" t="s">
        <v>1902</v>
      </c>
      <c r="B5184" t="s">
        <v>1904</v>
      </c>
      <c r="C5184">
        <v>3</v>
      </c>
      <c r="D5184" t="s">
        <v>1447</v>
      </c>
      <c r="E5184" t="s">
        <v>1908</v>
      </c>
      <c r="F5184" t="s">
        <v>1806</v>
      </c>
      <c r="I5184" s="165" t="str">
        <f>IF(ISBLANK('Q 5'!H1329),"",IF('Q 5'!H1329="&lt;please select&gt;","",'Q 5'!H1329))</f>
        <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
      </c>
    </row>
    <row r="5233" spans="1:11" x14ac:dyDescent="0.3">
      <c r="A5233" t="s">
        <v>1902</v>
      </c>
      <c r="B5233" t="s">
        <v>1904</v>
      </c>
      <c r="C5233">
        <v>2</v>
      </c>
      <c r="D5233" t="s">
        <v>1447</v>
      </c>
      <c r="E5233" t="s">
        <v>1909</v>
      </c>
      <c r="F5233" t="s">
        <v>1759</v>
      </c>
      <c r="K5233" t="str">
        <f>IF(ISBLANK('Q 5'!I1328),"",IF('Q 5'!I1328="&lt;please select&gt;","",'Q 5'!I1328))</f>
        <v/>
      </c>
    </row>
    <row r="5234" spans="1:11" x14ac:dyDescent="0.3">
      <c r="A5234" t="s">
        <v>1902</v>
      </c>
      <c r="B5234" t="s">
        <v>1904</v>
      </c>
      <c r="C5234">
        <v>3</v>
      </c>
      <c r="D5234" t="s">
        <v>1447</v>
      </c>
      <c r="E5234" t="s">
        <v>1909</v>
      </c>
      <c r="F5234" t="s">
        <v>1759</v>
      </c>
      <c r="K5234" t="str">
        <f>IF(ISBLANK('Q 5'!I1329),"",IF('Q 5'!I1329="&lt;please select&gt;","",'Q 5'!I1329))</f>
        <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EC voluntary schemes</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
      </c>
    </row>
    <row r="5285" spans="1:11" x14ac:dyDescent="0.3">
      <c r="A5285" t="s">
        <v>1910</v>
      </c>
      <c r="B5285" t="s">
        <v>1912</v>
      </c>
      <c r="C5285">
        <v>3</v>
      </c>
      <c r="D5285" t="s">
        <v>1447</v>
      </c>
      <c r="E5285" t="s">
        <v>1888</v>
      </c>
      <c r="F5285" t="s">
        <v>1737</v>
      </c>
      <c r="K5285" t="str">
        <f>IF(ISBLANK('Q 5'!C1391),"",IF('Q 5'!C1391="&lt;please select&gt;","",'Q 5'!C1391))</f>
        <v/>
      </c>
    </row>
    <row r="5286" spans="1:11" x14ac:dyDescent="0.3">
      <c r="A5286" t="s">
        <v>1910</v>
      </c>
      <c r="B5286" t="s">
        <v>1912</v>
      </c>
      <c r="C5286">
        <v>4</v>
      </c>
      <c r="D5286" t="s">
        <v>1447</v>
      </c>
      <c r="E5286" t="s">
        <v>1888</v>
      </c>
      <c r="F5286" t="s">
        <v>1737</v>
      </c>
      <c r="K5286" t="str">
        <f>IF(ISBLANK('Q 5'!C1392),"",IF('Q 5'!C1392="&lt;please select&gt;","",'Q 5'!C1392))</f>
        <v/>
      </c>
    </row>
    <row r="5287" spans="1:11" x14ac:dyDescent="0.3">
      <c r="A5287" t="s">
        <v>1910</v>
      </c>
      <c r="B5287" t="s">
        <v>1912</v>
      </c>
      <c r="C5287">
        <v>5</v>
      </c>
      <c r="D5287" t="s">
        <v>1447</v>
      </c>
      <c r="E5287" t="s">
        <v>1888</v>
      </c>
      <c r="F5287" t="s">
        <v>1737</v>
      </c>
      <c r="K5287" t="str">
        <f>IF(ISBLANK('Q 5'!C1393),"",IF('Q 5'!C1393="&lt;please select&gt;","",'Q 5'!C1393))</f>
        <v/>
      </c>
    </row>
    <row r="5288" spans="1:11" x14ac:dyDescent="0.3">
      <c r="A5288" t="s">
        <v>1910</v>
      </c>
      <c r="B5288" t="s">
        <v>1912</v>
      </c>
      <c r="C5288">
        <v>6</v>
      </c>
      <c r="D5288" t="s">
        <v>1447</v>
      </c>
      <c r="E5288" t="s">
        <v>1888</v>
      </c>
      <c r="F5288" t="s">
        <v>1737</v>
      </c>
      <c r="K5288" t="str">
        <f>IF(ISBLANK('Q 5'!C1394),"",IF('Q 5'!C1394="&lt;please select&gt;","",'Q 5'!C1394))</f>
        <v/>
      </c>
    </row>
    <row r="5289" spans="1:11" x14ac:dyDescent="0.3">
      <c r="A5289" t="s">
        <v>1910</v>
      </c>
      <c r="B5289" t="s">
        <v>1912</v>
      </c>
      <c r="C5289">
        <v>7</v>
      </c>
      <c r="D5289" t="s">
        <v>1447</v>
      </c>
      <c r="E5289" t="s">
        <v>1888</v>
      </c>
      <c r="F5289" t="s">
        <v>1737</v>
      </c>
      <c r="K5289" t="str">
        <f>IF(ISBLANK('Q 5'!C1395),"",IF('Q 5'!C1395="&lt;please select&gt;","",'Q 5'!C1395))</f>
        <v/>
      </c>
    </row>
    <row r="5290" spans="1:11" x14ac:dyDescent="0.3">
      <c r="A5290" t="s">
        <v>1910</v>
      </c>
      <c r="B5290" t="s">
        <v>1912</v>
      </c>
      <c r="C5290">
        <v>8</v>
      </c>
      <c r="D5290" t="s">
        <v>1447</v>
      </c>
      <c r="E5290" t="s">
        <v>1888</v>
      </c>
      <c r="F5290" t="s">
        <v>1737</v>
      </c>
      <c r="K5290" t="str">
        <f>IF(ISBLANK('Q 5'!C1396),"",IF('Q 5'!C1396="&lt;please select&gt;","",'Q 5'!C1396))</f>
        <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
      </c>
    </row>
    <row r="5335" spans="1:11" x14ac:dyDescent="0.3">
      <c r="A5335" t="s">
        <v>1910</v>
      </c>
      <c r="B5335" t="s">
        <v>1912</v>
      </c>
      <c r="C5335">
        <v>3</v>
      </c>
      <c r="D5335" t="s">
        <v>1447</v>
      </c>
      <c r="E5335" t="s">
        <v>1913</v>
      </c>
      <c r="F5335" t="s">
        <v>1737</v>
      </c>
      <c r="K5335" t="str">
        <f>IF(ISBLANK('Q 5'!D1391),"",IF('Q 5'!D1391="&lt;please select&gt;","",'Q 5'!D1391))</f>
        <v/>
      </c>
    </row>
    <row r="5336" spans="1:11" x14ac:dyDescent="0.3">
      <c r="A5336" t="s">
        <v>1910</v>
      </c>
      <c r="B5336" t="s">
        <v>1912</v>
      </c>
      <c r="C5336">
        <v>4</v>
      </c>
      <c r="D5336" t="s">
        <v>1447</v>
      </c>
      <c r="E5336" t="s">
        <v>1913</v>
      </c>
      <c r="F5336" t="s">
        <v>1737</v>
      </c>
      <c r="K5336" t="str">
        <f>IF(ISBLANK('Q 5'!D1392),"",IF('Q 5'!D1392="&lt;please select&gt;","",'Q 5'!D1392))</f>
        <v/>
      </c>
    </row>
    <row r="5337" spans="1:11" x14ac:dyDescent="0.3">
      <c r="A5337" t="s">
        <v>1910</v>
      </c>
      <c r="B5337" t="s">
        <v>1912</v>
      </c>
      <c r="C5337">
        <v>5</v>
      </c>
      <c r="D5337" t="s">
        <v>1447</v>
      </c>
      <c r="E5337" t="s">
        <v>1913</v>
      </c>
      <c r="F5337" t="s">
        <v>1737</v>
      </c>
      <c r="K5337" t="str">
        <f>IF(ISBLANK('Q 5'!D1393),"",IF('Q 5'!D1393="&lt;please select&gt;","",'Q 5'!D1393))</f>
        <v/>
      </c>
    </row>
    <row r="5338" spans="1:11" x14ac:dyDescent="0.3">
      <c r="A5338" t="s">
        <v>1910</v>
      </c>
      <c r="B5338" t="s">
        <v>1912</v>
      </c>
      <c r="C5338">
        <v>6</v>
      </c>
      <c r="D5338" t="s">
        <v>1447</v>
      </c>
      <c r="E5338" t="s">
        <v>1913</v>
      </c>
      <c r="F5338" t="s">
        <v>1737</v>
      </c>
      <c r="K5338" t="str">
        <f>IF(ISBLANK('Q 5'!D1394),"",IF('Q 5'!D1394="&lt;please select&gt;","",'Q 5'!D1394))</f>
        <v/>
      </c>
    </row>
    <row r="5339" spans="1:11" x14ac:dyDescent="0.3">
      <c r="A5339" t="s">
        <v>1910</v>
      </c>
      <c r="B5339" t="s">
        <v>1912</v>
      </c>
      <c r="C5339">
        <v>7</v>
      </c>
      <c r="D5339" t="s">
        <v>1447</v>
      </c>
      <c r="E5339" t="s">
        <v>1913</v>
      </c>
      <c r="F5339" t="s">
        <v>1737</v>
      </c>
      <c r="K5339" t="str">
        <f>IF(ISBLANK('Q 5'!D1395),"",IF('Q 5'!D1395="&lt;please select&gt;","",'Q 5'!D1395))</f>
        <v/>
      </c>
    </row>
    <row r="5340" spans="1:11" x14ac:dyDescent="0.3">
      <c r="A5340" t="s">
        <v>1910</v>
      </c>
      <c r="B5340" t="s">
        <v>1912</v>
      </c>
      <c r="C5340">
        <v>8</v>
      </c>
      <c r="D5340" t="s">
        <v>1447</v>
      </c>
      <c r="E5340" t="s">
        <v>1913</v>
      </c>
      <c r="F5340" t="s">
        <v>1737</v>
      </c>
      <c r="K5340" t="str">
        <f>IF(ISBLANK('Q 5'!D1396),"",IF('Q 5'!D1396="&lt;please select&gt;","",'Q 5'!D1396))</f>
        <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v>
      </c>
    </row>
    <row r="5384" spans="1:11" x14ac:dyDescent="0.3">
      <c r="A5384" t="s">
        <v>1910</v>
      </c>
      <c r="B5384" t="s">
        <v>1912</v>
      </c>
      <c r="C5384">
        <v>2</v>
      </c>
      <c r="D5384" t="s">
        <v>1447</v>
      </c>
      <c r="E5384" t="s">
        <v>1914</v>
      </c>
      <c r="F5384" t="s">
        <v>1748</v>
      </c>
      <c r="H5384" t="str">
        <f>IF(ISBLANK('Q 5'!E1390),"",IF('Q 5'!E1390="&lt;please select&gt;","",'Q 5'!E1390))</f>
        <v/>
      </c>
    </row>
    <row r="5385" spans="1:11" x14ac:dyDescent="0.3">
      <c r="A5385" t="s">
        <v>1910</v>
      </c>
      <c r="B5385" t="s">
        <v>1912</v>
      </c>
      <c r="C5385">
        <v>3</v>
      </c>
      <c r="D5385" t="s">
        <v>1447</v>
      </c>
      <c r="E5385" t="s">
        <v>1914</v>
      </c>
      <c r="F5385" t="s">
        <v>1748</v>
      </c>
      <c r="H5385" t="str">
        <f>IF(ISBLANK('Q 5'!E1391),"",IF('Q 5'!E1391="&lt;please select&gt;","",'Q 5'!E1391))</f>
        <v/>
      </c>
    </row>
    <row r="5386" spans="1:11" x14ac:dyDescent="0.3">
      <c r="A5386" t="s">
        <v>1910</v>
      </c>
      <c r="B5386" t="s">
        <v>1912</v>
      </c>
      <c r="C5386">
        <v>4</v>
      </c>
      <c r="D5386" t="s">
        <v>1447</v>
      </c>
      <c r="E5386" t="s">
        <v>1914</v>
      </c>
      <c r="F5386" t="s">
        <v>1748</v>
      </c>
      <c r="H5386" t="str">
        <f>IF(ISBLANK('Q 5'!E1392),"",IF('Q 5'!E1392="&lt;please select&gt;","",'Q 5'!E1392))</f>
        <v/>
      </c>
    </row>
    <row r="5387" spans="1:11" x14ac:dyDescent="0.3">
      <c r="A5387" t="s">
        <v>1910</v>
      </c>
      <c r="B5387" t="s">
        <v>1912</v>
      </c>
      <c r="C5387">
        <v>5</v>
      </c>
      <c r="D5387" t="s">
        <v>1447</v>
      </c>
      <c r="E5387" t="s">
        <v>1914</v>
      </c>
      <c r="F5387" t="s">
        <v>1748</v>
      </c>
      <c r="H5387" t="str">
        <f>IF(ISBLANK('Q 5'!E1393),"",IF('Q 5'!E1393="&lt;please select&gt;","",'Q 5'!E1393))</f>
        <v/>
      </c>
    </row>
    <row r="5388" spans="1:11" x14ac:dyDescent="0.3">
      <c r="A5388" t="s">
        <v>1910</v>
      </c>
      <c r="B5388" t="s">
        <v>1912</v>
      </c>
      <c r="C5388">
        <v>6</v>
      </c>
      <c r="D5388" t="s">
        <v>1447</v>
      </c>
      <c r="E5388" t="s">
        <v>1914</v>
      </c>
      <c r="F5388" t="s">
        <v>1748</v>
      </c>
      <c r="H5388" t="str">
        <f>IF(ISBLANK('Q 5'!E1394),"",IF('Q 5'!E1394="&lt;please select&gt;","",'Q 5'!E1394))</f>
        <v/>
      </c>
    </row>
    <row r="5389" spans="1:11" x14ac:dyDescent="0.3">
      <c r="A5389" t="s">
        <v>1910</v>
      </c>
      <c r="B5389" t="s">
        <v>1912</v>
      </c>
      <c r="C5389">
        <v>7</v>
      </c>
      <c r="D5389" t="s">
        <v>1447</v>
      </c>
      <c r="E5389" t="s">
        <v>1914</v>
      </c>
      <c r="F5389" t="s">
        <v>1748</v>
      </c>
      <c r="H5389" t="str">
        <f>IF(ISBLANK('Q 5'!E1395),"",IF('Q 5'!E1395="&lt;please select&gt;","",'Q 5'!E1395))</f>
        <v/>
      </c>
    </row>
    <row r="5390" spans="1:11" x14ac:dyDescent="0.3">
      <c r="A5390" t="s">
        <v>1910</v>
      </c>
      <c r="B5390" t="s">
        <v>1912</v>
      </c>
      <c r="C5390">
        <v>8</v>
      </c>
      <c r="D5390" t="s">
        <v>1447</v>
      </c>
      <c r="E5390" t="s">
        <v>1914</v>
      </c>
      <c r="F5390" t="s">
        <v>1748</v>
      </c>
      <c r="H5390" t="str">
        <f>IF(ISBLANK('Q 5'!E1396),"",IF('Q 5'!E1396="&lt;please select&gt;","",'Q 5'!E1396))</f>
        <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172341.416</v>
      </c>
    </row>
    <row r="5434" spans="1:9" x14ac:dyDescent="0.3">
      <c r="A5434" t="s">
        <v>1910</v>
      </c>
      <c r="B5434" t="s">
        <v>1912</v>
      </c>
      <c r="C5434">
        <v>2</v>
      </c>
      <c r="D5434" t="s">
        <v>1447</v>
      </c>
      <c r="E5434" t="s">
        <v>1915</v>
      </c>
      <c r="F5434" t="s">
        <v>1806</v>
      </c>
      <c r="I5434" t="str">
        <f>IF(ISBLANK('Q 5'!F1390),"",IF('Q 5'!F1390="&lt;please select&gt;","",'Q 5'!F1390))</f>
        <v/>
      </c>
    </row>
    <row r="5435" spans="1:9" x14ac:dyDescent="0.3">
      <c r="A5435" t="s">
        <v>1910</v>
      </c>
      <c r="B5435" t="s">
        <v>1912</v>
      </c>
      <c r="C5435">
        <v>3</v>
      </c>
      <c r="D5435" t="s">
        <v>1447</v>
      </c>
      <c r="E5435" t="s">
        <v>1915</v>
      </c>
      <c r="F5435" t="s">
        <v>1806</v>
      </c>
      <c r="I5435" t="str">
        <f>IF(ISBLANK('Q 5'!F1391),"",IF('Q 5'!F1391="&lt;please select&gt;","",'Q 5'!F1391))</f>
        <v/>
      </c>
    </row>
    <row r="5436" spans="1:9" x14ac:dyDescent="0.3">
      <c r="A5436" t="s">
        <v>1910</v>
      </c>
      <c r="B5436" t="s">
        <v>1912</v>
      </c>
      <c r="C5436">
        <v>4</v>
      </c>
      <c r="D5436" t="s">
        <v>1447</v>
      </c>
      <c r="E5436" t="s">
        <v>1915</v>
      </c>
      <c r="F5436" t="s">
        <v>1806</v>
      </c>
      <c r="I5436" t="str">
        <f>IF(ISBLANK('Q 5'!F1392),"",IF('Q 5'!F1392="&lt;please select&gt;","",'Q 5'!F1392))</f>
        <v/>
      </c>
    </row>
    <row r="5437" spans="1:9" x14ac:dyDescent="0.3">
      <c r="A5437" t="s">
        <v>1910</v>
      </c>
      <c r="B5437" t="s">
        <v>1912</v>
      </c>
      <c r="C5437">
        <v>5</v>
      </c>
      <c r="D5437" t="s">
        <v>1447</v>
      </c>
      <c r="E5437" t="s">
        <v>1915</v>
      </c>
      <c r="F5437" t="s">
        <v>1806</v>
      </c>
      <c r="I5437" t="str">
        <f>IF(ISBLANK('Q 5'!F1393),"",IF('Q 5'!F1393="&lt;please select&gt;","",'Q 5'!F1393))</f>
        <v/>
      </c>
    </row>
    <row r="5438" spans="1:9" x14ac:dyDescent="0.3">
      <c r="A5438" t="s">
        <v>1910</v>
      </c>
      <c r="B5438" t="s">
        <v>1912</v>
      </c>
      <c r="C5438">
        <v>6</v>
      </c>
      <c r="D5438" t="s">
        <v>1447</v>
      </c>
      <c r="E5438" t="s">
        <v>1915</v>
      </c>
      <c r="F5438" t="s">
        <v>1806</v>
      </c>
      <c r="I5438" t="str">
        <f>IF(ISBLANK('Q 5'!F1394),"",IF('Q 5'!F1394="&lt;please select&gt;","",'Q 5'!F1394))</f>
        <v/>
      </c>
    </row>
    <row r="5439" spans="1:9" x14ac:dyDescent="0.3">
      <c r="A5439" t="s">
        <v>1910</v>
      </c>
      <c r="B5439" t="s">
        <v>1912</v>
      </c>
      <c r="C5439">
        <v>7</v>
      </c>
      <c r="D5439" t="s">
        <v>1447</v>
      </c>
      <c r="E5439" t="s">
        <v>1915</v>
      </c>
      <c r="F5439" t="s">
        <v>1806</v>
      </c>
      <c r="I5439" t="str">
        <f>IF(ISBLANK('Q 5'!F1395),"",IF('Q 5'!F1395="&lt;please select&gt;","",'Q 5'!F1395))</f>
        <v/>
      </c>
    </row>
    <row r="5440" spans="1:9" x14ac:dyDescent="0.3">
      <c r="A5440" t="s">
        <v>1910</v>
      </c>
      <c r="B5440" t="s">
        <v>1912</v>
      </c>
      <c r="C5440">
        <v>8</v>
      </c>
      <c r="D5440" t="s">
        <v>1447</v>
      </c>
      <c r="E5440" t="s">
        <v>1915</v>
      </c>
      <c r="F5440" t="s">
        <v>1806</v>
      </c>
      <c r="I5440" t="str">
        <f>IF(ISBLANK('Q 5'!F1396),"",IF('Q 5'!F1396="&lt;please select&gt;","",'Q 5'!F1396))</f>
        <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
      </c>
    </row>
    <row r="5484" spans="1:9" x14ac:dyDescent="0.3">
      <c r="A5484" t="s">
        <v>1910</v>
      </c>
      <c r="B5484" t="s">
        <v>1912</v>
      </c>
      <c r="C5484">
        <v>2</v>
      </c>
      <c r="D5484" t="s">
        <v>1447</v>
      </c>
      <c r="E5484" t="s">
        <v>1916</v>
      </c>
      <c r="F5484" t="s">
        <v>1806</v>
      </c>
      <c r="I5484" t="str">
        <f>IF(ISBLANK('Q 5'!G1390),"",IF('Q 5'!G1390="&lt;please select&gt;","",'Q 5'!G1390))</f>
        <v/>
      </c>
    </row>
    <row r="5485" spans="1:9" x14ac:dyDescent="0.3">
      <c r="A5485" t="s">
        <v>1910</v>
      </c>
      <c r="B5485" t="s">
        <v>1912</v>
      </c>
      <c r="C5485">
        <v>3</v>
      </c>
      <c r="D5485" t="s">
        <v>1447</v>
      </c>
      <c r="E5485" t="s">
        <v>1916</v>
      </c>
      <c r="F5485" t="s">
        <v>1806</v>
      </c>
      <c r="I5485" t="str">
        <f>IF(ISBLANK('Q 5'!G1391),"",IF('Q 5'!G1391="&lt;please select&gt;","",'Q 5'!G1391))</f>
        <v/>
      </c>
    </row>
    <row r="5486" spans="1:9" x14ac:dyDescent="0.3">
      <c r="A5486" t="s">
        <v>1910</v>
      </c>
      <c r="B5486" t="s">
        <v>1912</v>
      </c>
      <c r="C5486">
        <v>4</v>
      </c>
      <c r="D5486" t="s">
        <v>1447</v>
      </c>
      <c r="E5486" t="s">
        <v>1916</v>
      </c>
      <c r="F5486" t="s">
        <v>1806</v>
      </c>
      <c r="I5486" t="str">
        <f>IF(ISBLANK('Q 5'!G1392),"",IF('Q 5'!G1392="&lt;please select&gt;","",'Q 5'!G1392))</f>
        <v/>
      </c>
    </row>
    <row r="5487" spans="1:9" x14ac:dyDescent="0.3">
      <c r="A5487" t="s">
        <v>1910</v>
      </c>
      <c r="B5487" t="s">
        <v>1912</v>
      </c>
      <c r="C5487">
        <v>5</v>
      </c>
      <c r="D5487" t="s">
        <v>1447</v>
      </c>
      <c r="E5487" t="s">
        <v>1916</v>
      </c>
      <c r="F5487" t="s">
        <v>1806</v>
      </c>
      <c r="I5487" t="str">
        <f>IF(ISBLANK('Q 5'!G1393),"",IF('Q 5'!G1393="&lt;please select&gt;","",'Q 5'!G1393))</f>
        <v/>
      </c>
    </row>
    <row r="5488" spans="1:9" x14ac:dyDescent="0.3">
      <c r="A5488" t="s">
        <v>1910</v>
      </c>
      <c r="B5488" t="s">
        <v>1912</v>
      </c>
      <c r="C5488">
        <v>6</v>
      </c>
      <c r="D5488" t="s">
        <v>1447</v>
      </c>
      <c r="E5488" t="s">
        <v>1916</v>
      </c>
      <c r="F5488" t="s">
        <v>1806</v>
      </c>
      <c r="I5488" t="str">
        <f>IF(ISBLANK('Q 5'!G1394),"",IF('Q 5'!G1394="&lt;please select&gt;","",'Q 5'!G1394))</f>
        <v/>
      </c>
    </row>
    <row r="5489" spans="1:9" x14ac:dyDescent="0.3">
      <c r="A5489" t="s">
        <v>1910</v>
      </c>
      <c r="B5489" t="s">
        <v>1912</v>
      </c>
      <c r="C5489">
        <v>7</v>
      </c>
      <c r="D5489" t="s">
        <v>1447</v>
      </c>
      <c r="E5489" t="s">
        <v>1916</v>
      </c>
      <c r="F5489" t="s">
        <v>1806</v>
      </c>
      <c r="I5489" t="str">
        <f>IF(ISBLANK('Q 5'!G1395),"",IF('Q 5'!G1395="&lt;please select&gt;","",'Q 5'!G1395))</f>
        <v/>
      </c>
    </row>
    <row r="5490" spans="1:9" x14ac:dyDescent="0.3">
      <c r="A5490" t="s">
        <v>1910</v>
      </c>
      <c r="B5490" t="s">
        <v>1912</v>
      </c>
      <c r="C5490">
        <v>8</v>
      </c>
      <c r="D5490" t="s">
        <v>1447</v>
      </c>
      <c r="E5490" t="s">
        <v>1916</v>
      </c>
      <c r="F5490" t="s">
        <v>1806</v>
      </c>
      <c r="I5490" t="str">
        <f>IF(ISBLANK('Q 5'!G1396),"",IF('Q 5'!G1396="&lt;please select&gt;","",'Q 5'!G1396))</f>
        <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9622.7</v>
      </c>
    </row>
    <row r="5534" spans="1:9" x14ac:dyDescent="0.3">
      <c r="A5534" t="s">
        <v>1910</v>
      </c>
      <c r="B5534" t="s">
        <v>1912</v>
      </c>
      <c r="C5534">
        <v>2</v>
      </c>
      <c r="D5534" t="s">
        <v>1447</v>
      </c>
      <c r="E5534" t="s">
        <v>1917</v>
      </c>
      <c r="F5534" t="s">
        <v>1806</v>
      </c>
      <c r="I5534" t="str">
        <f>IF(ISBLANK('Q 5'!H1390),"",IF('Q 5'!H1390="&lt;please select&gt;","",'Q 5'!H1390))</f>
        <v/>
      </c>
    </row>
    <row r="5535" spans="1:9" x14ac:dyDescent="0.3">
      <c r="A5535" t="s">
        <v>1910</v>
      </c>
      <c r="B5535" t="s">
        <v>1912</v>
      </c>
      <c r="C5535">
        <v>3</v>
      </c>
      <c r="D5535" t="s">
        <v>1447</v>
      </c>
      <c r="E5535" t="s">
        <v>1917</v>
      </c>
      <c r="F5535" t="s">
        <v>1806</v>
      </c>
      <c r="I5535" t="str">
        <f>IF(ISBLANK('Q 5'!H1391),"",IF('Q 5'!H1391="&lt;please select&gt;","",'Q 5'!H1391))</f>
        <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
      </c>
    </row>
    <row r="5584" spans="1:9" x14ac:dyDescent="0.3">
      <c r="A5584" t="s">
        <v>1910</v>
      </c>
      <c r="B5584" t="s">
        <v>1912</v>
      </c>
      <c r="C5584">
        <v>2</v>
      </c>
      <c r="D5584" t="s">
        <v>1447</v>
      </c>
      <c r="E5584" t="s">
        <v>1918</v>
      </c>
      <c r="F5584" t="s">
        <v>1806</v>
      </c>
      <c r="I5584" t="str">
        <f>IF(ISBLANK('Q 5'!I1390),"",IF('Q 5'!I1390="&lt;please select&gt;","",'Q 5'!I1390))</f>
        <v/>
      </c>
    </row>
    <row r="5585" spans="1:9" x14ac:dyDescent="0.3">
      <c r="A5585" t="s">
        <v>1910</v>
      </c>
      <c r="B5585" t="s">
        <v>1912</v>
      </c>
      <c r="C5585">
        <v>3</v>
      </c>
      <c r="D5585" t="s">
        <v>1447</v>
      </c>
      <c r="E5585" t="s">
        <v>1918</v>
      </c>
      <c r="F5585" t="s">
        <v>1806</v>
      </c>
      <c r="I5585" t="str">
        <f>IF(ISBLANK('Q 5'!I1391),"",IF('Q 5'!I1391="&lt;please select&gt;","",'Q 5'!I1391))</f>
        <v/>
      </c>
    </row>
    <row r="5586" spans="1:9" x14ac:dyDescent="0.3">
      <c r="A5586" t="s">
        <v>1910</v>
      </c>
      <c r="B5586" t="s">
        <v>1912</v>
      </c>
      <c r="C5586">
        <v>4</v>
      </c>
      <c r="D5586" t="s">
        <v>1447</v>
      </c>
      <c r="E5586" t="s">
        <v>1918</v>
      </c>
      <c r="F5586" t="s">
        <v>1806</v>
      </c>
      <c r="I5586" t="str">
        <f>IF(ISBLANK('Q 5'!I1392),"",IF('Q 5'!I1392="&lt;please select&gt;","",'Q 5'!I1392))</f>
        <v/>
      </c>
    </row>
    <row r="5587" spans="1:9" x14ac:dyDescent="0.3">
      <c r="A5587" t="s">
        <v>1910</v>
      </c>
      <c r="B5587" t="s">
        <v>1912</v>
      </c>
      <c r="C5587">
        <v>5</v>
      </c>
      <c r="D5587" t="s">
        <v>1447</v>
      </c>
      <c r="E5587" t="s">
        <v>1918</v>
      </c>
      <c r="F5587" t="s">
        <v>1806</v>
      </c>
      <c r="I5587" t="str">
        <f>IF(ISBLANK('Q 5'!I1393),"",IF('Q 5'!I1393="&lt;please select&gt;","",'Q 5'!I1393))</f>
        <v/>
      </c>
    </row>
    <row r="5588" spans="1:9" x14ac:dyDescent="0.3">
      <c r="A5588" t="s">
        <v>1910</v>
      </c>
      <c r="B5588" t="s">
        <v>1912</v>
      </c>
      <c r="C5588">
        <v>6</v>
      </c>
      <c r="D5588" t="s">
        <v>1447</v>
      </c>
      <c r="E5588" t="s">
        <v>1918</v>
      </c>
      <c r="F5588" t="s">
        <v>1806</v>
      </c>
      <c r="I5588" t="str">
        <f>IF(ISBLANK('Q 5'!I1394),"",IF('Q 5'!I1394="&lt;please select&gt;","",'Q 5'!I1394))</f>
        <v/>
      </c>
    </row>
    <row r="5589" spans="1:9" x14ac:dyDescent="0.3">
      <c r="A5589" t="s">
        <v>1910</v>
      </c>
      <c r="B5589" t="s">
        <v>1912</v>
      </c>
      <c r="C5589">
        <v>7</v>
      </c>
      <c r="D5589" t="s">
        <v>1447</v>
      </c>
      <c r="E5589" t="s">
        <v>1918</v>
      </c>
      <c r="F5589" t="s">
        <v>1806</v>
      </c>
      <c r="I5589" t="str">
        <f>IF(ISBLANK('Q 5'!I1395),"",IF('Q 5'!I1395="&lt;please select&gt;","",'Q 5'!I1395))</f>
        <v/>
      </c>
    </row>
    <row r="5590" spans="1:9" x14ac:dyDescent="0.3">
      <c r="A5590" t="s">
        <v>1910</v>
      </c>
      <c r="B5590" t="s">
        <v>1912</v>
      </c>
      <c r="C5590">
        <v>8</v>
      </c>
      <c r="D5590" t="s">
        <v>1447</v>
      </c>
      <c r="E5590" t="s">
        <v>1918</v>
      </c>
      <c r="F5590" t="s">
        <v>1806</v>
      </c>
      <c r="I5590" t="str">
        <f>IF(ISBLANK('Q 5'!I1396),"",IF('Q 5'!I1396="&lt;please select&gt;","",'Q 5'!I1396))</f>
        <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
      </c>
    </row>
    <row r="5634" spans="1:9" x14ac:dyDescent="0.3">
      <c r="A5634" t="s">
        <v>1910</v>
      </c>
      <c r="B5634" t="s">
        <v>1912</v>
      </c>
      <c r="C5634">
        <v>2</v>
      </c>
      <c r="D5634" t="s">
        <v>1447</v>
      </c>
      <c r="E5634" t="s">
        <v>1919</v>
      </c>
      <c r="F5634" t="s">
        <v>1806</v>
      </c>
      <c r="I5634" t="str">
        <f>IF(ISBLANK('Q 5'!J1390),"",IF('Q 5'!J1390="&lt;please select&gt;","",'Q 5'!J1390))</f>
        <v/>
      </c>
    </row>
    <row r="5635" spans="1:9" x14ac:dyDescent="0.3">
      <c r="A5635" t="s">
        <v>1910</v>
      </c>
      <c r="B5635" t="s">
        <v>1912</v>
      </c>
      <c r="C5635">
        <v>3</v>
      </c>
      <c r="D5635" t="s">
        <v>1447</v>
      </c>
      <c r="E5635" t="s">
        <v>1919</v>
      </c>
      <c r="F5635" t="s">
        <v>1806</v>
      </c>
      <c r="I5635" t="str">
        <f>IF(ISBLANK('Q 5'!J1391),"",IF('Q 5'!J1391="&lt;please select&gt;","",'Q 5'!J1391))</f>
        <v/>
      </c>
    </row>
    <row r="5636" spans="1:9" x14ac:dyDescent="0.3">
      <c r="A5636" t="s">
        <v>1910</v>
      </c>
      <c r="B5636" t="s">
        <v>1912</v>
      </c>
      <c r="C5636">
        <v>4</v>
      </c>
      <c r="D5636" t="s">
        <v>1447</v>
      </c>
      <c r="E5636" t="s">
        <v>1919</v>
      </c>
      <c r="F5636" t="s">
        <v>1806</v>
      </c>
      <c r="I5636" t="str">
        <f>IF(ISBLANK('Q 5'!J1392),"",IF('Q 5'!J1392="&lt;please select&gt;","",'Q 5'!J1392))</f>
        <v/>
      </c>
    </row>
    <row r="5637" spans="1:9" x14ac:dyDescent="0.3">
      <c r="A5637" t="s">
        <v>1910</v>
      </c>
      <c r="B5637" t="s">
        <v>1912</v>
      </c>
      <c r="C5637">
        <v>5</v>
      </c>
      <c r="D5637" t="s">
        <v>1447</v>
      </c>
      <c r="E5637" t="s">
        <v>1919</v>
      </c>
      <c r="F5637" t="s">
        <v>1806</v>
      </c>
      <c r="I5637" t="str">
        <f>IF(ISBLANK('Q 5'!J1393),"",IF('Q 5'!J1393="&lt;please select&gt;","",'Q 5'!J1393))</f>
        <v/>
      </c>
    </row>
    <row r="5638" spans="1:9" x14ac:dyDescent="0.3">
      <c r="A5638" t="s">
        <v>1910</v>
      </c>
      <c r="B5638" t="s">
        <v>1912</v>
      </c>
      <c r="C5638">
        <v>6</v>
      </c>
      <c r="D5638" t="s">
        <v>1447</v>
      </c>
      <c r="E5638" t="s">
        <v>1919</v>
      </c>
      <c r="F5638" t="s">
        <v>1806</v>
      </c>
      <c r="I5638" t="str">
        <f>IF(ISBLANK('Q 5'!J1394),"",IF('Q 5'!J1394="&lt;please select&gt;","",'Q 5'!J1394))</f>
        <v/>
      </c>
    </row>
    <row r="5639" spans="1:9" x14ac:dyDescent="0.3">
      <c r="A5639" t="s">
        <v>1910</v>
      </c>
      <c r="B5639" t="s">
        <v>1912</v>
      </c>
      <c r="C5639">
        <v>7</v>
      </c>
      <c r="D5639" t="s">
        <v>1447</v>
      </c>
      <c r="E5639" t="s">
        <v>1919</v>
      </c>
      <c r="F5639" t="s">
        <v>1806</v>
      </c>
      <c r="I5639" t="str">
        <f>IF(ISBLANK('Q 5'!J1395),"",IF('Q 5'!J1395="&lt;please select&gt;","",'Q 5'!J1395))</f>
        <v/>
      </c>
    </row>
    <row r="5640" spans="1:9" x14ac:dyDescent="0.3">
      <c r="A5640" t="s">
        <v>1910</v>
      </c>
      <c r="B5640" t="s">
        <v>1912</v>
      </c>
      <c r="C5640">
        <v>8</v>
      </c>
      <c r="D5640" t="s">
        <v>1447</v>
      </c>
      <c r="E5640" t="s">
        <v>1919</v>
      </c>
      <c r="F5640" t="s">
        <v>1806</v>
      </c>
      <c r="I5640" t="str">
        <f>IF(ISBLANK('Q 5'!J1396),"",IF('Q 5'!J1396="&lt;please select&gt;","",'Q 5'!J1396))</f>
        <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112</v>
      </c>
    </row>
    <row r="5684" spans="1:9" x14ac:dyDescent="0.3">
      <c r="A5684" t="s">
        <v>1910</v>
      </c>
      <c r="B5684" t="s">
        <v>1912</v>
      </c>
      <c r="C5684">
        <v>2</v>
      </c>
      <c r="D5684" t="s">
        <v>1447</v>
      </c>
      <c r="E5684" t="s">
        <v>1920</v>
      </c>
      <c r="F5684" t="s">
        <v>1806</v>
      </c>
      <c r="I5684" t="str">
        <f>IF(ISBLANK('Q 5'!K1390),"",IF('Q 5'!K1390="&lt;please select&gt;","",'Q 5'!K1390))</f>
        <v/>
      </c>
    </row>
    <row r="5685" spans="1:9" x14ac:dyDescent="0.3">
      <c r="A5685" t="s">
        <v>1910</v>
      </c>
      <c r="B5685" t="s">
        <v>1912</v>
      </c>
      <c r="C5685">
        <v>3</v>
      </c>
      <c r="D5685" t="s">
        <v>1447</v>
      </c>
      <c r="E5685" t="s">
        <v>1920</v>
      </c>
      <c r="F5685" t="s">
        <v>1806</v>
      </c>
      <c r="I5685" t="str">
        <f>IF(ISBLANK('Q 5'!K1391),"",IF('Q 5'!K1391="&lt;please select&gt;","",'Q 5'!K1391))</f>
        <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172341</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
      </c>
    </row>
    <row r="5746" spans="1:9" x14ac:dyDescent="0.3">
      <c r="A5746" t="s">
        <v>1928</v>
      </c>
      <c r="B5746" t="s">
        <v>1929</v>
      </c>
      <c r="C5746">
        <v>2</v>
      </c>
      <c r="D5746" t="s">
        <v>1447</v>
      </c>
      <c r="E5746" t="s">
        <v>1930</v>
      </c>
      <c r="F5746" t="s">
        <v>1748</v>
      </c>
      <c r="H5746" s="165" t="str">
        <f>IF(ISBLANK('Q 5'!E1463),"",IF('Q 5'!E1463="&lt;please select&gt;","",'Q 5'!E1463))</f>
        <v/>
      </c>
    </row>
    <row r="5747" spans="1:9" x14ac:dyDescent="0.3">
      <c r="A5747" t="s">
        <v>1928</v>
      </c>
      <c r="B5747" t="s">
        <v>1929</v>
      </c>
      <c r="C5747">
        <v>3</v>
      </c>
      <c r="D5747" t="s">
        <v>1447</v>
      </c>
      <c r="E5747" t="s">
        <v>1930</v>
      </c>
      <c r="F5747" t="s">
        <v>1748</v>
      </c>
      <c r="H5747" s="165" t="str">
        <f>IF(ISBLANK('Q 5'!E1464),"",IF('Q 5'!E1464="&lt;please select&gt;","",'Q 5'!E1464))</f>
        <v/>
      </c>
    </row>
    <row r="5748" spans="1:9" x14ac:dyDescent="0.3">
      <c r="A5748" t="s">
        <v>1928</v>
      </c>
      <c r="B5748" t="s">
        <v>1929</v>
      </c>
      <c r="C5748">
        <v>1</v>
      </c>
      <c r="D5748" t="s">
        <v>1447</v>
      </c>
      <c r="E5748" t="s">
        <v>1931</v>
      </c>
      <c r="F5748" t="s">
        <v>1806</v>
      </c>
      <c r="I5748" s="166" t="str">
        <f>IF(ISBLANK('Q 5'!G1462),"",IF('Q 5'!G1462="&lt;please select&gt;","",'Q 5'!G1462))</f>
        <v/>
      </c>
    </row>
    <row r="5749" spans="1:9" x14ac:dyDescent="0.3">
      <c r="A5749" t="s">
        <v>1928</v>
      </c>
      <c r="B5749" t="s">
        <v>1929</v>
      </c>
      <c r="C5749">
        <v>2</v>
      </c>
      <c r="D5749" t="s">
        <v>1447</v>
      </c>
      <c r="E5749" t="s">
        <v>1931</v>
      </c>
      <c r="F5749" t="s">
        <v>1806</v>
      </c>
      <c r="I5749" s="166" t="str">
        <f>IF(ISBLANK('Q 5'!G1463),"",IF('Q 5'!G1463="&lt;please select&gt;","",'Q 5'!G1463))</f>
        <v/>
      </c>
    </row>
    <row r="5750" spans="1:9" x14ac:dyDescent="0.3">
      <c r="A5750" t="s">
        <v>1928</v>
      </c>
      <c r="B5750" t="s">
        <v>1929</v>
      </c>
      <c r="C5750">
        <v>3</v>
      </c>
      <c r="D5750" t="s">
        <v>1447</v>
      </c>
      <c r="E5750" t="s">
        <v>1931</v>
      </c>
      <c r="F5750" t="s">
        <v>1806</v>
      </c>
      <c r="I5750" s="166" t="str">
        <f>IF(ISBLANK('Q 5'!G1464),"",IF('Q 5'!G1464="&lt;please select&gt;","",'Q 5'!G1464))</f>
        <v/>
      </c>
    </row>
    <row r="5751" spans="1:9" x14ac:dyDescent="0.3">
      <c r="A5751" t="s">
        <v>1932</v>
      </c>
      <c r="B5751" t="s">
        <v>1933</v>
      </c>
      <c r="C5751">
        <v>1</v>
      </c>
      <c r="D5751" t="s">
        <v>1447</v>
      </c>
      <c r="E5751" t="s">
        <v>1934</v>
      </c>
      <c r="F5751" t="s">
        <v>1806</v>
      </c>
      <c r="I5751" t="str">
        <f>IF(ISBLANK('Q 5'!G1472),"",IF('Q 5'!G1472="&lt;please select&gt;","",'Q 5'!G1472))</f>
        <v/>
      </c>
    </row>
    <row r="5752" spans="1:9" x14ac:dyDescent="0.3">
      <c r="A5752" t="s">
        <v>1932</v>
      </c>
      <c r="B5752" t="s">
        <v>1933</v>
      </c>
      <c r="C5752">
        <v>2</v>
      </c>
      <c r="D5752" t="s">
        <v>1447</v>
      </c>
      <c r="E5752" t="s">
        <v>1934</v>
      </c>
      <c r="F5752" t="s">
        <v>1806</v>
      </c>
      <c r="I5752" t="str">
        <f>IF(ISBLANK('Q 5'!G1473),"",IF('Q 5'!G1473="&lt;please select&gt;","",'Q 5'!G1473))</f>
        <v/>
      </c>
    </row>
    <row r="5753" spans="1:9" x14ac:dyDescent="0.3">
      <c r="A5753" t="s">
        <v>1932</v>
      </c>
      <c r="B5753" t="s">
        <v>1933</v>
      </c>
      <c r="C5753">
        <v>3</v>
      </c>
      <c r="D5753" t="s">
        <v>1447</v>
      </c>
      <c r="E5753" t="s">
        <v>1934</v>
      </c>
      <c r="F5753" t="s">
        <v>1806</v>
      </c>
      <c r="I5753" t="str">
        <f>IF(ISBLANK('Q 5'!G1474),"",IF('Q 5'!G1474="&lt;please select&gt;","",'Q 5'!G1474))</f>
        <v/>
      </c>
    </row>
    <row r="5754" spans="1:9" x14ac:dyDescent="0.3">
      <c r="A5754" t="s">
        <v>1932</v>
      </c>
      <c r="B5754" t="s">
        <v>1933</v>
      </c>
      <c r="C5754">
        <v>4</v>
      </c>
      <c r="D5754" t="s">
        <v>1447</v>
      </c>
      <c r="E5754" t="s">
        <v>1934</v>
      </c>
      <c r="F5754" t="s">
        <v>1806</v>
      </c>
      <c r="I5754" t="str">
        <f>IF(ISBLANK('Q 5'!G1475),"",IF('Q 5'!G1475="&lt;please select&gt;","",'Q 5'!G1475))</f>
        <v/>
      </c>
    </row>
    <row r="5755" spans="1:9" x14ac:dyDescent="0.3">
      <c r="A5755" t="s">
        <v>1932</v>
      </c>
      <c r="B5755" t="s">
        <v>1933</v>
      </c>
      <c r="C5755">
        <v>5</v>
      </c>
      <c r="D5755" t="s">
        <v>1447</v>
      </c>
      <c r="E5755" t="s">
        <v>1934</v>
      </c>
      <c r="F5755" t="s">
        <v>1806</v>
      </c>
      <c r="I5755" t="str">
        <f>IF(ISBLANK('Q 5'!G1476),"",IF('Q 5'!G1476="&lt;please select&gt;","",'Q 5'!G1476))</f>
        <v/>
      </c>
    </row>
    <row r="5756" spans="1:9" x14ac:dyDescent="0.3">
      <c r="A5756" t="s">
        <v>1932</v>
      </c>
      <c r="B5756" t="s">
        <v>1935</v>
      </c>
      <c r="C5756">
        <v>0</v>
      </c>
      <c r="D5756" t="s">
        <v>1447</v>
      </c>
      <c r="E5756" t="s">
        <v>1935</v>
      </c>
      <c r="F5756" t="s">
        <v>1748</v>
      </c>
      <c r="H5756" s="167" t="str">
        <f>IF(ISBLANK('Q 5'!$G$1479),"",IF('Q 5'!$G$1479="&lt;please select&gt;","",'Q 5'!$G$1479))</f>
        <v/>
      </c>
    </row>
    <row r="5757" spans="1:9" x14ac:dyDescent="0.3">
      <c r="A5757" t="s">
        <v>1936</v>
      </c>
      <c r="B5757" t="s">
        <v>1937</v>
      </c>
      <c r="C5757">
        <v>0</v>
      </c>
      <c r="D5757" t="s">
        <v>1447</v>
      </c>
      <c r="E5757" t="s">
        <v>1937</v>
      </c>
      <c r="F5757" t="s">
        <v>1748</v>
      </c>
      <c r="H5757" s="165" t="str">
        <f>IF(ISBLANK('Q 5'!$C$1486),"",IF('Q 5'!$C$1486="&lt;please select&gt;","",'Q 5'!$C$1486))</f>
        <v/>
      </c>
    </row>
    <row r="5758" spans="1:9" x14ac:dyDescent="0.3">
      <c r="A5758" t="s">
        <v>1936</v>
      </c>
      <c r="B5758" t="s">
        <v>1938</v>
      </c>
      <c r="C5758">
        <v>0</v>
      </c>
      <c r="D5758" t="s">
        <v>1447</v>
      </c>
      <c r="E5758" t="s">
        <v>1938</v>
      </c>
      <c r="F5758" t="s">
        <v>1806</v>
      </c>
      <c r="I5758" s="165" t="str">
        <f>IF(ISBLANK('Q 5'!$E$1486),"",IF('Q 5'!$E$1486="&lt;please select&gt;","",'Q 5'!$E$1486))</f>
        <v/>
      </c>
    </row>
    <row r="5759" spans="1:9" x14ac:dyDescent="0.3">
      <c r="A5759" t="s">
        <v>1936</v>
      </c>
      <c r="B5759" t="s">
        <v>1939</v>
      </c>
      <c r="C5759">
        <v>0</v>
      </c>
      <c r="D5759" t="s">
        <v>1447</v>
      </c>
      <c r="E5759" t="s">
        <v>1939</v>
      </c>
      <c r="F5759" t="s">
        <v>1806</v>
      </c>
      <c r="I5759" s="165" t="str">
        <f>IF(ISBLANK('Q 5'!$G$1486),"",IF('Q 5'!$G$1486="&lt;please select&gt;","",'Q 5'!$G$1486))</f>
        <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0</v>
      </c>
    </row>
    <row r="5764" spans="1:11" x14ac:dyDescent="0.3">
      <c r="A5764" t="s">
        <v>1943</v>
      </c>
      <c r="B5764" t="s">
        <v>1944</v>
      </c>
      <c r="C5764">
        <v>0</v>
      </c>
      <c r="D5764" t="s">
        <v>1447</v>
      </c>
      <c r="E5764" t="s">
        <v>1944</v>
      </c>
      <c r="F5764" t="s">
        <v>1748</v>
      </c>
      <c r="H5764" s="165" t="str">
        <f>IF(ISBLANK('Q 5'!$C$1500),"",IF('Q 5'!$C$1500="&lt;please select&gt;","",'Q 5'!$C$1500))</f>
        <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0</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2</v>
      </c>
    </row>
    <row r="5780" spans="1:11" x14ac:dyDescent="0.3">
      <c r="A5780" t="s">
        <v>1951</v>
      </c>
      <c r="B5780" t="s">
        <v>1952</v>
      </c>
      <c r="C5780">
        <v>4</v>
      </c>
      <c r="D5780" t="s">
        <v>1447</v>
      </c>
      <c r="E5780" t="s">
        <v>1953</v>
      </c>
      <c r="F5780" t="s">
        <v>1748</v>
      </c>
      <c r="H5780" s="165" t="str">
        <f>IF(ISBLANK('Q 6'!F11),"",IF('Q 6'!F11="&lt;please select&gt;","",'Q 6'!F11))</f>
        <v>2</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0</v>
      </c>
    </row>
    <row r="5786" spans="1:11" x14ac:dyDescent="0.3">
      <c r="A5786" t="s">
        <v>1951</v>
      </c>
      <c r="B5786" t="s">
        <v>1952</v>
      </c>
      <c r="C5786">
        <v>4</v>
      </c>
      <c r="D5786" t="s">
        <v>1447</v>
      </c>
      <c r="E5786" t="s">
        <v>1955</v>
      </c>
      <c r="F5786" t="s">
        <v>1748</v>
      </c>
      <c r="H5786" s="165" t="str">
        <f>IF(ISBLANK('Q 6'!H11),"",IF('Q 6'!H11="&lt;please select&gt;","",'Q 6'!H11))</f>
        <v>0</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
      </c>
    </row>
    <row r="5792" spans="1:11" x14ac:dyDescent="0.3">
      <c r="A5792" t="s">
        <v>1951</v>
      </c>
      <c r="B5792" t="s">
        <v>1957</v>
      </c>
      <c r="C5792">
        <v>4</v>
      </c>
      <c r="D5792" t="s">
        <v>1447</v>
      </c>
      <c r="E5792" t="s">
        <v>1958</v>
      </c>
      <c r="F5792" t="s">
        <v>1737</v>
      </c>
      <c r="K5792" t="str">
        <f>IF(ISBLANK('Q 6'!C20),"",IF('Q 6'!C20="&lt;please select&gt;","",'Q 6'!C20))</f>
        <v/>
      </c>
    </row>
    <row r="5793" spans="1:11" x14ac:dyDescent="0.3">
      <c r="A5793" t="s">
        <v>1951</v>
      </c>
      <c r="B5793" t="s">
        <v>1957</v>
      </c>
      <c r="C5793">
        <v>5</v>
      </c>
      <c r="D5793" t="s">
        <v>1447</v>
      </c>
      <c r="E5793" t="s">
        <v>1958</v>
      </c>
      <c r="F5793" t="s">
        <v>1737</v>
      </c>
      <c r="K5793" t="str">
        <f>IF(ISBLANK('Q 6'!C21),"",IF('Q 6'!C21="&lt;please select&gt;","",'Q 6'!C21))</f>
        <v/>
      </c>
    </row>
    <row r="5794" spans="1:11" x14ac:dyDescent="0.3">
      <c r="A5794" t="s">
        <v>1951</v>
      </c>
      <c r="B5794" t="s">
        <v>1957</v>
      </c>
      <c r="C5794">
        <v>6</v>
      </c>
      <c r="D5794" t="s">
        <v>1447</v>
      </c>
      <c r="E5794" t="s">
        <v>1958</v>
      </c>
      <c r="F5794" t="s">
        <v>1737</v>
      </c>
      <c r="K5794" t="str">
        <f>IF(ISBLANK('Q 6'!C22),"",IF('Q 6'!C22="&lt;please select&gt;","",'Q 6'!C22))</f>
        <v/>
      </c>
    </row>
    <row r="5795" spans="1:11" x14ac:dyDescent="0.3">
      <c r="A5795" t="s">
        <v>1951</v>
      </c>
      <c r="B5795" t="s">
        <v>1957</v>
      </c>
      <c r="C5795">
        <v>7</v>
      </c>
      <c r="D5795" t="s">
        <v>1447</v>
      </c>
      <c r="E5795" t="s">
        <v>1958</v>
      </c>
      <c r="F5795" t="s">
        <v>1737</v>
      </c>
      <c r="K5795" t="str">
        <f>IF(ISBLANK('Q 6'!C23),"",IF('Q 6'!C23="&lt;please select&gt;","",'Q 6'!C23))</f>
        <v/>
      </c>
    </row>
    <row r="5796" spans="1:11" x14ac:dyDescent="0.3">
      <c r="A5796" t="s">
        <v>1951</v>
      </c>
      <c r="B5796" t="s">
        <v>1957</v>
      </c>
      <c r="C5796">
        <v>8</v>
      </c>
      <c r="D5796" t="s">
        <v>1447</v>
      </c>
      <c r="E5796" t="s">
        <v>1958</v>
      </c>
      <c r="F5796" t="s">
        <v>1737</v>
      </c>
      <c r="K5796" t="str">
        <f>IF(ISBLANK('Q 6'!C24),"",IF('Q 6'!C24="&lt;please select&gt;","",'Q 6'!C24))</f>
        <v/>
      </c>
    </row>
    <row r="5797" spans="1:11" x14ac:dyDescent="0.3">
      <c r="A5797" t="s">
        <v>1951</v>
      </c>
      <c r="B5797" t="s">
        <v>1957</v>
      </c>
      <c r="C5797">
        <v>9</v>
      </c>
      <c r="D5797" t="s">
        <v>1447</v>
      </c>
      <c r="E5797" t="s">
        <v>1958</v>
      </c>
      <c r="F5797" t="s">
        <v>1737</v>
      </c>
      <c r="K5797" t="str">
        <f>IF(ISBLANK('Q 6'!C25),"",IF('Q 6'!C25="&lt;please select&gt;","",'Q 6'!C25))</f>
        <v/>
      </c>
    </row>
    <row r="5798" spans="1:11" x14ac:dyDescent="0.3">
      <c r="A5798" t="s">
        <v>1951</v>
      </c>
      <c r="B5798" t="s">
        <v>1957</v>
      </c>
      <c r="C5798">
        <v>10</v>
      </c>
      <c r="D5798" t="s">
        <v>1447</v>
      </c>
      <c r="E5798" t="s">
        <v>1958</v>
      </c>
      <c r="F5798" t="s">
        <v>1737</v>
      </c>
      <c r="K5798" t="str">
        <f>IF(ISBLANK('Q 6'!C26),"",IF('Q 6'!C26="&lt;please select&gt;","",'Q 6'!C26))</f>
        <v/>
      </c>
    </row>
    <row r="5799" spans="1:11" x14ac:dyDescent="0.3">
      <c r="A5799" t="s">
        <v>1951</v>
      </c>
      <c r="B5799" t="s">
        <v>1957</v>
      </c>
      <c r="C5799">
        <v>11</v>
      </c>
      <c r="D5799" t="s">
        <v>1447</v>
      </c>
      <c r="E5799" t="s">
        <v>1958</v>
      </c>
      <c r="F5799" t="s">
        <v>1737</v>
      </c>
      <c r="K5799" t="str">
        <f>IF(ISBLANK('Q 6'!C27),"",IF('Q 6'!C27="&lt;please select&gt;","",'Q 6'!C27))</f>
        <v/>
      </c>
    </row>
    <row r="5800" spans="1:11" x14ac:dyDescent="0.3">
      <c r="A5800" t="s">
        <v>1951</v>
      </c>
      <c r="B5800" t="s">
        <v>1957</v>
      </c>
      <c r="C5800">
        <v>12</v>
      </c>
      <c r="D5800" t="s">
        <v>1447</v>
      </c>
      <c r="E5800" t="s">
        <v>1958</v>
      </c>
      <c r="F5800" t="s">
        <v>1737</v>
      </c>
      <c r="K5800" t="str">
        <f>IF(ISBLANK('Q 6'!C28),"",IF('Q 6'!C28="&lt;please select&gt;","",'Q 6'!C28))</f>
        <v/>
      </c>
    </row>
    <row r="5801" spans="1:11" x14ac:dyDescent="0.3">
      <c r="A5801" t="s">
        <v>1951</v>
      </c>
      <c r="B5801" t="s">
        <v>1957</v>
      </c>
      <c r="C5801">
        <v>13</v>
      </c>
      <c r="D5801" t="s">
        <v>1447</v>
      </c>
      <c r="E5801" t="s">
        <v>1958</v>
      </c>
      <c r="F5801" t="s">
        <v>1737</v>
      </c>
      <c r="K5801" t="str">
        <f>IF(ISBLANK('Q 6'!C29),"",IF('Q 6'!C29="&lt;please select&gt;","",'Q 6'!C29))</f>
        <v/>
      </c>
    </row>
    <row r="5802" spans="1:11" x14ac:dyDescent="0.3">
      <c r="A5802" t="s">
        <v>1951</v>
      </c>
      <c r="B5802" t="s">
        <v>1957</v>
      </c>
      <c r="C5802">
        <v>14</v>
      </c>
      <c r="D5802" t="s">
        <v>1447</v>
      </c>
      <c r="E5802" t="s">
        <v>1958</v>
      </c>
      <c r="F5802" t="s">
        <v>1737</v>
      </c>
      <c r="K5802" t="str">
        <f>IF(ISBLANK('Q 6'!C30),"",IF('Q 6'!C30="&lt;please select&gt;","",'Q 6'!C30))</f>
        <v/>
      </c>
    </row>
    <row r="5803" spans="1:11" x14ac:dyDescent="0.3">
      <c r="A5803" t="s">
        <v>1951</v>
      </c>
      <c r="B5803" t="s">
        <v>1957</v>
      </c>
      <c r="C5803">
        <v>15</v>
      </c>
      <c r="D5803" t="s">
        <v>1447</v>
      </c>
      <c r="E5803" t="s">
        <v>1958</v>
      </c>
      <c r="F5803" t="s">
        <v>1737</v>
      </c>
      <c r="K5803" t="str">
        <f>IF(ISBLANK('Q 6'!C31),"",IF('Q 6'!C31="&lt;please select&gt;","",'Q 6'!C31))</f>
        <v/>
      </c>
    </row>
    <row r="5804" spans="1:11" x14ac:dyDescent="0.3">
      <c r="A5804" t="s">
        <v>1951</v>
      </c>
      <c r="B5804" t="s">
        <v>1957</v>
      </c>
      <c r="C5804">
        <v>16</v>
      </c>
      <c r="D5804" t="s">
        <v>1447</v>
      </c>
      <c r="E5804" t="s">
        <v>1958</v>
      </c>
      <c r="F5804" t="s">
        <v>1737</v>
      </c>
      <c r="K5804" t="str">
        <f>IF(ISBLANK('Q 6'!C32),"",IF('Q 6'!C32="&lt;please select&gt;","",'Q 6'!C32))</f>
        <v/>
      </c>
    </row>
    <row r="5805" spans="1:11" x14ac:dyDescent="0.3">
      <c r="A5805" t="s">
        <v>1951</v>
      </c>
      <c r="B5805" t="s">
        <v>1957</v>
      </c>
      <c r="C5805">
        <v>17</v>
      </c>
      <c r="D5805" t="s">
        <v>1447</v>
      </c>
      <c r="E5805" t="s">
        <v>1958</v>
      </c>
      <c r="F5805" t="s">
        <v>1737</v>
      </c>
      <c r="K5805" t="str">
        <f>IF(ISBLANK('Q 6'!C33),"",IF('Q 6'!C33="&lt;please select&gt;","",'Q 6'!C33))</f>
        <v/>
      </c>
    </row>
    <row r="5806" spans="1:11" x14ac:dyDescent="0.3">
      <c r="A5806" t="s">
        <v>1951</v>
      </c>
      <c r="B5806" t="s">
        <v>1957</v>
      </c>
      <c r="C5806">
        <v>18</v>
      </c>
      <c r="D5806" t="s">
        <v>1447</v>
      </c>
      <c r="E5806" t="s">
        <v>1958</v>
      </c>
      <c r="F5806" t="s">
        <v>1737</v>
      </c>
      <c r="K5806" t="str">
        <f>IF(ISBLANK('Q 6'!C34),"",IF('Q 6'!C34="&lt;please select&gt;","",'Q 6'!C34))</f>
        <v/>
      </c>
    </row>
    <row r="5807" spans="1:11" x14ac:dyDescent="0.3">
      <c r="A5807" t="s">
        <v>1951</v>
      </c>
      <c r="B5807" t="s">
        <v>1957</v>
      </c>
      <c r="C5807">
        <v>19</v>
      </c>
      <c r="D5807" t="s">
        <v>1447</v>
      </c>
      <c r="E5807" t="s">
        <v>1958</v>
      </c>
      <c r="F5807" t="s">
        <v>1737</v>
      </c>
      <c r="K5807" t="str">
        <f>IF(ISBLANK('Q 6'!C35),"",IF('Q 6'!C35="&lt;please select&gt;","",'Q 6'!C35))</f>
        <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0</v>
      </c>
    </row>
    <row r="5824" spans="1:11" x14ac:dyDescent="0.3">
      <c r="A5824" t="s">
        <v>1951</v>
      </c>
      <c r="B5824" t="s">
        <v>1957</v>
      </c>
      <c r="C5824">
        <v>2</v>
      </c>
      <c r="D5824" t="s">
        <v>1447</v>
      </c>
      <c r="E5824" t="s">
        <v>1959</v>
      </c>
      <c r="F5824" t="s">
        <v>1748</v>
      </c>
      <c r="H5824" s="165" t="str">
        <f>IF(ISBLANK('Q 6'!H18),"",IF('Q 6'!H18="&lt;please select&gt;","",'Q 6'!H18))</f>
        <v>0</v>
      </c>
    </row>
    <row r="5825" spans="1:8" x14ac:dyDescent="0.3">
      <c r="A5825" t="s">
        <v>1951</v>
      </c>
      <c r="B5825" t="s">
        <v>1957</v>
      </c>
      <c r="C5825">
        <v>3</v>
      </c>
      <c r="D5825" t="s">
        <v>1447</v>
      </c>
      <c r="E5825" t="s">
        <v>1959</v>
      </c>
      <c r="F5825" t="s">
        <v>1748</v>
      </c>
      <c r="H5825" s="165" t="str">
        <f>IF(ISBLANK('Q 6'!H19),"",IF('Q 6'!H19="&lt;please select&gt;","",'Q 6'!H19))</f>
        <v/>
      </c>
    </row>
    <row r="5826" spans="1:8" x14ac:dyDescent="0.3">
      <c r="A5826" t="s">
        <v>1951</v>
      </c>
      <c r="B5826" t="s">
        <v>1957</v>
      </c>
      <c r="C5826">
        <v>4</v>
      </c>
      <c r="D5826" t="s">
        <v>1447</v>
      </c>
      <c r="E5826" t="s">
        <v>1959</v>
      </c>
      <c r="F5826" t="s">
        <v>1748</v>
      </c>
      <c r="H5826" s="165" t="str">
        <f>IF(ISBLANK('Q 6'!H20),"",IF('Q 6'!H20="&lt;please select&gt;","",'Q 6'!H20))</f>
        <v/>
      </c>
    </row>
    <row r="5827" spans="1:8" x14ac:dyDescent="0.3">
      <c r="A5827" t="s">
        <v>1951</v>
      </c>
      <c r="B5827" t="s">
        <v>1957</v>
      </c>
      <c r="C5827">
        <v>5</v>
      </c>
      <c r="D5827" t="s">
        <v>1447</v>
      </c>
      <c r="E5827" t="s">
        <v>1959</v>
      </c>
      <c r="F5827" t="s">
        <v>1748</v>
      </c>
      <c r="H5827" s="165" t="str">
        <f>IF(ISBLANK('Q 6'!H21),"",IF('Q 6'!H21="&lt;please select&gt;","",'Q 6'!H21))</f>
        <v/>
      </c>
    </row>
    <row r="5828" spans="1:8" x14ac:dyDescent="0.3">
      <c r="A5828" t="s">
        <v>1951</v>
      </c>
      <c r="B5828" t="s">
        <v>1957</v>
      </c>
      <c r="C5828">
        <v>6</v>
      </c>
      <c r="D5828" t="s">
        <v>1447</v>
      </c>
      <c r="E5828" t="s">
        <v>1959</v>
      </c>
      <c r="F5828" t="s">
        <v>1748</v>
      </c>
      <c r="H5828" s="165" t="str">
        <f>IF(ISBLANK('Q 6'!H22),"",IF('Q 6'!H22="&lt;please select&gt;","",'Q 6'!H22))</f>
        <v/>
      </c>
    </row>
    <row r="5829" spans="1:8" x14ac:dyDescent="0.3">
      <c r="A5829" t="s">
        <v>1951</v>
      </c>
      <c r="B5829" t="s">
        <v>1957</v>
      </c>
      <c r="C5829">
        <v>7</v>
      </c>
      <c r="D5829" t="s">
        <v>1447</v>
      </c>
      <c r="E5829" t="s">
        <v>1959</v>
      </c>
      <c r="F5829" t="s">
        <v>1748</v>
      </c>
      <c r="H5829" s="165" t="str">
        <f>IF(ISBLANK('Q 6'!H23),"",IF('Q 6'!H23="&lt;please select&gt;","",'Q 6'!H23))</f>
        <v/>
      </c>
    </row>
    <row r="5830" spans="1:8" x14ac:dyDescent="0.3">
      <c r="A5830" t="s">
        <v>1951</v>
      </c>
      <c r="B5830" t="s">
        <v>1957</v>
      </c>
      <c r="C5830">
        <v>8</v>
      </c>
      <c r="D5830" t="s">
        <v>1447</v>
      </c>
      <c r="E5830" t="s">
        <v>1959</v>
      </c>
      <c r="F5830" t="s">
        <v>1748</v>
      </c>
      <c r="H5830" s="165" t="str">
        <f>IF(ISBLANK('Q 6'!H24),"",IF('Q 6'!H24="&lt;please select&gt;","",'Q 6'!H24))</f>
        <v/>
      </c>
    </row>
    <row r="5831" spans="1:8" x14ac:dyDescent="0.3">
      <c r="A5831" t="s">
        <v>1951</v>
      </c>
      <c r="B5831" t="s">
        <v>1957</v>
      </c>
      <c r="C5831">
        <v>9</v>
      </c>
      <c r="D5831" t="s">
        <v>1447</v>
      </c>
      <c r="E5831" t="s">
        <v>1959</v>
      </c>
      <c r="F5831" t="s">
        <v>1748</v>
      </c>
      <c r="H5831" s="165" t="str">
        <f>IF(ISBLANK('Q 6'!H25),"",IF('Q 6'!H25="&lt;please select&gt;","",'Q 6'!H25))</f>
        <v/>
      </c>
    </row>
    <row r="5832" spans="1:8" x14ac:dyDescent="0.3">
      <c r="A5832" t="s">
        <v>1951</v>
      </c>
      <c r="B5832" t="s">
        <v>1957</v>
      </c>
      <c r="C5832">
        <v>10</v>
      </c>
      <c r="D5832" t="s">
        <v>1447</v>
      </c>
      <c r="E5832" t="s">
        <v>1959</v>
      </c>
      <c r="F5832" t="s">
        <v>1748</v>
      </c>
      <c r="H5832" s="165" t="str">
        <f>IF(ISBLANK('Q 6'!H26),"",IF('Q 6'!H26="&lt;please select&gt;","",'Q 6'!H26))</f>
        <v/>
      </c>
    </row>
    <row r="5833" spans="1:8" x14ac:dyDescent="0.3">
      <c r="A5833" t="s">
        <v>1951</v>
      </c>
      <c r="B5833" t="s">
        <v>1957</v>
      </c>
      <c r="C5833">
        <v>11</v>
      </c>
      <c r="D5833" t="s">
        <v>1447</v>
      </c>
      <c r="E5833" t="s">
        <v>1959</v>
      </c>
      <c r="F5833" t="s">
        <v>1748</v>
      </c>
      <c r="H5833" s="165" t="str">
        <f>IF(ISBLANK('Q 6'!H27),"",IF('Q 6'!H27="&lt;please select&gt;","",'Q 6'!H27))</f>
        <v/>
      </c>
    </row>
    <row r="5834" spans="1:8" x14ac:dyDescent="0.3">
      <c r="A5834" t="s">
        <v>1951</v>
      </c>
      <c r="B5834" t="s">
        <v>1957</v>
      </c>
      <c r="C5834">
        <v>12</v>
      </c>
      <c r="D5834" t="s">
        <v>1447</v>
      </c>
      <c r="E5834" t="s">
        <v>1959</v>
      </c>
      <c r="F5834" t="s">
        <v>1748</v>
      </c>
      <c r="H5834" s="165" t="str">
        <f>IF(ISBLANK('Q 6'!H28),"",IF('Q 6'!H28="&lt;please select&gt;","",'Q 6'!H28))</f>
        <v/>
      </c>
    </row>
    <row r="5835" spans="1:8" x14ac:dyDescent="0.3">
      <c r="A5835" t="s">
        <v>1951</v>
      </c>
      <c r="B5835" t="s">
        <v>1957</v>
      </c>
      <c r="C5835">
        <v>13</v>
      </c>
      <c r="D5835" t="s">
        <v>1447</v>
      </c>
      <c r="E5835" t="s">
        <v>1959</v>
      </c>
      <c r="F5835" t="s">
        <v>1748</v>
      </c>
      <c r="H5835" s="165" t="str">
        <f>IF(ISBLANK('Q 6'!H29),"",IF('Q 6'!H29="&lt;please select&gt;","",'Q 6'!H29))</f>
        <v/>
      </c>
    </row>
    <row r="5836" spans="1:8" x14ac:dyDescent="0.3">
      <c r="A5836" t="s">
        <v>1951</v>
      </c>
      <c r="B5836" t="s">
        <v>1957</v>
      </c>
      <c r="C5836">
        <v>14</v>
      </c>
      <c r="D5836" t="s">
        <v>1447</v>
      </c>
      <c r="E5836" t="s">
        <v>1959</v>
      </c>
      <c r="F5836" t="s">
        <v>1748</v>
      </c>
      <c r="H5836" s="165" t="str">
        <f>IF(ISBLANK('Q 6'!H30),"",IF('Q 6'!H30="&lt;please select&gt;","",'Q 6'!H30))</f>
        <v/>
      </c>
    </row>
    <row r="5837" spans="1:8" x14ac:dyDescent="0.3">
      <c r="A5837" t="s">
        <v>1951</v>
      </c>
      <c r="B5837" t="s">
        <v>1957</v>
      </c>
      <c r="C5837">
        <v>15</v>
      </c>
      <c r="D5837" t="s">
        <v>1447</v>
      </c>
      <c r="E5837" t="s">
        <v>1959</v>
      </c>
      <c r="F5837" t="s">
        <v>1748</v>
      </c>
      <c r="H5837" s="165" t="str">
        <f>IF(ISBLANK('Q 6'!H31),"",IF('Q 6'!H31="&lt;please select&gt;","",'Q 6'!H31))</f>
        <v/>
      </c>
    </row>
    <row r="5838" spans="1:8" x14ac:dyDescent="0.3">
      <c r="A5838" t="s">
        <v>1951</v>
      </c>
      <c r="B5838" t="s">
        <v>1957</v>
      </c>
      <c r="C5838">
        <v>16</v>
      </c>
      <c r="D5838" t="s">
        <v>1447</v>
      </c>
      <c r="E5838" t="s">
        <v>1959</v>
      </c>
      <c r="F5838" t="s">
        <v>1748</v>
      </c>
      <c r="H5838" s="165" t="str">
        <f>IF(ISBLANK('Q 6'!H32),"",IF('Q 6'!H32="&lt;please select&gt;","",'Q 6'!H32))</f>
        <v/>
      </c>
    </row>
    <row r="5839" spans="1:8" x14ac:dyDescent="0.3">
      <c r="A5839" t="s">
        <v>1951</v>
      </c>
      <c r="B5839" t="s">
        <v>1957</v>
      </c>
      <c r="C5839">
        <v>17</v>
      </c>
      <c r="D5839" t="s">
        <v>1447</v>
      </c>
      <c r="E5839" t="s">
        <v>1959</v>
      </c>
      <c r="F5839" t="s">
        <v>1748</v>
      </c>
      <c r="H5839" s="165" t="str">
        <f>IF(ISBLANK('Q 6'!H33),"",IF('Q 6'!H33="&lt;please select&gt;","",'Q 6'!H33))</f>
        <v/>
      </c>
    </row>
    <row r="5840" spans="1:8" x14ac:dyDescent="0.3">
      <c r="A5840" t="s">
        <v>1951</v>
      </c>
      <c r="B5840" t="s">
        <v>1957</v>
      </c>
      <c r="C5840">
        <v>18</v>
      </c>
      <c r="D5840" t="s">
        <v>1447</v>
      </c>
      <c r="E5840" t="s">
        <v>1959</v>
      </c>
      <c r="F5840" t="s">
        <v>1748</v>
      </c>
      <c r="H5840" s="165" t="str">
        <f>IF(ISBLANK('Q 6'!H34),"",IF('Q 6'!H34="&lt;please select&gt;","",'Q 6'!H34))</f>
        <v/>
      </c>
    </row>
    <row r="5841" spans="1:8" x14ac:dyDescent="0.3">
      <c r="A5841" t="s">
        <v>1951</v>
      </c>
      <c r="B5841" t="s">
        <v>1957</v>
      </c>
      <c r="C5841">
        <v>19</v>
      </c>
      <c r="D5841" t="s">
        <v>1447</v>
      </c>
      <c r="E5841" t="s">
        <v>1959</v>
      </c>
      <c r="F5841" t="s">
        <v>1748</v>
      </c>
      <c r="H5841" s="165" t="str">
        <f>IF(ISBLANK('Q 6'!H35),"",IF('Q 6'!H35="&lt;please select&gt;","",'Q 6'!H35))</f>
        <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0</v>
      </c>
    </row>
    <row r="5858" spans="1:8" x14ac:dyDescent="0.3">
      <c r="A5858" t="s">
        <v>1951</v>
      </c>
      <c r="B5858" t="s">
        <v>1957</v>
      </c>
      <c r="C5858">
        <v>2</v>
      </c>
      <c r="D5858" t="s">
        <v>1447</v>
      </c>
      <c r="E5858" t="s">
        <v>1960</v>
      </c>
      <c r="F5858" t="s">
        <v>1748</v>
      </c>
      <c r="H5858" s="165" t="str">
        <f>IF(ISBLANK('Q 6'!I18),"",IF('Q 6'!I18="&lt;please select&gt;","",'Q 6'!I18))</f>
        <v>0</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No</v>
      </c>
    </row>
    <row r="5892" spans="1:11" x14ac:dyDescent="0.3">
      <c r="A5892" t="s">
        <v>1961</v>
      </c>
      <c r="B5892" t="s">
        <v>1962</v>
      </c>
      <c r="C5892">
        <v>1</v>
      </c>
      <c r="D5892" t="s">
        <v>1447</v>
      </c>
      <c r="E5892" t="s">
        <v>1964</v>
      </c>
      <c r="F5892" t="s">
        <v>1759</v>
      </c>
      <c r="K5892" t="str">
        <f>IF(ISBLANK('Q 6'!$I$56),"",IF('Q 6'!$I$56="&lt;please select&gt;","",'Q 6'!$I$56))</f>
        <v>Yes</v>
      </c>
    </row>
    <row r="5893" spans="1:11" x14ac:dyDescent="0.3">
      <c r="A5893" t="s">
        <v>1961</v>
      </c>
      <c r="B5893" t="s">
        <v>1962</v>
      </c>
      <c r="C5893">
        <v>2</v>
      </c>
      <c r="D5893" t="s">
        <v>1447</v>
      </c>
      <c r="E5893" t="s">
        <v>1963</v>
      </c>
      <c r="F5893" t="s">
        <v>1759</v>
      </c>
      <c r="K5893" t="str">
        <f>IF(ISBLANK('Q 6'!$G$58),"",IF('Q 6'!$G$58="&lt;please select&gt;","",'Q 6'!$G$58))</f>
        <v>No</v>
      </c>
    </row>
    <row r="5894" spans="1:11" x14ac:dyDescent="0.3">
      <c r="A5894" t="s">
        <v>1961</v>
      </c>
      <c r="B5894" t="s">
        <v>1962</v>
      </c>
      <c r="C5894">
        <v>2</v>
      </c>
      <c r="D5894" t="s">
        <v>1447</v>
      </c>
      <c r="E5894" t="s">
        <v>1964</v>
      </c>
      <c r="F5894" t="s">
        <v>1759</v>
      </c>
      <c r="K5894" t="str">
        <f>IF(ISBLANK('Q 6'!$I$58),"",IF('Q 6'!$I$58="&lt;please select&gt;","",'Q 6'!$I$58))</f>
        <v>Yes</v>
      </c>
    </row>
    <row r="5895" spans="1:11" x14ac:dyDescent="0.3">
      <c r="A5895" t="s">
        <v>1961</v>
      </c>
      <c r="B5895" t="s">
        <v>1962</v>
      </c>
      <c r="C5895">
        <v>3</v>
      </c>
      <c r="D5895" t="s">
        <v>1447</v>
      </c>
      <c r="E5895" t="s">
        <v>1963</v>
      </c>
      <c r="F5895" t="s">
        <v>1759</v>
      </c>
      <c r="K5895" t="str">
        <f>IF(ISBLANK('Q 6'!$G$60),"",IF('Q 6'!$G$60="&lt;please select&gt;","",'Q 6'!$G$60))</f>
        <v/>
      </c>
    </row>
    <row r="5896" spans="1:11" x14ac:dyDescent="0.3">
      <c r="A5896" t="s">
        <v>1961</v>
      </c>
      <c r="B5896" t="s">
        <v>1962</v>
      </c>
      <c r="C5896">
        <v>3</v>
      </c>
      <c r="D5896" t="s">
        <v>1447</v>
      </c>
      <c r="E5896" t="s">
        <v>1964</v>
      </c>
      <c r="F5896" t="s">
        <v>1759</v>
      </c>
      <c r="K5896" t="str">
        <f>IF(ISBLANK('Q 6'!$I$60),"",IF('Q 6'!$I$60="&lt;please select&gt;","",'Q 6'!$I$60))</f>
        <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0</v>
      </c>
    </row>
    <row r="5901" spans="1:11" x14ac:dyDescent="0.3">
      <c r="A5901" t="s">
        <v>1961</v>
      </c>
      <c r="B5901" t="s">
        <v>1965</v>
      </c>
      <c r="C5901">
        <v>2</v>
      </c>
      <c r="D5901" t="s">
        <v>1447</v>
      </c>
      <c r="E5901" t="s">
        <v>1967</v>
      </c>
      <c r="F5901" t="s">
        <v>1748</v>
      </c>
      <c r="H5901" s="165" t="str">
        <f>IF(ISBLANK('Q 6'!$H$64),"",IF('Q 6'!$H$64="&lt;please select&gt;","",'Q 6'!$H$64))</f>
        <v>0</v>
      </c>
    </row>
    <row r="5902" spans="1:11" x14ac:dyDescent="0.3">
      <c r="A5902" t="s">
        <v>1961</v>
      </c>
      <c r="B5902" t="s">
        <v>1965</v>
      </c>
      <c r="C5902">
        <v>2</v>
      </c>
      <c r="D5902" t="s">
        <v>1447</v>
      </c>
      <c r="E5902" t="s">
        <v>1968</v>
      </c>
      <c r="F5902" t="s">
        <v>1748</v>
      </c>
      <c r="H5902" s="165" t="str">
        <f>IF(ISBLANK('Q 6'!$I$64),"",IF('Q 6'!$I$64="&lt;please select&gt;","",'Q 6'!$I$64))</f>
        <v>0</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0</v>
      </c>
    </row>
    <row r="5908" spans="1:8" x14ac:dyDescent="0.3">
      <c r="A5908" t="s">
        <v>1961</v>
      </c>
      <c r="B5908" t="s">
        <v>1971</v>
      </c>
      <c r="C5908">
        <v>2</v>
      </c>
      <c r="D5908" t="s">
        <v>1447</v>
      </c>
      <c r="E5908" t="s">
        <v>1973</v>
      </c>
      <c r="F5908" t="s">
        <v>1748</v>
      </c>
      <c r="H5908" s="165" t="str">
        <f>IF(ISBLANK('Q 6'!$H$69),"",IF('Q 6'!$H$69="&lt;please select&gt;","",'Q 6'!$H$69))</f>
        <v>0</v>
      </c>
    </row>
    <row r="5909" spans="1:8" x14ac:dyDescent="0.3">
      <c r="A5909" t="s">
        <v>1961</v>
      </c>
      <c r="B5909" t="s">
        <v>1971</v>
      </c>
      <c r="C5909">
        <v>2</v>
      </c>
      <c r="D5909" t="s">
        <v>1447</v>
      </c>
      <c r="E5909" t="s">
        <v>1974</v>
      </c>
      <c r="F5909" t="s">
        <v>1748</v>
      </c>
      <c r="H5909" s="165" t="str">
        <f>IF(ISBLANK('Q 6'!$I$69),"",IF('Q 6'!$I$69="&lt;please select&gt;","",'Q 6'!$I$69))</f>
        <v>0</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0</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20 - Combustion of fuels as specified in Annex I of Directive 2003/87/EC</v>
      </c>
    </row>
    <row r="6200" spans="1:11" x14ac:dyDescent="0.3">
      <c r="A6200" t="s">
        <v>1985</v>
      </c>
      <c r="B6200" t="s">
        <v>1987</v>
      </c>
      <c r="C6200">
        <v>3</v>
      </c>
      <c r="D6200" t="s">
        <v>1447</v>
      </c>
      <c r="E6200" t="s">
        <v>1988</v>
      </c>
      <c r="F6200" t="s">
        <v>1737</v>
      </c>
      <c r="K6200" t="str">
        <f>IF(ISBLANK('Q 6'!C135),"",IF('Q 6'!C135="&lt;please select&gt;","",'Q 6'!C135))</f>
        <v/>
      </c>
    </row>
    <row r="6201" spans="1:11" x14ac:dyDescent="0.3">
      <c r="A6201" t="s">
        <v>1985</v>
      </c>
      <c r="B6201" t="s">
        <v>1987</v>
      </c>
      <c r="C6201">
        <v>4</v>
      </c>
      <c r="D6201" t="s">
        <v>1447</v>
      </c>
      <c r="E6201" t="s">
        <v>1988</v>
      </c>
      <c r="F6201" t="s">
        <v>1737</v>
      </c>
      <c r="K6201" t="str">
        <f>IF(ISBLANK('Q 6'!C136),"",IF('Q 6'!C136="&lt;please select&gt;","",'Q 6'!C136))</f>
        <v/>
      </c>
    </row>
    <row r="6202" spans="1:11" x14ac:dyDescent="0.3">
      <c r="A6202" t="s">
        <v>1985</v>
      </c>
      <c r="B6202" t="s">
        <v>1987</v>
      </c>
      <c r="C6202">
        <v>5</v>
      </c>
      <c r="D6202" t="s">
        <v>1447</v>
      </c>
      <c r="E6202" t="s">
        <v>1988</v>
      </c>
      <c r="F6202" t="s">
        <v>1737</v>
      </c>
      <c r="K6202" t="str">
        <f>IF(ISBLANK('Q 6'!C137),"",IF('Q 6'!C137="&lt;please select&gt;","",'Q 6'!C137))</f>
        <v/>
      </c>
    </row>
    <row r="6203" spans="1:11" x14ac:dyDescent="0.3">
      <c r="A6203" t="s">
        <v>1985</v>
      </c>
      <c r="B6203" t="s">
        <v>1987</v>
      </c>
      <c r="C6203">
        <v>6</v>
      </c>
      <c r="D6203" t="s">
        <v>1447</v>
      </c>
      <c r="E6203" t="s">
        <v>1988</v>
      </c>
      <c r="F6203" t="s">
        <v>1737</v>
      </c>
      <c r="K6203" t="str">
        <f>IF(ISBLANK('Q 6'!C138),"",IF('Q 6'!C138="&lt;please select&gt;","",'Q 6'!C138))</f>
        <v/>
      </c>
    </row>
    <row r="6204" spans="1:11" x14ac:dyDescent="0.3">
      <c r="A6204" t="s">
        <v>1985</v>
      </c>
      <c r="B6204" t="s">
        <v>1987</v>
      </c>
      <c r="C6204">
        <v>7</v>
      </c>
      <c r="D6204" t="s">
        <v>1447</v>
      </c>
      <c r="E6204" t="s">
        <v>1988</v>
      </c>
      <c r="F6204" t="s">
        <v>1737</v>
      </c>
      <c r="K6204" t="str">
        <f>IF(ISBLANK('Q 6'!C139),"",IF('Q 6'!C139="&lt;please select&gt;","",'Q 6'!C139))</f>
        <v/>
      </c>
    </row>
    <row r="6205" spans="1:11" x14ac:dyDescent="0.3">
      <c r="A6205" t="s">
        <v>1985</v>
      </c>
      <c r="B6205" t="s">
        <v>1987</v>
      </c>
      <c r="C6205">
        <v>8</v>
      </c>
      <c r="D6205" t="s">
        <v>1447</v>
      </c>
      <c r="E6205" t="s">
        <v>1988</v>
      </c>
      <c r="F6205" t="s">
        <v>1737</v>
      </c>
      <c r="K6205" t="str">
        <f>IF(ISBLANK('Q 6'!C140),"",IF('Q 6'!C140="&lt;please select&gt;","",'Q 6'!C140))</f>
        <v/>
      </c>
    </row>
    <row r="6206" spans="1:11" x14ac:dyDescent="0.3">
      <c r="A6206" t="s">
        <v>1985</v>
      </c>
      <c r="B6206" t="s">
        <v>1987</v>
      </c>
      <c r="C6206">
        <v>9</v>
      </c>
      <c r="D6206" t="s">
        <v>1447</v>
      </c>
      <c r="E6206" t="s">
        <v>1988</v>
      </c>
      <c r="F6206" t="s">
        <v>1737</v>
      </c>
      <c r="K6206" t="str">
        <f>IF(ISBLANK('Q 6'!C141),"",IF('Q 6'!C141="&lt;please select&gt;","",'Q 6'!C141))</f>
        <v/>
      </c>
    </row>
    <row r="6207" spans="1:11" x14ac:dyDescent="0.3">
      <c r="A6207" t="s">
        <v>1985</v>
      </c>
      <c r="B6207" t="s">
        <v>1987</v>
      </c>
      <c r="C6207">
        <v>10</v>
      </c>
      <c r="D6207" t="s">
        <v>1447</v>
      </c>
      <c r="E6207" t="s">
        <v>1988</v>
      </c>
      <c r="F6207" t="s">
        <v>1737</v>
      </c>
      <c r="K6207" t="str">
        <f>IF(ISBLANK('Q 6'!C142),"",IF('Q 6'!C142="&lt;please select&gt;","",'Q 6'!C142))</f>
        <v/>
      </c>
    </row>
    <row r="6208" spans="1:11" x14ac:dyDescent="0.3">
      <c r="A6208" t="s">
        <v>1985</v>
      </c>
      <c r="B6208" t="s">
        <v>1987</v>
      </c>
      <c r="C6208">
        <v>11</v>
      </c>
      <c r="D6208" t="s">
        <v>1447</v>
      </c>
      <c r="E6208" t="s">
        <v>1988</v>
      </c>
      <c r="F6208" t="s">
        <v>1737</v>
      </c>
      <c r="K6208" t="str">
        <f>IF(ISBLANK('Q 6'!C143),"",IF('Q 6'!C143="&lt;please select&gt;","",'Q 6'!C143))</f>
        <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Non-conformities not leading to a negative verification opinion statement</v>
      </c>
    </row>
    <row r="6289" spans="1:11" x14ac:dyDescent="0.3">
      <c r="A6289" t="s">
        <v>1985</v>
      </c>
      <c r="B6289" t="s">
        <v>1987</v>
      </c>
      <c r="C6289">
        <v>2</v>
      </c>
      <c r="D6289" t="s">
        <v>1447</v>
      </c>
      <c r="E6289" t="s">
        <v>1989</v>
      </c>
      <c r="F6289" t="s">
        <v>1737</v>
      </c>
      <c r="K6289" t="str">
        <f>IF(ISBLANK('Q 6'!E134),"",IF('Q 6'!E134="&lt;please select&gt;","",'Q 6'!E134))</f>
        <v>Recommendations for improvement</v>
      </c>
    </row>
    <row r="6290" spans="1:11" x14ac:dyDescent="0.3">
      <c r="A6290" t="s">
        <v>1985</v>
      </c>
      <c r="B6290" t="s">
        <v>1987</v>
      </c>
      <c r="C6290">
        <v>3</v>
      </c>
      <c r="D6290" t="s">
        <v>1447</v>
      </c>
      <c r="E6290" t="s">
        <v>1989</v>
      </c>
      <c r="F6290" t="s">
        <v>1737</v>
      </c>
      <c r="K6290" t="str">
        <f>IF(ISBLANK('Q 6'!E135),"",IF('Q 6'!E135="&lt;please select&gt;","",'Q 6'!E135))</f>
        <v/>
      </c>
    </row>
    <row r="6291" spans="1:11" x14ac:dyDescent="0.3">
      <c r="A6291" t="s">
        <v>1985</v>
      </c>
      <c r="B6291" t="s">
        <v>1987</v>
      </c>
      <c r="C6291">
        <v>4</v>
      </c>
      <c r="D6291" t="s">
        <v>1447</v>
      </c>
      <c r="E6291" t="s">
        <v>1989</v>
      </c>
      <c r="F6291" t="s">
        <v>1737</v>
      </c>
      <c r="K6291" t="str">
        <f>IF(ISBLANK('Q 6'!E136),"",IF('Q 6'!E136="&lt;please select&gt;","",'Q 6'!E136))</f>
        <v/>
      </c>
    </row>
    <row r="6292" spans="1:11" x14ac:dyDescent="0.3">
      <c r="A6292" t="s">
        <v>1985</v>
      </c>
      <c r="B6292" t="s">
        <v>1987</v>
      </c>
      <c r="C6292">
        <v>5</v>
      </c>
      <c r="D6292" t="s">
        <v>1447</v>
      </c>
      <c r="E6292" t="s">
        <v>1989</v>
      </c>
      <c r="F6292" t="s">
        <v>1737</v>
      </c>
      <c r="K6292" t="str">
        <f>IF(ISBLANK('Q 6'!E137),"",IF('Q 6'!E137="&lt;please select&gt;","",'Q 6'!E137))</f>
        <v/>
      </c>
    </row>
    <row r="6293" spans="1:11" x14ac:dyDescent="0.3">
      <c r="A6293" t="s">
        <v>1985</v>
      </c>
      <c r="B6293" t="s">
        <v>1987</v>
      </c>
      <c r="C6293">
        <v>6</v>
      </c>
      <c r="D6293" t="s">
        <v>1447</v>
      </c>
      <c r="E6293" t="s">
        <v>1989</v>
      </c>
      <c r="F6293" t="s">
        <v>1737</v>
      </c>
      <c r="K6293" t="str">
        <f>IF(ISBLANK('Q 6'!E138),"",IF('Q 6'!E138="&lt;please select&gt;","",'Q 6'!E138))</f>
        <v/>
      </c>
    </row>
    <row r="6294" spans="1:11" x14ac:dyDescent="0.3">
      <c r="A6294" t="s">
        <v>1985</v>
      </c>
      <c r="B6294" t="s">
        <v>1987</v>
      </c>
      <c r="C6294">
        <v>7</v>
      </c>
      <c r="D6294" t="s">
        <v>1447</v>
      </c>
      <c r="E6294" t="s">
        <v>1989</v>
      </c>
      <c r="F6294" t="s">
        <v>1737</v>
      </c>
      <c r="K6294" t="str">
        <f>IF(ISBLANK('Q 6'!E139),"",IF('Q 6'!E139="&lt;please select&gt;","",'Q 6'!E139))</f>
        <v/>
      </c>
    </row>
    <row r="6295" spans="1:11" x14ac:dyDescent="0.3">
      <c r="A6295" t="s">
        <v>1985</v>
      </c>
      <c r="B6295" t="s">
        <v>1987</v>
      </c>
      <c r="C6295">
        <v>8</v>
      </c>
      <c r="D6295" t="s">
        <v>1447</v>
      </c>
      <c r="E6295" t="s">
        <v>1989</v>
      </c>
      <c r="F6295" t="s">
        <v>1737</v>
      </c>
      <c r="K6295" t="str">
        <f>IF(ISBLANK('Q 6'!E140),"",IF('Q 6'!E140="&lt;please select&gt;","",'Q 6'!E140))</f>
        <v/>
      </c>
    </row>
    <row r="6296" spans="1:11" x14ac:dyDescent="0.3">
      <c r="A6296" t="s">
        <v>1985</v>
      </c>
      <c r="B6296" t="s">
        <v>1987</v>
      </c>
      <c r="C6296">
        <v>9</v>
      </c>
      <c r="D6296" t="s">
        <v>1447</v>
      </c>
      <c r="E6296" t="s">
        <v>1989</v>
      </c>
      <c r="F6296" t="s">
        <v>1737</v>
      </c>
      <c r="K6296" t="str">
        <f>IF(ISBLANK('Q 6'!E141),"",IF('Q 6'!E141="&lt;please select&gt;","",'Q 6'!E141))</f>
        <v/>
      </c>
    </row>
    <row r="6297" spans="1:11" x14ac:dyDescent="0.3">
      <c r="A6297" t="s">
        <v>1985</v>
      </c>
      <c r="B6297" t="s">
        <v>1987</v>
      </c>
      <c r="C6297">
        <v>10</v>
      </c>
      <c r="D6297" t="s">
        <v>1447</v>
      </c>
      <c r="E6297" t="s">
        <v>1989</v>
      </c>
      <c r="F6297" t="s">
        <v>1737</v>
      </c>
      <c r="K6297" t="str">
        <f>IF(ISBLANK('Q 6'!E142),"",IF('Q 6'!E142="&lt;please select&gt;","",'Q 6'!E142))</f>
        <v/>
      </c>
    </row>
    <row r="6298" spans="1:11" x14ac:dyDescent="0.3">
      <c r="A6298" t="s">
        <v>1985</v>
      </c>
      <c r="B6298" t="s">
        <v>1987</v>
      </c>
      <c r="C6298">
        <v>11</v>
      </c>
      <c r="D6298" t="s">
        <v>1447</v>
      </c>
      <c r="E6298" t="s">
        <v>1989</v>
      </c>
      <c r="F6298" t="s">
        <v>1737</v>
      </c>
      <c r="K6298" t="str">
        <f>IF(ISBLANK('Q 6'!E143),"",IF('Q 6'!E143="&lt;please select&gt;","",'Q 6'!E143))</f>
        <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2</v>
      </c>
    </row>
    <row r="6379" spans="1:11" x14ac:dyDescent="0.3">
      <c r="A6379" t="s">
        <v>1985</v>
      </c>
      <c r="B6379" t="s">
        <v>1987</v>
      </c>
      <c r="C6379">
        <v>2</v>
      </c>
      <c r="D6379" t="s">
        <v>1447</v>
      </c>
      <c r="E6379" t="s">
        <v>1798</v>
      </c>
      <c r="F6379" t="s">
        <v>1748</v>
      </c>
      <c r="H6379" s="165" t="str">
        <f>IF(ISBLANK('Q 6'!G134),"",IF('Q 6'!G134="&lt;please select&gt;","",'Q 6'!G134))</f>
        <v>2</v>
      </c>
    </row>
    <row r="6380" spans="1:11" x14ac:dyDescent="0.3">
      <c r="A6380" t="s">
        <v>1985</v>
      </c>
      <c r="B6380" t="s">
        <v>1987</v>
      </c>
      <c r="C6380">
        <v>3</v>
      </c>
      <c r="D6380" t="s">
        <v>1447</v>
      </c>
      <c r="E6380" t="s">
        <v>1798</v>
      </c>
      <c r="F6380" t="s">
        <v>1748</v>
      </c>
      <c r="H6380" s="165" t="str">
        <f>IF(ISBLANK('Q 6'!G135),"",IF('Q 6'!G135="&lt;please select&gt;","",'Q 6'!G135))</f>
        <v/>
      </c>
    </row>
    <row r="6381" spans="1:11" x14ac:dyDescent="0.3">
      <c r="A6381" t="s">
        <v>1985</v>
      </c>
      <c r="B6381" t="s">
        <v>1987</v>
      </c>
      <c r="C6381">
        <v>4</v>
      </c>
      <c r="D6381" t="s">
        <v>1447</v>
      </c>
      <c r="E6381" t="s">
        <v>1798</v>
      </c>
      <c r="F6381" t="s">
        <v>1748</v>
      </c>
      <c r="H6381" s="165" t="str">
        <f>IF(ISBLANK('Q 6'!G136),"",IF('Q 6'!G136="&lt;please select&gt;","",'Q 6'!G136))</f>
        <v/>
      </c>
    </row>
    <row r="6382" spans="1:11" x14ac:dyDescent="0.3">
      <c r="A6382" t="s">
        <v>1985</v>
      </c>
      <c r="B6382" t="s">
        <v>1987</v>
      </c>
      <c r="C6382">
        <v>5</v>
      </c>
      <c r="D6382" t="s">
        <v>1447</v>
      </c>
      <c r="E6382" t="s">
        <v>1798</v>
      </c>
      <c r="F6382" t="s">
        <v>1748</v>
      </c>
      <c r="H6382" s="165" t="str">
        <f>IF(ISBLANK('Q 6'!G137),"",IF('Q 6'!G137="&lt;please select&gt;","",'Q 6'!G137))</f>
        <v/>
      </c>
    </row>
    <row r="6383" spans="1:11" x14ac:dyDescent="0.3">
      <c r="A6383" t="s">
        <v>1985</v>
      </c>
      <c r="B6383" t="s">
        <v>1987</v>
      </c>
      <c r="C6383">
        <v>6</v>
      </c>
      <c r="D6383" t="s">
        <v>1447</v>
      </c>
      <c r="E6383" t="s">
        <v>1798</v>
      </c>
      <c r="F6383" t="s">
        <v>1748</v>
      </c>
      <c r="H6383" s="165" t="str">
        <f>IF(ISBLANK('Q 6'!G138),"",IF('Q 6'!G138="&lt;please select&gt;","",'Q 6'!G138))</f>
        <v/>
      </c>
    </row>
    <row r="6384" spans="1:11" x14ac:dyDescent="0.3">
      <c r="A6384" t="s">
        <v>1985</v>
      </c>
      <c r="B6384" t="s">
        <v>1987</v>
      </c>
      <c r="C6384">
        <v>7</v>
      </c>
      <c r="D6384" t="s">
        <v>1447</v>
      </c>
      <c r="E6384" t="s">
        <v>1798</v>
      </c>
      <c r="F6384" t="s">
        <v>1748</v>
      </c>
      <c r="H6384" s="165" t="str">
        <f>IF(ISBLANK('Q 6'!G139),"",IF('Q 6'!G139="&lt;please select&gt;","",'Q 6'!G139))</f>
        <v/>
      </c>
    </row>
    <row r="6385" spans="1:8" x14ac:dyDescent="0.3">
      <c r="A6385" t="s">
        <v>1985</v>
      </c>
      <c r="B6385" t="s">
        <v>1987</v>
      </c>
      <c r="C6385">
        <v>8</v>
      </c>
      <c r="D6385" t="s">
        <v>1447</v>
      </c>
      <c r="E6385" t="s">
        <v>1798</v>
      </c>
      <c r="F6385" t="s">
        <v>1748</v>
      </c>
      <c r="H6385" s="165" t="str">
        <f>IF(ISBLANK('Q 6'!G140),"",IF('Q 6'!G140="&lt;please select&gt;","",'Q 6'!G140))</f>
        <v/>
      </c>
    </row>
    <row r="6386" spans="1:8" x14ac:dyDescent="0.3">
      <c r="A6386" t="s">
        <v>1985</v>
      </c>
      <c r="B6386" t="s">
        <v>1987</v>
      </c>
      <c r="C6386">
        <v>9</v>
      </c>
      <c r="D6386" t="s">
        <v>1447</v>
      </c>
      <c r="E6386" t="s">
        <v>1798</v>
      </c>
      <c r="F6386" t="s">
        <v>1748</v>
      </c>
      <c r="H6386" s="165" t="str">
        <f>IF(ISBLANK('Q 6'!G141),"",IF('Q 6'!G141="&lt;please select&gt;","",'Q 6'!G141))</f>
        <v/>
      </c>
    </row>
    <row r="6387" spans="1:8" x14ac:dyDescent="0.3">
      <c r="A6387" t="s">
        <v>1985</v>
      </c>
      <c r="B6387" t="s">
        <v>1987</v>
      </c>
      <c r="C6387">
        <v>10</v>
      </c>
      <c r="D6387" t="s">
        <v>1447</v>
      </c>
      <c r="E6387" t="s">
        <v>1798</v>
      </c>
      <c r="F6387" t="s">
        <v>1748</v>
      </c>
      <c r="H6387" s="165" t="str">
        <f>IF(ISBLANK('Q 6'!G142),"",IF('Q 6'!G142="&lt;please select&gt;","",'Q 6'!G142))</f>
        <v/>
      </c>
    </row>
    <row r="6388" spans="1:8" x14ac:dyDescent="0.3">
      <c r="A6388" t="s">
        <v>1985</v>
      </c>
      <c r="B6388" t="s">
        <v>1987</v>
      </c>
      <c r="C6388">
        <v>11</v>
      </c>
      <c r="D6388" t="s">
        <v>1447</v>
      </c>
      <c r="E6388" t="s">
        <v>1798</v>
      </c>
      <c r="F6388" t="s">
        <v>1748</v>
      </c>
      <c r="H6388" s="165" t="str">
        <f>IF(ISBLANK('Q 6'!G143),"",IF('Q 6'!G143="&lt;please select&gt;","",'Q 6'!G143))</f>
        <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2</v>
      </c>
    </row>
    <row r="6469" spans="1:8" x14ac:dyDescent="0.3">
      <c r="A6469" t="s">
        <v>1985</v>
      </c>
      <c r="B6469" t="s">
        <v>1987</v>
      </c>
      <c r="C6469">
        <v>2</v>
      </c>
      <c r="D6469" t="s">
        <v>1447</v>
      </c>
      <c r="E6469" t="s">
        <v>1972</v>
      </c>
      <c r="F6469" t="s">
        <v>1748</v>
      </c>
      <c r="H6469" s="165" t="str">
        <f>IF(ISBLANK('Q 6'!H134),"",IF('Q 6'!H134="&lt;please select&gt;","",'Q 6'!H134))</f>
        <v>7</v>
      </c>
    </row>
    <row r="6470" spans="1:8" x14ac:dyDescent="0.3">
      <c r="A6470" t="s">
        <v>1985</v>
      </c>
      <c r="B6470" t="s">
        <v>1987</v>
      </c>
      <c r="C6470">
        <v>3</v>
      </c>
      <c r="D6470" t="s">
        <v>1447</v>
      </c>
      <c r="E6470" t="s">
        <v>1972</v>
      </c>
      <c r="F6470" t="s">
        <v>1748</v>
      </c>
      <c r="H6470" s="165" t="str">
        <f>IF(ISBLANK('Q 6'!H135),"",IF('Q 6'!H135="&lt;please select&gt;","",'Q 6'!H135))</f>
        <v/>
      </c>
    </row>
    <row r="6471" spans="1:8" x14ac:dyDescent="0.3">
      <c r="A6471" t="s">
        <v>1985</v>
      </c>
      <c r="B6471" t="s">
        <v>1987</v>
      </c>
      <c r="C6471">
        <v>4</v>
      </c>
      <c r="D6471" t="s">
        <v>1447</v>
      </c>
      <c r="E6471" t="s">
        <v>1972</v>
      </c>
      <c r="F6471" t="s">
        <v>1748</v>
      </c>
      <c r="H6471" s="165" t="str">
        <f>IF(ISBLANK('Q 6'!H136),"",IF('Q 6'!H136="&lt;please select&gt;","",'Q 6'!H136))</f>
        <v/>
      </c>
    </row>
    <row r="6472" spans="1:8" x14ac:dyDescent="0.3">
      <c r="A6472" t="s">
        <v>1985</v>
      </c>
      <c r="B6472" t="s">
        <v>1987</v>
      </c>
      <c r="C6472">
        <v>5</v>
      </c>
      <c r="D6472" t="s">
        <v>1447</v>
      </c>
      <c r="E6472" t="s">
        <v>1972</v>
      </c>
      <c r="F6472" t="s">
        <v>1748</v>
      </c>
      <c r="H6472" s="165" t="str">
        <f>IF(ISBLANK('Q 6'!H137),"",IF('Q 6'!H137="&lt;please select&gt;","",'Q 6'!H137))</f>
        <v/>
      </c>
    </row>
    <row r="6473" spans="1:8" x14ac:dyDescent="0.3">
      <c r="A6473" t="s">
        <v>1985</v>
      </c>
      <c r="B6473" t="s">
        <v>1987</v>
      </c>
      <c r="C6473">
        <v>6</v>
      </c>
      <c r="D6473" t="s">
        <v>1447</v>
      </c>
      <c r="E6473" t="s">
        <v>1972</v>
      </c>
      <c r="F6473" t="s">
        <v>1748</v>
      </c>
      <c r="H6473" s="165" t="str">
        <f>IF(ISBLANK('Q 6'!H138),"",IF('Q 6'!H138="&lt;please select&gt;","",'Q 6'!H138))</f>
        <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
      </c>
    </row>
    <row r="6559" spans="1:9" x14ac:dyDescent="0.3">
      <c r="A6559" t="s">
        <v>1985</v>
      </c>
      <c r="B6559" t="s">
        <v>1987</v>
      </c>
      <c r="C6559">
        <v>2</v>
      </c>
      <c r="D6559" t="s">
        <v>1447</v>
      </c>
      <c r="E6559" t="s">
        <v>1990</v>
      </c>
      <c r="F6559" t="s">
        <v>1806</v>
      </c>
      <c r="I6559" s="166" t="str">
        <f>IF(ISBLANK('Q 6'!I134),"",IF('Q 6'!I134="&lt;please select&gt;","",'Q 6'!I134))</f>
        <v/>
      </c>
    </row>
    <row r="6560" spans="1:9" x14ac:dyDescent="0.3">
      <c r="A6560" t="s">
        <v>1985</v>
      </c>
      <c r="B6560" t="s">
        <v>1987</v>
      </c>
      <c r="C6560">
        <v>3</v>
      </c>
      <c r="D6560" t="s">
        <v>1447</v>
      </c>
      <c r="E6560" t="s">
        <v>1990</v>
      </c>
      <c r="F6560" t="s">
        <v>1806</v>
      </c>
      <c r="I6560" s="166" t="str">
        <f>IF(ISBLANK('Q 6'!I135),"",IF('Q 6'!I135="&lt;please select&gt;","",'Q 6'!I135))</f>
        <v/>
      </c>
    </row>
    <row r="6561" spans="1:9" x14ac:dyDescent="0.3">
      <c r="A6561" t="s">
        <v>1985</v>
      </c>
      <c r="B6561" t="s">
        <v>1987</v>
      </c>
      <c r="C6561">
        <v>4</v>
      </c>
      <c r="D6561" t="s">
        <v>1447</v>
      </c>
      <c r="E6561" t="s">
        <v>1990</v>
      </c>
      <c r="F6561" t="s">
        <v>1806</v>
      </c>
      <c r="I6561" s="166" t="str">
        <f>IF(ISBLANK('Q 6'!I136),"",IF('Q 6'!I136="&lt;please select&gt;","",'Q 6'!I136))</f>
        <v/>
      </c>
    </row>
    <row r="6562" spans="1:9" x14ac:dyDescent="0.3">
      <c r="A6562" t="s">
        <v>1985</v>
      </c>
      <c r="B6562" t="s">
        <v>1987</v>
      </c>
      <c r="C6562">
        <v>5</v>
      </c>
      <c r="D6562" t="s">
        <v>1447</v>
      </c>
      <c r="E6562" t="s">
        <v>1990</v>
      </c>
      <c r="F6562" t="s">
        <v>1806</v>
      </c>
      <c r="I6562" s="166" t="str">
        <f>IF(ISBLANK('Q 6'!I137),"",IF('Q 6'!I137="&lt;please select&gt;","",'Q 6'!I137))</f>
        <v/>
      </c>
    </row>
    <row r="6563" spans="1:9" x14ac:dyDescent="0.3">
      <c r="A6563" t="s">
        <v>1985</v>
      </c>
      <c r="B6563" t="s">
        <v>1987</v>
      </c>
      <c r="C6563">
        <v>6</v>
      </c>
      <c r="D6563" t="s">
        <v>1447</v>
      </c>
      <c r="E6563" t="s">
        <v>1990</v>
      </c>
      <c r="F6563" t="s">
        <v>1806</v>
      </c>
      <c r="I6563" s="166" t="str">
        <f>IF(ISBLANK('Q 6'!I138),"",IF('Q 6'!I138="&lt;please select&gt;","",'Q 6'!I138))</f>
        <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Other, please specify</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n/a</v>
      </c>
    </row>
    <row r="6661" spans="1:11" x14ac:dyDescent="0.3">
      <c r="A6661" t="s">
        <v>1991</v>
      </c>
      <c r="B6661" t="s">
        <v>1999</v>
      </c>
      <c r="C6661">
        <v>2</v>
      </c>
      <c r="D6661" t="s">
        <v>1419</v>
      </c>
      <c r="E6661" t="s">
        <v>2000</v>
      </c>
      <c r="F6661" t="s">
        <v>1791</v>
      </c>
      <c r="J6661" t="str">
        <f>IF(ISBLANK('Q 6'!G237),"",IF('Q 6'!G237="&lt;please select&gt;","",'Q 6'!G237))</f>
        <v>n/a</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0</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
      </c>
    </row>
    <row r="6959" spans="1:11" x14ac:dyDescent="0.3">
      <c r="A6959" t="s">
        <v>2026</v>
      </c>
      <c r="B6959" t="s">
        <v>2028</v>
      </c>
      <c r="C6959">
        <v>1</v>
      </c>
      <c r="D6959" t="s">
        <v>1447</v>
      </c>
      <c r="E6959" t="s">
        <v>1994</v>
      </c>
      <c r="F6959" t="s">
        <v>1806</v>
      </c>
      <c r="I6959" s="166" t="str">
        <f>IF(ISBLANK('Q 6'!G352),"",IF('Q 6'!G352="&lt;please select&gt;","",'Q 6'!G352))</f>
        <v/>
      </c>
    </row>
    <row r="6960" spans="1:11" x14ac:dyDescent="0.3">
      <c r="A6960" t="s">
        <v>2026</v>
      </c>
      <c r="B6960" t="s">
        <v>2028</v>
      </c>
      <c r="C6960">
        <v>2</v>
      </c>
      <c r="D6960" t="s">
        <v>1447</v>
      </c>
      <c r="E6960" t="s">
        <v>1994</v>
      </c>
      <c r="F6960" t="s">
        <v>1806</v>
      </c>
      <c r="I6960" s="166" t="str">
        <f>IF(ISBLANK('Q 6'!G353),"",IF('Q 6'!G353="&lt;please select&gt;","",'Q 6'!G353))</f>
        <v/>
      </c>
    </row>
    <row r="6961" spans="1:11" x14ac:dyDescent="0.3">
      <c r="A6961" t="s">
        <v>2026</v>
      </c>
      <c r="B6961" t="s">
        <v>2028</v>
      </c>
      <c r="C6961">
        <v>3</v>
      </c>
      <c r="D6961" t="s">
        <v>1447</v>
      </c>
      <c r="E6961" t="s">
        <v>1994</v>
      </c>
      <c r="F6961" t="s">
        <v>1806</v>
      </c>
      <c r="I6961" s="166" t="str">
        <f>IF(ISBLANK('Q 6'!G354),"",IF('Q 6'!G354="&lt;please select&gt;","",'Q 6'!G354))</f>
        <v/>
      </c>
    </row>
    <row r="6962" spans="1:11" x14ac:dyDescent="0.3">
      <c r="A6962" t="s">
        <v>2026</v>
      </c>
      <c r="B6962" t="s">
        <v>2028</v>
      </c>
      <c r="C6962">
        <v>4</v>
      </c>
      <c r="D6962" t="s">
        <v>1447</v>
      </c>
      <c r="E6962" t="s">
        <v>1994</v>
      </c>
      <c r="F6962" t="s">
        <v>1806</v>
      </c>
      <c r="I6962" s="166" t="str">
        <f>IF(ISBLANK('Q 6'!G355),"",IF('Q 6'!G355="&lt;please select&gt;","",'Q 6'!G355))</f>
        <v/>
      </c>
    </row>
    <row r="6963" spans="1:11" x14ac:dyDescent="0.3">
      <c r="A6963" t="s">
        <v>2026</v>
      </c>
      <c r="B6963" t="s">
        <v>2028</v>
      </c>
      <c r="C6963">
        <v>3</v>
      </c>
      <c r="D6963" t="s">
        <v>1447</v>
      </c>
      <c r="E6963" t="s">
        <v>1995</v>
      </c>
      <c r="F6963" t="s">
        <v>1791</v>
      </c>
      <c r="J6963" t="str">
        <f>IF(ISBLANK('Q 6'!$H$354),"",IF('Q 6'!$H$354="&lt;please select&gt;","",'Q 6'!$H$354))</f>
        <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
      </c>
    </row>
    <row r="6966" spans="1:11" x14ac:dyDescent="0.3">
      <c r="A6966" t="s">
        <v>2026</v>
      </c>
      <c r="B6966" t="s">
        <v>2029</v>
      </c>
      <c r="C6966">
        <v>1</v>
      </c>
      <c r="D6966" t="s">
        <v>1447</v>
      </c>
      <c r="E6966" t="s">
        <v>1998</v>
      </c>
      <c r="F6966" t="s">
        <v>1748</v>
      </c>
      <c r="H6966" s="165" t="str">
        <f>IF(ISBLANK('Q 6'!$G$356),"",IF('Q 6'!$G$356="&lt;please select&gt;","",'Q 6'!$G$356))</f>
        <v/>
      </c>
    </row>
    <row r="6967" spans="1:11" x14ac:dyDescent="0.3">
      <c r="A6967" t="s">
        <v>2026</v>
      </c>
      <c r="B6967" t="s">
        <v>2029</v>
      </c>
      <c r="C6967">
        <v>2</v>
      </c>
      <c r="D6967" t="s">
        <v>1447</v>
      </c>
      <c r="E6967" t="s">
        <v>1998</v>
      </c>
      <c r="F6967" t="s">
        <v>1748</v>
      </c>
      <c r="H6967" s="165" t="str">
        <f>IF(ISBLANK('Q 6'!$G$357),"",IF('Q 6'!$G$357="&lt;please select&gt;","",'Q 6'!$G$357))</f>
        <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0</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n/a</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n/a</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0</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n/a</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No</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No free allocation for NI installations</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
      </c>
    </row>
    <row r="7186" spans="1:11" x14ac:dyDescent="0.3">
      <c r="A7186" t="s">
        <v>2062</v>
      </c>
      <c r="B7186" t="s">
        <v>2063</v>
      </c>
      <c r="C7186">
        <v>2</v>
      </c>
      <c r="D7186" t="s">
        <v>1447</v>
      </c>
      <c r="E7186" t="s">
        <v>1798</v>
      </c>
      <c r="F7186" t="s">
        <v>1748</v>
      </c>
      <c r="H7186" s="165" t="str">
        <f>IF(ISBLANK('Q 8'!$G34),"",IF('Q 8'!$G34="&lt;please select&gt;","",'Q 8'!$G34))</f>
        <v/>
      </c>
    </row>
    <row r="7187" spans="1:11" x14ac:dyDescent="0.3">
      <c r="A7187" t="s">
        <v>2062</v>
      </c>
      <c r="B7187" t="s">
        <v>2063</v>
      </c>
      <c r="C7187">
        <v>3</v>
      </c>
      <c r="D7187" t="s">
        <v>1447</v>
      </c>
      <c r="E7187" t="s">
        <v>1798</v>
      </c>
      <c r="F7187" t="s">
        <v>1748</v>
      </c>
      <c r="H7187" s="165" t="str">
        <f>IF(ISBLANK('Q 8'!$G35),"",IF('Q 8'!$G35="&lt;please select&gt;","",'Q 8'!$G35))</f>
        <v/>
      </c>
    </row>
    <row r="7188" spans="1:11" x14ac:dyDescent="0.3">
      <c r="A7188" t="s">
        <v>2064</v>
      </c>
      <c r="B7188" t="s">
        <v>2065</v>
      </c>
      <c r="C7188">
        <v>0</v>
      </c>
      <c r="D7188" t="s">
        <v>1447</v>
      </c>
      <c r="E7188" t="s">
        <v>2065</v>
      </c>
      <c r="F7188" t="s">
        <v>1759</v>
      </c>
      <c r="K7188" t="str">
        <f>IF(ISBLANK('Q 8'!$I$37),"",IF('Q 8'!$I$37="&lt;please select&gt;","",'Q 8'!$I$37))</f>
        <v>No</v>
      </c>
    </row>
    <row r="7189" spans="1:11" x14ac:dyDescent="0.3">
      <c r="A7189" t="s">
        <v>2064</v>
      </c>
      <c r="B7189" t="s">
        <v>2066</v>
      </c>
      <c r="C7189">
        <v>1</v>
      </c>
      <c r="D7189" t="s">
        <v>1447</v>
      </c>
      <c r="E7189" t="s">
        <v>2067</v>
      </c>
      <c r="F7189" t="s">
        <v>1748</v>
      </c>
      <c r="H7189" s="165" t="str">
        <f>IF(ISBLANK('Q 8'!$C$40),"",IF('Q 8'!$C$40="&lt;please select&gt;","",'Q 8'!$C$40))</f>
        <v/>
      </c>
    </row>
    <row r="7190" spans="1:11" x14ac:dyDescent="0.3">
      <c r="A7190" t="s">
        <v>2064</v>
      </c>
      <c r="B7190" t="s">
        <v>2066</v>
      </c>
      <c r="C7190">
        <v>1</v>
      </c>
      <c r="D7190" t="s">
        <v>1447</v>
      </c>
      <c r="E7190" t="s">
        <v>2068</v>
      </c>
      <c r="F7190" t="s">
        <v>1748</v>
      </c>
      <c r="H7190" s="165" t="str">
        <f>IF(ISBLANK('Q 8'!$G$40),"",IF('Q 8'!$G$40="&lt;please select&gt;","",'Q 8'!$G$40))</f>
        <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
      </c>
    </row>
    <row r="7198" spans="1:11" x14ac:dyDescent="0.3">
      <c r="A7198" t="s">
        <v>2073</v>
      </c>
      <c r="B7198" t="s">
        <v>2074</v>
      </c>
      <c r="C7198">
        <v>2</v>
      </c>
      <c r="D7198" t="s">
        <v>1447</v>
      </c>
      <c r="E7198" t="s">
        <v>1798</v>
      </c>
      <c r="F7198" t="s">
        <v>1748</v>
      </c>
      <c r="H7198" s="165" t="str">
        <f>IF(ISBLANK('Q 8'!$G55),"",IF('Q 8'!$G55="&lt;please select&gt;","",'Q 8'!$G55))</f>
        <v/>
      </c>
    </row>
    <row r="7199" spans="1:11" x14ac:dyDescent="0.3">
      <c r="A7199" t="s">
        <v>2073</v>
      </c>
      <c r="B7199" t="s">
        <v>2074</v>
      </c>
      <c r="C7199">
        <v>3</v>
      </c>
      <c r="D7199" t="s">
        <v>1447</v>
      </c>
      <c r="E7199" t="s">
        <v>1798</v>
      </c>
      <c r="F7199" t="s">
        <v>1748</v>
      </c>
      <c r="H7199" s="165" t="str">
        <f>IF(ISBLANK('Q 8'!$G56),"",IF('Q 8'!$G56="&lt;please select&gt;","",'Q 8'!$G56))</f>
        <v/>
      </c>
    </row>
    <row r="7200" spans="1:11" x14ac:dyDescent="0.3">
      <c r="A7200" t="s">
        <v>2073</v>
      </c>
      <c r="B7200" t="s">
        <v>2074</v>
      </c>
      <c r="C7200">
        <v>4</v>
      </c>
      <c r="D7200" t="s">
        <v>1447</v>
      </c>
      <c r="E7200" t="s">
        <v>1798</v>
      </c>
      <c r="F7200" t="s">
        <v>1748</v>
      </c>
      <c r="H7200" s="165" t="str">
        <f>IF(ISBLANK('Q 8'!$G57),"",IF('Q 8'!$G57="&lt;please select&gt;","",'Q 8'!$G57))</f>
        <v/>
      </c>
    </row>
    <row r="7201" spans="1:11" x14ac:dyDescent="0.3">
      <c r="A7201" t="s">
        <v>2073</v>
      </c>
      <c r="B7201" t="s">
        <v>2074</v>
      </c>
      <c r="C7201">
        <v>5</v>
      </c>
      <c r="D7201" t="s">
        <v>1447</v>
      </c>
      <c r="E7201" t="s">
        <v>1798</v>
      </c>
      <c r="F7201" t="s">
        <v>1748</v>
      </c>
      <c r="H7201" s="165" t="str">
        <f>IF(ISBLANK('Q 8'!$G58),"",IF('Q 8'!$G58="&lt;please select&gt;","",'Q 8'!$G58))</f>
        <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0</v>
      </c>
    </row>
    <row r="7214" spans="1:11" x14ac:dyDescent="0.3">
      <c r="A7214" t="s">
        <v>2080</v>
      </c>
      <c r="B7214" t="s">
        <v>2081</v>
      </c>
      <c r="C7214">
        <v>2</v>
      </c>
      <c r="D7214" t="s">
        <v>1447</v>
      </c>
      <c r="E7214" t="s">
        <v>1798</v>
      </c>
      <c r="F7214" t="s">
        <v>1748</v>
      </c>
      <c r="H7214" s="165" t="str">
        <f>IF(ISBLANK('Q 8'!$H76),"",IF('Q 8'!$H76="&lt;please select&gt;","",'Q 8'!$H76))</f>
        <v>0</v>
      </c>
    </row>
    <row r="7215" spans="1:11" x14ac:dyDescent="0.3">
      <c r="A7215" t="s">
        <v>2080</v>
      </c>
      <c r="B7215" t="s">
        <v>2081</v>
      </c>
      <c r="C7215">
        <v>3</v>
      </c>
      <c r="D7215" t="s">
        <v>1447</v>
      </c>
      <c r="E7215" t="s">
        <v>1798</v>
      </c>
      <c r="F7215" t="s">
        <v>1748</v>
      </c>
      <c r="H7215" s="165" t="str">
        <f>IF(ISBLANK('Q 8'!$H77),"",IF('Q 8'!$H77="&lt;please select&gt;","",'Q 8'!$H77))</f>
        <v>0</v>
      </c>
    </row>
    <row r="7216" spans="1:11" x14ac:dyDescent="0.3">
      <c r="A7216" t="s">
        <v>2082</v>
      </c>
      <c r="B7216" t="s">
        <v>2083</v>
      </c>
      <c r="C7216">
        <v>0</v>
      </c>
      <c r="D7216" t="s">
        <v>1447</v>
      </c>
      <c r="E7216" t="s">
        <v>2083</v>
      </c>
      <c r="F7216" t="s">
        <v>1759</v>
      </c>
      <c r="K7216" t="str">
        <f>IF(ISBLANK('Q 8'!$I$80),"",IF('Q 8'!$I$80="&lt;please select&gt;","",'Q 8'!$I$80))</f>
        <v>No</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No</v>
      </c>
    </row>
    <row r="7480" spans="1:11" x14ac:dyDescent="0.3">
      <c r="A7480" t="s">
        <v>2096</v>
      </c>
      <c r="B7480" t="s">
        <v>2097</v>
      </c>
      <c r="C7480">
        <v>1</v>
      </c>
      <c r="D7480" t="s">
        <v>1447</v>
      </c>
      <c r="E7480" t="s">
        <v>1988</v>
      </c>
      <c r="F7480" t="s">
        <v>1737</v>
      </c>
      <c r="K7480" t="str">
        <f>IF(ISBLANK('Q 8'!$C157),"",IF('Q 8'!$C157="&lt;please select&gt;","",'Q 8'!$C157))</f>
        <v/>
      </c>
    </row>
    <row r="7481" spans="1:11" x14ac:dyDescent="0.3">
      <c r="A7481" t="s">
        <v>2096</v>
      </c>
      <c r="B7481" t="s">
        <v>2097</v>
      </c>
      <c r="C7481">
        <v>2</v>
      </c>
      <c r="D7481" t="s">
        <v>1447</v>
      </c>
      <c r="E7481" t="s">
        <v>1988</v>
      </c>
      <c r="F7481" t="s">
        <v>1737</v>
      </c>
      <c r="K7481" t="str">
        <f>IF(ISBLANK('Q 8'!$C158),"",IF('Q 8'!$C158="&lt;please select&gt;","",'Q 8'!$C158))</f>
        <v/>
      </c>
    </row>
    <row r="7482" spans="1:11" x14ac:dyDescent="0.3">
      <c r="A7482" t="s">
        <v>2096</v>
      </c>
      <c r="B7482" t="s">
        <v>2097</v>
      </c>
      <c r="C7482">
        <v>3</v>
      </c>
      <c r="D7482" t="s">
        <v>1447</v>
      </c>
      <c r="E7482" t="s">
        <v>1988</v>
      </c>
      <c r="F7482" t="s">
        <v>1737</v>
      </c>
      <c r="K7482" t="str">
        <f>IF(ISBLANK('Q 8'!$C159),"",IF('Q 8'!$C159="&lt;please select&gt;","",'Q 8'!$C159))</f>
        <v/>
      </c>
    </row>
    <row r="7483" spans="1:11" x14ac:dyDescent="0.3">
      <c r="A7483" t="s">
        <v>2096</v>
      </c>
      <c r="B7483" t="s">
        <v>2097</v>
      </c>
      <c r="C7483">
        <v>4</v>
      </c>
      <c r="D7483" t="s">
        <v>1447</v>
      </c>
      <c r="E7483" t="s">
        <v>1988</v>
      </c>
      <c r="F7483" t="s">
        <v>1737</v>
      </c>
      <c r="K7483" t="str">
        <f>IF(ISBLANK('Q 8'!$C160),"",IF('Q 8'!$C160="&lt;please select&gt;","",'Q 8'!$C160))</f>
        <v/>
      </c>
    </row>
    <row r="7484" spans="1:11" x14ac:dyDescent="0.3">
      <c r="A7484" t="s">
        <v>2096</v>
      </c>
      <c r="B7484" t="s">
        <v>2097</v>
      </c>
      <c r="C7484">
        <v>5</v>
      </c>
      <c r="D7484" t="s">
        <v>1447</v>
      </c>
      <c r="E7484" t="s">
        <v>1988</v>
      </c>
      <c r="F7484" t="s">
        <v>1737</v>
      </c>
      <c r="K7484" t="str">
        <f>IF(ISBLANK('Q 8'!$C161),"",IF('Q 8'!$C161="&lt;please select&gt;","",'Q 8'!$C161))</f>
        <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
      </c>
    </row>
    <row r="7561" spans="1:11" x14ac:dyDescent="0.3">
      <c r="A7561" t="s">
        <v>2096</v>
      </c>
      <c r="B7561" t="s">
        <v>2097</v>
      </c>
      <c r="C7561">
        <v>2</v>
      </c>
      <c r="D7561" t="s">
        <v>1447</v>
      </c>
      <c r="E7561" t="s">
        <v>1989</v>
      </c>
      <c r="F7561" t="s">
        <v>1737</v>
      </c>
      <c r="K7561" t="str">
        <f>IF(ISBLANK('Q 8'!$E158),"",IF('Q 8'!$E158="&lt;please select&gt;","",'Q 8'!$E158))</f>
        <v/>
      </c>
    </row>
    <row r="7562" spans="1:11" x14ac:dyDescent="0.3">
      <c r="A7562" t="s">
        <v>2096</v>
      </c>
      <c r="B7562" t="s">
        <v>2097</v>
      </c>
      <c r="C7562">
        <v>3</v>
      </c>
      <c r="D7562" t="s">
        <v>1447</v>
      </c>
      <c r="E7562" t="s">
        <v>1989</v>
      </c>
      <c r="F7562" t="s">
        <v>1737</v>
      </c>
      <c r="K7562" t="str">
        <f>IF(ISBLANK('Q 8'!$E159),"",IF('Q 8'!$E159="&lt;please select&gt;","",'Q 8'!$E159))</f>
        <v/>
      </c>
    </row>
    <row r="7563" spans="1:11" x14ac:dyDescent="0.3">
      <c r="A7563" t="s">
        <v>2096</v>
      </c>
      <c r="B7563" t="s">
        <v>2097</v>
      </c>
      <c r="C7563">
        <v>4</v>
      </c>
      <c r="D7563" t="s">
        <v>1447</v>
      </c>
      <c r="E7563" t="s">
        <v>1989</v>
      </c>
      <c r="F7563" t="s">
        <v>1737</v>
      </c>
      <c r="K7563" t="str">
        <f>IF(ISBLANK('Q 8'!$E160),"",IF('Q 8'!$E160="&lt;please select&gt;","",'Q 8'!$E160))</f>
        <v/>
      </c>
    </row>
    <row r="7564" spans="1:11" x14ac:dyDescent="0.3">
      <c r="A7564" t="s">
        <v>2096</v>
      </c>
      <c r="B7564" t="s">
        <v>2097</v>
      </c>
      <c r="C7564">
        <v>5</v>
      </c>
      <c r="D7564" t="s">
        <v>1447</v>
      </c>
      <c r="E7564" t="s">
        <v>1989</v>
      </c>
      <c r="F7564" t="s">
        <v>1737</v>
      </c>
      <c r="K7564" t="str">
        <f>IF(ISBLANK('Q 8'!$E161),"",IF('Q 8'!$E161="&lt;please select&gt;","",'Q 8'!$E161))</f>
        <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
      </c>
    </row>
    <row r="7641" spans="1:11" x14ac:dyDescent="0.3">
      <c r="A7641" t="s">
        <v>2096</v>
      </c>
      <c r="B7641" t="s">
        <v>2097</v>
      </c>
      <c r="C7641">
        <v>2</v>
      </c>
      <c r="D7641" t="s">
        <v>1447</v>
      </c>
      <c r="E7641" t="s">
        <v>1798</v>
      </c>
      <c r="F7641" t="s">
        <v>1748</v>
      </c>
      <c r="H7641" s="165" t="str">
        <f>IF(ISBLANK('Q 8'!$F158),"",IF('Q 8'!$F158="&lt;please select&gt;","",'Q 8'!$F158))</f>
        <v/>
      </c>
    </row>
    <row r="7642" spans="1:11" x14ac:dyDescent="0.3">
      <c r="A7642" t="s">
        <v>2096</v>
      </c>
      <c r="B7642" t="s">
        <v>2097</v>
      </c>
      <c r="C7642">
        <v>3</v>
      </c>
      <c r="D7642" t="s">
        <v>1447</v>
      </c>
      <c r="E7642" t="s">
        <v>1798</v>
      </c>
      <c r="F7642" t="s">
        <v>1748</v>
      </c>
      <c r="H7642" s="165" t="str">
        <f>IF(ISBLANK('Q 8'!$F159),"",IF('Q 8'!$F159="&lt;please select&gt;","",'Q 8'!$F159))</f>
        <v/>
      </c>
    </row>
    <row r="7643" spans="1:11" x14ac:dyDescent="0.3">
      <c r="A7643" t="s">
        <v>2096</v>
      </c>
      <c r="B7643" t="s">
        <v>2097</v>
      </c>
      <c r="C7643">
        <v>4</v>
      </c>
      <c r="D7643" t="s">
        <v>1447</v>
      </c>
      <c r="E7643" t="s">
        <v>1798</v>
      </c>
      <c r="F7643" t="s">
        <v>1748</v>
      </c>
      <c r="H7643" s="165" t="str">
        <f>IF(ISBLANK('Q 8'!$F160),"",IF('Q 8'!$F160="&lt;please select&gt;","",'Q 8'!$F160))</f>
        <v/>
      </c>
    </row>
    <row r="7644" spans="1:11" x14ac:dyDescent="0.3">
      <c r="A7644" t="s">
        <v>2096</v>
      </c>
      <c r="B7644" t="s">
        <v>2097</v>
      </c>
      <c r="C7644">
        <v>5</v>
      </c>
      <c r="D7644" t="s">
        <v>1447</v>
      </c>
      <c r="E7644" t="s">
        <v>1798</v>
      </c>
      <c r="F7644" t="s">
        <v>1748</v>
      </c>
      <c r="H7644" s="165" t="str">
        <f>IF(ISBLANK('Q 8'!$F161),"",IF('Q 8'!$F161="&lt;please select&gt;","",'Q 8'!$F161))</f>
        <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
      </c>
    </row>
    <row r="7721" spans="1:8" x14ac:dyDescent="0.3">
      <c r="A7721" t="s">
        <v>2096</v>
      </c>
      <c r="B7721" t="s">
        <v>2097</v>
      </c>
      <c r="C7721">
        <v>2</v>
      </c>
      <c r="D7721" t="s">
        <v>1447</v>
      </c>
      <c r="E7721" t="s">
        <v>1972</v>
      </c>
      <c r="F7721" t="s">
        <v>1748</v>
      </c>
      <c r="H7721" s="165" t="str">
        <f>IF(ISBLANK('Q 8'!$G158),"",IF('Q 8'!$G158="&lt;please select&gt;","",'Q 8'!$G158))</f>
        <v/>
      </c>
    </row>
    <row r="7722" spans="1:8" x14ac:dyDescent="0.3">
      <c r="A7722" t="s">
        <v>2096</v>
      </c>
      <c r="B7722" t="s">
        <v>2097</v>
      </c>
      <c r="C7722">
        <v>3</v>
      </c>
      <c r="D7722" t="s">
        <v>1447</v>
      </c>
      <c r="E7722" t="s">
        <v>1972</v>
      </c>
      <c r="F7722" t="s">
        <v>1748</v>
      </c>
      <c r="H7722" s="165" t="str">
        <f>IF(ISBLANK('Q 8'!$G159),"",IF('Q 8'!$G159="&lt;please select&gt;","",'Q 8'!$G159))</f>
        <v/>
      </c>
    </row>
    <row r="7723" spans="1:8" x14ac:dyDescent="0.3">
      <c r="A7723" t="s">
        <v>2096</v>
      </c>
      <c r="B7723" t="s">
        <v>2097</v>
      </c>
      <c r="C7723">
        <v>4</v>
      </c>
      <c r="D7723" t="s">
        <v>1447</v>
      </c>
      <c r="E7723" t="s">
        <v>1972</v>
      </c>
      <c r="F7723" t="s">
        <v>1748</v>
      </c>
      <c r="H7723" s="165" t="str">
        <f>IF(ISBLANK('Q 8'!$G160),"",IF('Q 8'!$G160="&lt;please select&gt;","",'Q 8'!$G160))</f>
        <v/>
      </c>
    </row>
    <row r="7724" spans="1:8" x14ac:dyDescent="0.3">
      <c r="A7724" t="s">
        <v>2096</v>
      </c>
      <c r="B7724" t="s">
        <v>2097</v>
      </c>
      <c r="C7724">
        <v>5</v>
      </c>
      <c r="D7724" t="s">
        <v>1447</v>
      </c>
      <c r="E7724" t="s">
        <v>1972</v>
      </c>
      <c r="F7724" t="s">
        <v>1748</v>
      </c>
      <c r="H7724" s="165" t="str">
        <f>IF(ISBLANK('Q 8'!$G161),"",IF('Q 8'!$G161="&lt;please select&gt;","",'Q 8'!$G161))</f>
        <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
      </c>
    </row>
    <row r="7801" spans="1:8" x14ac:dyDescent="0.3">
      <c r="A7801" t="s">
        <v>2096</v>
      </c>
      <c r="B7801" t="s">
        <v>2097</v>
      </c>
      <c r="C7801">
        <v>2</v>
      </c>
      <c r="D7801" t="s">
        <v>1447</v>
      </c>
      <c r="E7801" t="s">
        <v>2094</v>
      </c>
      <c r="F7801" t="s">
        <v>1748</v>
      </c>
      <c r="H7801" s="165" t="str">
        <f>IF(ISBLANK('Q 8'!$H158),"",IF('Q 8'!$H158="&lt;please select&gt;","",'Q 8'!$H158))</f>
        <v/>
      </c>
    </row>
    <row r="7802" spans="1:8" x14ac:dyDescent="0.3">
      <c r="A7802" t="s">
        <v>2096</v>
      </c>
      <c r="B7802" t="s">
        <v>2097</v>
      </c>
      <c r="C7802">
        <v>3</v>
      </c>
      <c r="D7802" t="s">
        <v>1447</v>
      </c>
      <c r="E7802" t="s">
        <v>2094</v>
      </c>
      <c r="F7802" t="s">
        <v>1748</v>
      </c>
      <c r="H7802" s="165" t="str">
        <f>IF(ISBLANK('Q 8'!$H159),"",IF('Q 8'!$H159="&lt;please select&gt;","",'Q 8'!$H159))</f>
        <v/>
      </c>
    </row>
    <row r="7803" spans="1:8" x14ac:dyDescent="0.3">
      <c r="A7803" t="s">
        <v>2096</v>
      </c>
      <c r="B7803" t="s">
        <v>2097</v>
      </c>
      <c r="C7803">
        <v>4</v>
      </c>
      <c r="D7803" t="s">
        <v>1447</v>
      </c>
      <c r="E7803" t="s">
        <v>2094</v>
      </c>
      <c r="F7803" t="s">
        <v>1748</v>
      </c>
      <c r="H7803" s="165" t="str">
        <f>IF(ISBLANK('Q 8'!$H160),"",IF('Q 8'!$H160="&lt;please select&gt;","",'Q 8'!$H160))</f>
        <v/>
      </c>
    </row>
    <row r="7804" spans="1:8" x14ac:dyDescent="0.3">
      <c r="A7804" t="s">
        <v>2096</v>
      </c>
      <c r="B7804" t="s">
        <v>2097</v>
      </c>
      <c r="C7804">
        <v>5</v>
      </c>
      <c r="D7804" t="s">
        <v>1447</v>
      </c>
      <c r="E7804" t="s">
        <v>2094</v>
      </c>
      <c r="F7804" t="s">
        <v>1748</v>
      </c>
      <c r="H7804" s="165" t="str">
        <f>IF(ISBLANK('Q 8'!$H161),"",IF('Q 8'!$H161="&lt;please select&gt;","",'Q 8'!$H161))</f>
        <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0</v>
      </c>
    </row>
    <row r="7942" spans="1:9" x14ac:dyDescent="0.3">
      <c r="A7942" t="s">
        <v>2109</v>
      </c>
      <c r="B7942" t="s">
        <v>2110</v>
      </c>
      <c r="C7942">
        <v>2</v>
      </c>
      <c r="D7942" t="s">
        <v>1447</v>
      </c>
      <c r="E7942" t="s">
        <v>2111</v>
      </c>
      <c r="F7942" t="s">
        <v>1806</v>
      </c>
      <c r="I7942" s="165" t="str">
        <f>IF(ISBLANK('Q 8'!E284),"",IF('Q 8'!E284="&lt;please select&gt;","",'Q 8'!E284))</f>
        <v>0</v>
      </c>
    </row>
    <row r="7943" spans="1:9" x14ac:dyDescent="0.3">
      <c r="A7943" t="s">
        <v>2109</v>
      </c>
      <c r="B7943" t="s">
        <v>2110</v>
      </c>
      <c r="C7943">
        <v>3</v>
      </c>
      <c r="D7943" t="s">
        <v>1447</v>
      </c>
      <c r="E7943" t="s">
        <v>2111</v>
      </c>
      <c r="F7943" t="s">
        <v>1806</v>
      </c>
      <c r="I7943" s="165" t="str">
        <f>IF(ISBLANK('Q 8'!E285),"",IF('Q 8'!E285="&lt;please select&gt;","",'Q 8'!E285))</f>
        <v>0</v>
      </c>
    </row>
    <row r="7944" spans="1:9" x14ac:dyDescent="0.3">
      <c r="A7944" t="s">
        <v>2109</v>
      </c>
      <c r="B7944" t="s">
        <v>2110</v>
      </c>
      <c r="C7944">
        <v>4</v>
      </c>
      <c r="D7944" t="s">
        <v>1447</v>
      </c>
      <c r="E7944" t="s">
        <v>2111</v>
      </c>
      <c r="F7944" t="s">
        <v>1806</v>
      </c>
      <c r="I7944" s="165" t="str">
        <f>IF(ISBLANK('Q 8'!E286),"",IF('Q 8'!E286="&lt;please select&gt;","",'Q 8'!E286))</f>
        <v>0</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4238</v>
      </c>
    </row>
    <row r="7950" spans="1:9" x14ac:dyDescent="0.3">
      <c r="A7950" t="s">
        <v>2109</v>
      </c>
      <c r="B7950" t="s">
        <v>2110</v>
      </c>
      <c r="C7950">
        <v>2</v>
      </c>
      <c r="D7950" t="s">
        <v>1447</v>
      </c>
      <c r="E7950" t="s">
        <v>2112</v>
      </c>
      <c r="F7950" t="s">
        <v>1806</v>
      </c>
      <c r="I7950" s="165" t="str">
        <f>IF(ISBLANK('Q 8'!$F284),"",IF('Q 8'!$F284="&lt;please select&gt;","",'Q 8'!$F284))</f>
        <v>4238</v>
      </c>
    </row>
    <row r="7951" spans="1:9" x14ac:dyDescent="0.3">
      <c r="A7951" t="s">
        <v>2109</v>
      </c>
      <c r="B7951" t="s">
        <v>2110</v>
      </c>
      <c r="C7951">
        <v>3</v>
      </c>
      <c r="D7951" t="s">
        <v>1447</v>
      </c>
      <c r="E7951" t="s">
        <v>2112</v>
      </c>
      <c r="F7951" t="s">
        <v>1806</v>
      </c>
      <c r="I7951" s="165" t="str">
        <f>IF(ISBLANK('Q 8'!$F285),"",IF('Q 8'!$F285="&lt;please select&gt;","",'Q 8'!$F285))</f>
        <v>4238</v>
      </c>
    </row>
    <row r="7952" spans="1:9" x14ac:dyDescent="0.3">
      <c r="A7952" t="s">
        <v>2109</v>
      </c>
      <c r="B7952" t="s">
        <v>2110</v>
      </c>
      <c r="C7952">
        <v>4</v>
      </c>
      <c r="D7952" t="s">
        <v>1447</v>
      </c>
      <c r="E7952" t="s">
        <v>2112</v>
      </c>
      <c r="F7952" t="s">
        <v>1806</v>
      </c>
      <c r="I7952" s="165" t="str">
        <f>IF(ISBLANK('Q 8'!$F286),"",IF('Q 8'!$F286="&lt;please select&gt;","",'Q 8'!$F286))</f>
        <v>4238</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Maximum fixed penalty of €4,238 plus a daily penalty of €424 up to a maximum of €38137</v>
      </c>
    </row>
    <row r="7974" spans="1:10" x14ac:dyDescent="0.3">
      <c r="A7974" t="s">
        <v>2109</v>
      </c>
      <c r="B7974" t="s">
        <v>2110</v>
      </c>
      <c r="C7974">
        <v>2</v>
      </c>
      <c r="D7974" t="s">
        <v>1447</v>
      </c>
      <c r="E7974" t="s">
        <v>2115</v>
      </c>
      <c r="F7974" t="s">
        <v>1741</v>
      </c>
      <c r="G7974" t="str">
        <f>IF(ISBLANK('Q 8'!$I284),"",IF('Q 8'!$I284="&lt;please select&gt;","",'Q 8'!$I284))</f>
        <v>Maximum fixed penalty of €4,238 plus a daily penalty of €424 up to a maximum of €38137</v>
      </c>
    </row>
    <row r="7975" spans="1:10" x14ac:dyDescent="0.3">
      <c r="A7975" t="s">
        <v>2109</v>
      </c>
      <c r="B7975" t="s">
        <v>2110</v>
      </c>
      <c r="C7975">
        <v>3</v>
      </c>
      <c r="D7975" t="s">
        <v>1447</v>
      </c>
      <c r="E7975" t="s">
        <v>2115</v>
      </c>
      <c r="F7975" t="s">
        <v>1741</v>
      </c>
      <c r="G7975" t="str">
        <f>IF(ISBLANK('Q 8'!$I285),"",IF('Q 8'!$I285="&lt;please select&gt;","",'Q 8'!$I285))</f>
        <v>Maximum fixed penalty of €4,238 plus a daily penalty of €424 up to a maximum of €38137</v>
      </c>
    </row>
    <row r="7976" spans="1:10" x14ac:dyDescent="0.3">
      <c r="A7976" t="s">
        <v>2109</v>
      </c>
      <c r="B7976" t="s">
        <v>2110</v>
      </c>
      <c r="C7976">
        <v>4</v>
      </c>
      <c r="D7976" t="s">
        <v>1447</v>
      </c>
      <c r="E7976" t="s">
        <v>2115</v>
      </c>
      <c r="F7976" t="s">
        <v>1741</v>
      </c>
      <c r="G7976" t="str">
        <f>IF(ISBLANK('Q 8'!$I286),"",IF('Q 8'!$I286="&lt;please select&gt;","",'Q 8'!$I286))</f>
        <v>Maximum fixed penalty of €4,238 plus a daily penalty of €424 up to a maximum of €38137</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No</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7729.2</v>
      </c>
    </row>
    <row r="8171" spans="1:11" x14ac:dyDescent="0.3">
      <c r="A8171" t="s">
        <v>2130</v>
      </c>
      <c r="B8171" t="s">
        <v>2132</v>
      </c>
      <c r="C8171">
        <v>2</v>
      </c>
      <c r="D8171" t="s">
        <v>1447</v>
      </c>
      <c r="E8171" t="s">
        <v>2133</v>
      </c>
      <c r="F8171" t="s">
        <v>1806</v>
      </c>
      <c r="I8171" s="165" t="str">
        <f>IF(ISBLANK('Q 9'!$G10),"",IF('Q 9'!$G10="&lt;please select&gt;","",'Q 9'!$G10))</f>
        <v>546.92</v>
      </c>
    </row>
    <row r="8172" spans="1:11" x14ac:dyDescent="0.3">
      <c r="A8172" t="s">
        <v>2130</v>
      </c>
      <c r="B8172" t="s">
        <v>2132</v>
      </c>
      <c r="C8172">
        <v>3</v>
      </c>
      <c r="D8172" t="s">
        <v>1447</v>
      </c>
      <c r="E8172" t="s">
        <v>2133</v>
      </c>
      <c r="F8172" t="s">
        <v>1806</v>
      </c>
      <c r="I8172" s="165" t="str">
        <f>IF(ISBLANK('Q 9'!$G11),"",IF('Q 9'!$G11="&lt;please select&gt;","",'Q 9'!$G11))</f>
        <v>546.92</v>
      </c>
    </row>
    <row r="8173" spans="1:11" x14ac:dyDescent="0.3">
      <c r="A8173" t="s">
        <v>2130</v>
      </c>
      <c r="B8173" t="s">
        <v>2132</v>
      </c>
      <c r="C8173">
        <v>4</v>
      </c>
      <c r="D8173" t="s">
        <v>1447</v>
      </c>
      <c r="E8173" t="s">
        <v>2133</v>
      </c>
      <c r="F8173" t="s">
        <v>1806</v>
      </c>
      <c r="I8173" s="165" t="str">
        <f>IF(ISBLANK('Q 9'!$G12),"",IF('Q 9'!$G12="&lt;please select&gt;","",'Q 9'!$G12))</f>
        <v>870.1</v>
      </c>
    </row>
    <row r="8174" spans="1:11" x14ac:dyDescent="0.3">
      <c r="A8174" t="s">
        <v>2130</v>
      </c>
      <c r="B8174" t="s">
        <v>2132</v>
      </c>
      <c r="C8174">
        <v>5</v>
      </c>
      <c r="D8174" t="s">
        <v>1447</v>
      </c>
      <c r="E8174" t="s">
        <v>2133</v>
      </c>
      <c r="F8174" t="s">
        <v>1806</v>
      </c>
      <c r="I8174" s="165" t="str">
        <f>IF(ISBLANK('Q 9'!$G13),"",IF('Q 9'!$G13="&lt;please select&gt;","",'Q 9'!$G13))</f>
        <v>1447.53</v>
      </c>
    </row>
    <row r="8175" spans="1:11" x14ac:dyDescent="0.3">
      <c r="A8175" t="s">
        <v>2130</v>
      </c>
      <c r="B8175" t="s">
        <v>2132</v>
      </c>
      <c r="C8175">
        <v>6</v>
      </c>
      <c r="D8175" t="s">
        <v>1419</v>
      </c>
      <c r="E8175" t="s">
        <v>2133</v>
      </c>
      <c r="F8175" t="s">
        <v>1806</v>
      </c>
      <c r="I8175" s="165" t="str">
        <f>IF(ISBLANK('Q 9'!$G14),"",IF('Q 9'!$G14="&lt;please select&gt;","",'Q 9'!$G14))</f>
        <v>870</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revocation</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5277</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
      </c>
    </row>
    <row r="8194" spans="1:10" x14ac:dyDescent="0.3">
      <c r="A8194" t="s">
        <v>2136</v>
      </c>
      <c r="B8194" t="s">
        <v>2138</v>
      </c>
      <c r="C8194">
        <v>2</v>
      </c>
      <c r="D8194" t="s">
        <v>1447</v>
      </c>
      <c r="E8194" t="s">
        <v>2133</v>
      </c>
      <c r="F8194" t="s">
        <v>1806</v>
      </c>
      <c r="I8194" s="165" t="str">
        <f>IF(ISBLANK('Q 9'!G35),"",IF('Q 9'!G35="&lt;please select&gt;","",'Q 9'!G35))</f>
        <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change detail account</v>
      </c>
    </row>
    <row r="8217" spans="1:10" x14ac:dyDescent="0.3">
      <c r="A8217" t="s">
        <v>2136</v>
      </c>
      <c r="B8217" t="s">
        <v>2140</v>
      </c>
      <c r="C8217">
        <v>2</v>
      </c>
      <c r="D8217" t="s">
        <v>1447</v>
      </c>
      <c r="E8217" t="s">
        <v>2141</v>
      </c>
      <c r="F8217" t="s">
        <v>1741</v>
      </c>
      <c r="G8217" t="str">
        <f>IF(ISBLANK('Q 9'!$C61),"",IF('Q 9'!$C61="&lt;please select&gt;","",'Q 9'!$C61))</f>
        <v>verifier change</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330</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maintain</v>
      </c>
    </row>
    <row r="8237" spans="1:9" x14ac:dyDescent="0.3">
      <c r="A8237" t="s">
        <v>2136</v>
      </c>
      <c r="B8237" t="s">
        <v>2143</v>
      </c>
      <c r="C8237">
        <v>2</v>
      </c>
      <c r="D8237" t="s">
        <v>1447</v>
      </c>
      <c r="E8237" t="s">
        <v>2144</v>
      </c>
      <c r="F8237" t="s">
        <v>1741</v>
      </c>
      <c r="G8237" t="str">
        <f>IF(ISBLANK('Q 9'!$C75),"",IF('Q 9'!$C75="&lt;please select&gt;","",'Q 9'!$C75))</f>
        <v>External trading platform (per hour)</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
      </c>
    </row>
    <row r="8247" spans="1:11" x14ac:dyDescent="0.3">
      <c r="A8247" t="s">
        <v>2136</v>
      </c>
      <c r="B8247" t="s">
        <v>2143</v>
      </c>
      <c r="C8247">
        <v>2</v>
      </c>
      <c r="D8247" t="s">
        <v>1447</v>
      </c>
      <c r="E8247" t="s">
        <v>2145</v>
      </c>
      <c r="F8247" t="s">
        <v>1806</v>
      </c>
      <c r="I8247" s="165" t="str">
        <f>IF(ISBLANK('Q 9'!$G75),"",IF('Q 9'!$G75="&lt;please select&gt;","",'Q 9'!$G75))</f>
        <v>150.29</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No</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
      </c>
    </row>
    <row r="8277" spans="1:10" x14ac:dyDescent="0.3">
      <c r="A8277" t="s">
        <v>2151</v>
      </c>
      <c r="B8277" t="s">
        <v>2152</v>
      </c>
      <c r="C8277">
        <v>2</v>
      </c>
      <c r="D8277" t="s">
        <v>1447</v>
      </c>
      <c r="E8277" t="s">
        <v>2111</v>
      </c>
      <c r="F8277" t="s">
        <v>1806</v>
      </c>
      <c r="I8277" s="165" t="str">
        <f>IF(ISBLANK('Q 10'!$E22),"",IF('Q 10'!$E22="&lt;please select&gt;","",'Q 10'!$E22))</f>
        <v>0</v>
      </c>
    </row>
    <row r="8278" spans="1:10" x14ac:dyDescent="0.3">
      <c r="A8278" t="s">
        <v>2151</v>
      </c>
      <c r="B8278" t="s">
        <v>2152</v>
      </c>
      <c r="C8278">
        <v>3</v>
      </c>
      <c r="D8278" t="s">
        <v>1447</v>
      </c>
      <c r="E8278" t="s">
        <v>2111</v>
      </c>
      <c r="F8278" t="s">
        <v>1806</v>
      </c>
      <c r="I8278" s="165" t="str">
        <f>IF(ISBLANK('Q 10'!$E23),"",IF('Q 10'!$E23="&lt;please select&gt;","",'Q 10'!$E23))</f>
        <v>0</v>
      </c>
    </row>
    <row r="8279" spans="1:10" x14ac:dyDescent="0.3">
      <c r="A8279" t="s">
        <v>2151</v>
      </c>
      <c r="B8279" t="s">
        <v>2152</v>
      </c>
      <c r="C8279">
        <v>4</v>
      </c>
      <c r="D8279" t="s">
        <v>1447</v>
      </c>
      <c r="E8279" t="s">
        <v>2111</v>
      </c>
      <c r="F8279" t="s">
        <v>1806</v>
      </c>
      <c r="I8279" s="165" t="str">
        <f>IF(ISBLANK('Q 10'!$E24),"",IF('Q 10'!$E24="&lt;please select&gt;","",'Q 10'!$E24))</f>
        <v>0</v>
      </c>
    </row>
    <row r="8280" spans="1:10" x14ac:dyDescent="0.3">
      <c r="A8280" t="s">
        <v>2151</v>
      </c>
      <c r="B8280" t="s">
        <v>2152</v>
      </c>
      <c r="C8280">
        <v>5</v>
      </c>
      <c r="D8280" t="s">
        <v>1447</v>
      </c>
      <c r="E8280" t="s">
        <v>2111</v>
      </c>
      <c r="F8280" t="s">
        <v>1806</v>
      </c>
      <c r="I8280" s="165" t="str">
        <f>IF(ISBLANK('Q 10'!$E25),"",IF('Q 10'!$E25="&lt;please select&gt;","",'Q 10'!$E25))</f>
        <v>0</v>
      </c>
    </row>
    <row r="8281" spans="1:10" x14ac:dyDescent="0.3">
      <c r="A8281" t="s">
        <v>2151</v>
      </c>
      <c r="B8281" t="s">
        <v>2152</v>
      </c>
      <c r="C8281">
        <v>6</v>
      </c>
      <c r="D8281" t="s">
        <v>1447</v>
      </c>
      <c r="E8281" t="s">
        <v>2111</v>
      </c>
      <c r="F8281" t="s">
        <v>1806</v>
      </c>
      <c r="I8281" s="165" t="str">
        <f>IF(ISBLANK('Q 10'!$E26),"",IF('Q 10'!$E26="&lt;please select&gt;","",'Q 10'!$E26))</f>
        <v>0</v>
      </c>
    </row>
    <row r="8282" spans="1:10" x14ac:dyDescent="0.3">
      <c r="A8282" t="s">
        <v>2151</v>
      </c>
      <c r="B8282" t="s">
        <v>2152</v>
      </c>
      <c r="C8282">
        <v>7</v>
      </c>
      <c r="D8282" t="s">
        <v>1447</v>
      </c>
      <c r="E8282" t="s">
        <v>2111</v>
      </c>
      <c r="F8282" t="s">
        <v>1806</v>
      </c>
      <c r="I8282" s="165" t="str">
        <f>IF(ISBLANK('Q 10'!$E27),"",IF('Q 10'!$E27="&lt;please select&gt;","",'Q 10'!$E27))</f>
        <v>0</v>
      </c>
    </row>
    <row r="8283" spans="1:10" x14ac:dyDescent="0.3">
      <c r="A8283" t="s">
        <v>2151</v>
      </c>
      <c r="B8283" t="s">
        <v>2152</v>
      </c>
      <c r="C8283">
        <v>8</v>
      </c>
      <c r="D8283" t="s">
        <v>1447</v>
      </c>
      <c r="E8283" t="s">
        <v>2111</v>
      </c>
      <c r="F8283" t="s">
        <v>1806</v>
      </c>
      <c r="I8283" s="165" t="str">
        <f>IF(ISBLANK('Q 10'!$E28),"",IF('Q 10'!$E28="&lt;please select&gt;","",'Q 10'!$E28))</f>
        <v>0</v>
      </c>
    </row>
    <row r="8284" spans="1:10" x14ac:dyDescent="0.3">
      <c r="A8284" t="s">
        <v>2151</v>
      </c>
      <c r="B8284" t="s">
        <v>2152</v>
      </c>
      <c r="C8284">
        <v>9</v>
      </c>
      <c r="D8284" t="s">
        <v>1447</v>
      </c>
      <c r="E8284" t="s">
        <v>2111</v>
      </c>
      <c r="F8284" t="s">
        <v>1806</v>
      </c>
      <c r="I8284" s="165" t="str">
        <f>IF(ISBLANK('Q 10'!$E29),"",IF('Q 10'!$E29="&lt;please select&gt;","",'Q 10'!$E29))</f>
        <v>0</v>
      </c>
    </row>
    <row r="8285" spans="1:10" x14ac:dyDescent="0.3">
      <c r="A8285" t="s">
        <v>2151</v>
      </c>
      <c r="B8285" t="s">
        <v>2152</v>
      </c>
      <c r="C8285">
        <v>10</v>
      </c>
      <c r="D8285" t="s">
        <v>1447</v>
      </c>
      <c r="E8285" t="s">
        <v>2111</v>
      </c>
      <c r="F8285" t="s">
        <v>1806</v>
      </c>
      <c r="I8285" s="165" t="str">
        <f>IF(ISBLANK('Q 10'!$E30),"",IF('Q 10'!$E30="&lt;please select&gt;","",'Q 10'!$E30))</f>
        <v>0</v>
      </c>
    </row>
    <row r="8286" spans="1:10" x14ac:dyDescent="0.3">
      <c r="A8286" t="s">
        <v>2151</v>
      </c>
      <c r="B8286" t="s">
        <v>2152</v>
      </c>
      <c r="C8286">
        <v>11</v>
      </c>
      <c r="D8286" t="s">
        <v>1447</v>
      </c>
      <c r="E8286" t="s">
        <v>2111</v>
      </c>
      <c r="F8286" t="s">
        <v>1806</v>
      </c>
      <c r="I8286" s="165" t="str">
        <f>IF(ISBLANK('Q 10'!$E31),"",IF('Q 10'!$E31="&lt;please select&gt;","",'Q 10'!$E31))</f>
        <v>0</v>
      </c>
    </row>
    <row r="8287" spans="1:10" x14ac:dyDescent="0.3">
      <c r="A8287" t="s">
        <v>2151</v>
      </c>
      <c r="B8287" t="s">
        <v>2152</v>
      </c>
      <c r="C8287">
        <v>12</v>
      </c>
      <c r="D8287" t="s">
        <v>1447</v>
      </c>
      <c r="E8287" t="s">
        <v>2111</v>
      </c>
      <c r="F8287" t="s">
        <v>1806</v>
      </c>
      <c r="I8287" s="165" t="str">
        <f>IF(ISBLANK('Q 10'!$E32),"",IF('Q 10'!$E32="&lt;please select&gt;","",'Q 10'!$E32))</f>
        <v>0</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
      </c>
    </row>
    <row r="8313" spans="1:9" x14ac:dyDescent="0.3">
      <c r="A8313" t="s">
        <v>2151</v>
      </c>
      <c r="B8313" t="s">
        <v>2152</v>
      </c>
      <c r="C8313">
        <v>2</v>
      </c>
      <c r="D8313" t="s">
        <v>1447</v>
      </c>
      <c r="E8313" t="s">
        <v>2112</v>
      </c>
      <c r="F8313" t="s">
        <v>1806</v>
      </c>
      <c r="I8313" s="165" t="str">
        <f>IF(ISBLANK('Q 10'!$F22),"",IF('Q 10'!$F22="&lt;please select&gt;","",'Q 10'!$F22))</f>
        <v>4238</v>
      </c>
    </row>
    <row r="8314" spans="1:9" x14ac:dyDescent="0.3">
      <c r="A8314" t="s">
        <v>2151</v>
      </c>
      <c r="B8314" t="s">
        <v>2152</v>
      </c>
      <c r="C8314">
        <v>3</v>
      </c>
      <c r="D8314" t="s">
        <v>1447</v>
      </c>
      <c r="E8314" t="s">
        <v>2112</v>
      </c>
      <c r="F8314" t="s">
        <v>1806</v>
      </c>
      <c r="I8314" s="165" t="str">
        <f>IF(ISBLANK('Q 10'!$F23),"",IF('Q 10'!$F23="&lt;please select&gt;","",'Q 10'!$F23))</f>
        <v>4238</v>
      </c>
    </row>
    <row r="8315" spans="1:9" x14ac:dyDescent="0.3">
      <c r="A8315" t="s">
        <v>2151</v>
      </c>
      <c r="B8315" t="s">
        <v>2152</v>
      </c>
      <c r="C8315">
        <v>4</v>
      </c>
      <c r="D8315" t="s">
        <v>1447</v>
      </c>
      <c r="E8315" t="s">
        <v>2112</v>
      </c>
      <c r="F8315" t="s">
        <v>1806</v>
      </c>
      <c r="I8315" s="165" t="str">
        <f>IF(ISBLANK('Q 10'!$F24),"",IF('Q 10'!$F24="&lt;please select&gt;","",'Q 10'!$F24))</f>
        <v>4238</v>
      </c>
    </row>
    <row r="8316" spans="1:9" x14ac:dyDescent="0.3">
      <c r="A8316" t="s">
        <v>2151</v>
      </c>
      <c r="B8316" t="s">
        <v>2152</v>
      </c>
      <c r="C8316">
        <v>5</v>
      </c>
      <c r="D8316" t="s">
        <v>1447</v>
      </c>
      <c r="E8316" t="s">
        <v>2112</v>
      </c>
      <c r="F8316" t="s">
        <v>1806</v>
      </c>
      <c r="I8316" s="165" t="str">
        <f>IF(ISBLANK('Q 10'!$F25),"",IF('Q 10'!$F25="&lt;please select&gt;","",'Q 10'!$F25))</f>
        <v>4238</v>
      </c>
    </row>
    <row r="8317" spans="1:9" x14ac:dyDescent="0.3">
      <c r="A8317" t="s">
        <v>2151</v>
      </c>
      <c r="B8317" t="s">
        <v>2152</v>
      </c>
      <c r="C8317">
        <v>6</v>
      </c>
      <c r="D8317" t="s">
        <v>1447</v>
      </c>
      <c r="E8317" t="s">
        <v>2112</v>
      </c>
      <c r="F8317" t="s">
        <v>1806</v>
      </c>
      <c r="I8317" s="165" t="str">
        <f>IF(ISBLANK('Q 10'!$F26),"",IF('Q 10'!$F26="&lt;please select&gt;","",'Q 10'!$F26))</f>
        <v>4238</v>
      </c>
    </row>
    <row r="8318" spans="1:9" x14ac:dyDescent="0.3">
      <c r="A8318" t="s">
        <v>2151</v>
      </c>
      <c r="B8318" t="s">
        <v>2152</v>
      </c>
      <c r="C8318">
        <v>7</v>
      </c>
      <c r="D8318" t="s">
        <v>1447</v>
      </c>
      <c r="E8318" t="s">
        <v>2112</v>
      </c>
      <c r="F8318" t="s">
        <v>1806</v>
      </c>
      <c r="I8318" s="165" t="str">
        <f>IF(ISBLANK('Q 10'!$F27),"",IF('Q 10'!$F27="&lt;please select&gt;","",'Q 10'!$F27))</f>
        <v>4238</v>
      </c>
    </row>
    <row r="8319" spans="1:9" x14ac:dyDescent="0.3">
      <c r="A8319" t="s">
        <v>2151</v>
      </c>
      <c r="B8319" t="s">
        <v>2152</v>
      </c>
      <c r="C8319">
        <v>8</v>
      </c>
      <c r="D8319" t="s">
        <v>1447</v>
      </c>
      <c r="E8319" t="s">
        <v>2112</v>
      </c>
      <c r="F8319" t="s">
        <v>1806</v>
      </c>
      <c r="I8319" s="165" t="str">
        <f>IF(ISBLANK('Q 10'!$F28),"",IF('Q 10'!$F28="&lt;please select&gt;","",'Q 10'!$F28))</f>
        <v>4238</v>
      </c>
    </row>
    <row r="8320" spans="1:9" x14ac:dyDescent="0.3">
      <c r="A8320" t="s">
        <v>2151</v>
      </c>
      <c r="B8320" t="s">
        <v>2152</v>
      </c>
      <c r="C8320">
        <v>9</v>
      </c>
      <c r="D8320" t="s">
        <v>1447</v>
      </c>
      <c r="E8320" t="s">
        <v>2112</v>
      </c>
      <c r="F8320" t="s">
        <v>1806</v>
      </c>
      <c r="I8320" s="165" t="str">
        <f>IF(ISBLANK('Q 10'!$F29),"",IF('Q 10'!$F29="&lt;please select&gt;","",'Q 10'!$F29))</f>
        <v>4238</v>
      </c>
    </row>
    <row r="8321" spans="1:9" x14ac:dyDescent="0.3">
      <c r="A8321" t="s">
        <v>2151</v>
      </c>
      <c r="B8321" t="s">
        <v>2152</v>
      </c>
      <c r="C8321">
        <v>10</v>
      </c>
      <c r="D8321" t="s">
        <v>1447</v>
      </c>
      <c r="E8321" t="s">
        <v>2112</v>
      </c>
      <c r="F8321" t="s">
        <v>1806</v>
      </c>
      <c r="I8321" s="165" t="str">
        <f>IF(ISBLANK('Q 10'!$F30),"",IF('Q 10'!$F30="&lt;please select&gt;","",'Q 10'!$F30))</f>
        <v>4238</v>
      </c>
    </row>
    <row r="8322" spans="1:9" x14ac:dyDescent="0.3">
      <c r="A8322" t="s">
        <v>2151</v>
      </c>
      <c r="B8322" t="s">
        <v>2152</v>
      </c>
      <c r="C8322">
        <v>11</v>
      </c>
      <c r="D8322" t="s">
        <v>1447</v>
      </c>
      <c r="E8322" t="s">
        <v>2112</v>
      </c>
      <c r="F8322" t="s">
        <v>1806</v>
      </c>
      <c r="I8322" s="165" t="str">
        <f>IF(ISBLANK('Q 10'!$F31),"",IF('Q 10'!$F31="&lt;please select&gt;","",'Q 10'!$F31))</f>
        <v>4238</v>
      </c>
    </row>
    <row r="8323" spans="1:9" x14ac:dyDescent="0.3">
      <c r="A8323" t="s">
        <v>2151</v>
      </c>
      <c r="B8323" t="s">
        <v>2152</v>
      </c>
      <c r="C8323">
        <v>12</v>
      </c>
      <c r="D8323" t="s">
        <v>1447</v>
      </c>
      <c r="E8323" t="s">
        <v>2112</v>
      </c>
      <c r="F8323" t="s">
        <v>1806</v>
      </c>
      <c r="I8323" s="165" t="str">
        <f>IF(ISBLANK('Q 10'!$F32),"",IF('Q 10'!$F32="&lt;please select&gt;","",'Q 10'!$F32))</f>
        <v>5650</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Civil Penalty is: Estimated amount of cost avoided + (Estimated reportable emission * Carbon Price).</v>
      </c>
    </row>
    <row r="8421" spans="1:10" x14ac:dyDescent="0.3">
      <c r="A8421" t="s">
        <v>2151</v>
      </c>
      <c r="B8421" t="s">
        <v>2152</v>
      </c>
      <c r="C8421">
        <v>2</v>
      </c>
      <c r="D8421" t="s">
        <v>1447</v>
      </c>
      <c r="E8421" t="s">
        <v>2115</v>
      </c>
      <c r="F8421" t="s">
        <v>1791</v>
      </c>
      <c r="J8421" t="str">
        <f>IF(ISBLANK('Q 10'!$I22),"",IF('Q 10'!$I22="&lt;please select&gt;","",'Q 10'!$I22))</f>
        <v>Maximum fixed penalty of €4,238 plus a daily penalty of €424 up to a maximum of €38137</v>
      </c>
    </row>
    <row r="8422" spans="1:10" x14ac:dyDescent="0.3">
      <c r="A8422" t="s">
        <v>2151</v>
      </c>
      <c r="B8422" t="s">
        <v>2152</v>
      </c>
      <c r="C8422">
        <v>3</v>
      </c>
      <c r="D8422" t="s">
        <v>1447</v>
      </c>
      <c r="E8422" t="s">
        <v>2115</v>
      </c>
      <c r="F8422" t="s">
        <v>1791</v>
      </c>
      <c r="J8422" t="str">
        <f>IF(ISBLANK('Q 10'!$I23),"",IF('Q 10'!$I23="&lt;please select&gt;","",'Q 10'!$I23))</f>
        <v>Maximum fixed penalty of €4,238 plus a daily penalty of €424 up to a maximum of €38137</v>
      </c>
    </row>
    <row r="8423" spans="1:10" x14ac:dyDescent="0.3">
      <c r="A8423" t="s">
        <v>2151</v>
      </c>
      <c r="B8423" t="s">
        <v>2152</v>
      </c>
      <c r="C8423">
        <v>4</v>
      </c>
      <c r="D8423" t="s">
        <v>1447</v>
      </c>
      <c r="E8423" t="s">
        <v>2115</v>
      </c>
      <c r="F8423" t="s">
        <v>1791</v>
      </c>
      <c r="J8423" t="str">
        <f>IF(ISBLANK('Q 10'!$I24),"",IF('Q 10'!$I24="&lt;please select&gt;","",'Q 10'!$I24))</f>
        <v>If operator does not submit the supporting documents they are not granted an EU ETS permit.</v>
      </c>
    </row>
    <row r="8424" spans="1:10" x14ac:dyDescent="0.3">
      <c r="A8424" t="s">
        <v>2151</v>
      </c>
      <c r="B8424" t="s">
        <v>2152</v>
      </c>
      <c r="C8424">
        <v>5</v>
      </c>
      <c r="D8424" t="s">
        <v>1447</v>
      </c>
      <c r="E8424" t="s">
        <v>2115</v>
      </c>
      <c r="F8424" t="s">
        <v>1791</v>
      </c>
      <c r="J8424" t="str">
        <f>IF(ISBLANK('Q 10'!$I25),"",IF('Q 10'!$I25="&lt;please select&gt;","",'Q 10'!$I25))</f>
        <v>Maximum fixed penalty of €4,238 plus a daily penalty of €424 up to a maximum of €38137</v>
      </c>
    </row>
    <row r="8425" spans="1:10" x14ac:dyDescent="0.3">
      <c r="A8425" t="s">
        <v>2151</v>
      </c>
      <c r="B8425" t="s">
        <v>2152</v>
      </c>
      <c r="C8425">
        <v>6</v>
      </c>
      <c r="D8425" t="s">
        <v>1447</v>
      </c>
      <c r="E8425" t="s">
        <v>2115</v>
      </c>
      <c r="F8425" t="s">
        <v>1791</v>
      </c>
      <c r="J8425" t="str">
        <f>IF(ISBLANK('Q 10'!$I26),"",IF('Q 10'!$I26="&lt;please select&gt;","",'Q 10'!$I26))</f>
        <v>Maximum fixed penalty of €4,238 plus a daily penalty of €424 up to a maximum of €38137</v>
      </c>
    </row>
    <row r="8426" spans="1:10" x14ac:dyDescent="0.3">
      <c r="A8426" t="s">
        <v>2151</v>
      </c>
      <c r="B8426" t="s">
        <v>2152</v>
      </c>
      <c r="C8426">
        <v>7</v>
      </c>
      <c r="D8426" t="s">
        <v>1447</v>
      </c>
      <c r="E8426" t="s">
        <v>2115</v>
      </c>
      <c r="F8426" t="s">
        <v>1791</v>
      </c>
      <c r="J8426" t="str">
        <f>IF(ISBLANK('Q 10'!$I27),"",IF('Q 10'!$I27="&lt;please select&gt;","",'Q 10'!$I27))</f>
        <v>Maximum fixed penalty of €4,238 plus a daily penalty of €424 up to a maximum of €38137</v>
      </c>
    </row>
    <row r="8427" spans="1:10" x14ac:dyDescent="0.3">
      <c r="A8427" t="s">
        <v>2151</v>
      </c>
      <c r="B8427" t="s">
        <v>2152</v>
      </c>
      <c r="C8427">
        <v>8</v>
      </c>
      <c r="D8427" t="s">
        <v>1447</v>
      </c>
      <c r="E8427" t="s">
        <v>2115</v>
      </c>
      <c r="F8427" t="s">
        <v>1791</v>
      </c>
      <c r="J8427" t="str">
        <f>IF(ISBLANK('Q 10'!$I28),"",IF('Q 10'!$I28="&lt;please select&gt;","",'Q 10'!$I28))</f>
        <v>Maximum fixed penalty of €4,238 plus a daily penalty of €424 up to a maximum of €38137</v>
      </c>
    </row>
    <row r="8428" spans="1:10" x14ac:dyDescent="0.3">
      <c r="A8428" t="s">
        <v>2151</v>
      </c>
      <c r="B8428" t="s">
        <v>2152</v>
      </c>
      <c r="C8428">
        <v>9</v>
      </c>
      <c r="D8428" t="s">
        <v>1447</v>
      </c>
      <c r="E8428" t="s">
        <v>2115</v>
      </c>
      <c r="F8428" t="s">
        <v>1791</v>
      </c>
      <c r="J8428" t="str">
        <f>IF(ISBLANK('Q 10'!$I29),"",IF('Q 10'!$I29="&lt;please select&gt;","",'Q 10'!$I29))</f>
        <v>Maximum fixed penalty of €4,238 plus a daily penalty of €424 up to a maximum of €38137</v>
      </c>
    </row>
    <row r="8429" spans="1:10" x14ac:dyDescent="0.3">
      <c r="A8429" t="s">
        <v>2151</v>
      </c>
      <c r="B8429" t="s">
        <v>2152</v>
      </c>
      <c r="C8429">
        <v>10</v>
      </c>
      <c r="D8429" t="s">
        <v>1447</v>
      </c>
      <c r="E8429" t="s">
        <v>2115</v>
      </c>
      <c r="F8429" t="s">
        <v>1791</v>
      </c>
      <c r="J8429" t="str">
        <f>IF(ISBLANK('Q 10'!$I30),"",IF('Q 10'!$I30="&lt;please select&gt;","",'Q 10'!$I30))</f>
        <v>Maximum fixed penalty of €4,238 plus a daily penalty of €424 up to a maximum of €38137</v>
      </c>
    </row>
    <row r="8430" spans="1:10" x14ac:dyDescent="0.3">
      <c r="A8430" t="s">
        <v>2151</v>
      </c>
      <c r="B8430" t="s">
        <v>2152</v>
      </c>
      <c r="C8430">
        <v>11</v>
      </c>
      <c r="D8430" t="s">
        <v>1447</v>
      </c>
      <c r="E8430" t="s">
        <v>2115</v>
      </c>
      <c r="F8430" t="s">
        <v>1791</v>
      </c>
      <c r="J8430" t="str">
        <f>IF(ISBLANK('Q 10'!$I31),"",IF('Q 10'!$I31="&lt;please select&gt;","",'Q 10'!$I31))</f>
        <v>Maximum fixed penalty of €4,238 plus a daily penalty of €424 up to a maximum of €38137</v>
      </c>
    </row>
    <row r="8431" spans="1:10" x14ac:dyDescent="0.3">
      <c r="A8431" t="s">
        <v>2151</v>
      </c>
      <c r="B8431" t="s">
        <v>2152</v>
      </c>
      <c r="C8431">
        <v>12</v>
      </c>
      <c r="D8431" t="s">
        <v>1447</v>
      </c>
      <c r="E8431" t="s">
        <v>2115</v>
      </c>
      <c r="F8431" t="s">
        <v>1791</v>
      </c>
      <c r="J8431" t="str">
        <f>IF(ISBLANK('Q 10'!$I32),"",IF('Q 10'!$I32="&lt;please select&gt;","",'Q 10'!$I32))</f>
        <v>fixed penalty</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Failure to notify planned or effective changes to capacity, activity levels and operation of an installation by 31 December of the reporting period in accordance with Article 24 of Decision 2011/278/EU</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The Greenhouse Gas Emissions Trading Scheme Regulations 2012</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
      </c>
    </row>
    <row r="8691" spans="1:11" x14ac:dyDescent="0.3">
      <c r="A8691" t="s">
        <v>2160</v>
      </c>
      <c r="B8691" t="s">
        <v>2161</v>
      </c>
      <c r="C8691">
        <v>2</v>
      </c>
      <c r="D8691" t="s">
        <v>1447</v>
      </c>
      <c r="E8691" t="s">
        <v>2148</v>
      </c>
      <c r="F8691" t="s">
        <v>1759</v>
      </c>
      <c r="K8691" t="str">
        <f>IF(ISBLANK('Q 10'!$H134),"",IF('Q 10'!$H134="&lt;please select&gt;","",'Q 10'!$H134))</f>
        <v/>
      </c>
    </row>
    <row r="8692" spans="1:11" x14ac:dyDescent="0.3">
      <c r="A8692" t="s">
        <v>2160</v>
      </c>
      <c r="B8692" t="s">
        <v>2161</v>
      </c>
      <c r="C8692">
        <v>3</v>
      </c>
      <c r="D8692" t="s">
        <v>1447</v>
      </c>
      <c r="E8692" t="s">
        <v>2148</v>
      </c>
      <c r="F8692" t="s">
        <v>1759</v>
      </c>
      <c r="K8692" t="str">
        <f>IF(ISBLANK('Q 10'!$H135),"",IF('Q 10'!$H135="&lt;please select&gt;","",'Q 10'!$H135))</f>
        <v/>
      </c>
    </row>
    <row r="8693" spans="1:11" x14ac:dyDescent="0.3">
      <c r="A8693" t="s">
        <v>2160</v>
      </c>
      <c r="B8693" t="s">
        <v>2161</v>
      </c>
      <c r="C8693">
        <v>4</v>
      </c>
      <c r="D8693" t="s">
        <v>1447</v>
      </c>
      <c r="E8693" t="s">
        <v>2148</v>
      </c>
      <c r="F8693" t="s">
        <v>1759</v>
      </c>
      <c r="K8693" t="str">
        <f>IF(ISBLANK('Q 10'!$H136),"",IF('Q 10'!$H136="&lt;please select&gt;","",'Q 10'!$H136))</f>
        <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
      </c>
    </row>
    <row r="8713" spans="1:10" x14ac:dyDescent="0.3">
      <c r="A8713" t="s">
        <v>2162</v>
      </c>
      <c r="B8713" t="s">
        <v>2163</v>
      </c>
      <c r="C8713">
        <v>4</v>
      </c>
      <c r="D8713" t="s">
        <v>1447</v>
      </c>
      <c r="E8713" t="s">
        <v>2111</v>
      </c>
      <c r="F8713" t="s">
        <v>1806</v>
      </c>
      <c r="I8713" s="165" t="str">
        <f>IF(ISBLANK('Q 10'!$E150),"",IF('Q 10'!$E150="&lt;please select&gt;","",'Q 10'!$E150))</f>
        <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
      </c>
    </row>
    <row r="8728" spans="1:9" x14ac:dyDescent="0.3">
      <c r="A8728" t="s">
        <v>2162</v>
      </c>
      <c r="B8728" t="s">
        <v>2163</v>
      </c>
      <c r="C8728">
        <v>4</v>
      </c>
      <c r="D8728" t="s">
        <v>1447</v>
      </c>
      <c r="E8728" t="s">
        <v>2112</v>
      </c>
      <c r="F8728" t="s">
        <v>1806</v>
      </c>
      <c r="I8728" s="165" t="str">
        <f>IF(ISBLANK('Q 10'!$F150),"",IF('Q 10'!$F150="&lt;please select&gt;","",'Q 10'!$F150))</f>
        <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c>
    </row>
    <row r="8918" spans="1:11" x14ac:dyDescent="0.3">
      <c r="A8918" t="s">
        <v>2174</v>
      </c>
      <c r="B8918" t="s">
        <v>2175</v>
      </c>
      <c r="C8918">
        <v>0</v>
      </c>
      <c r="D8918" t="s">
        <v>1447</v>
      </c>
      <c r="E8918" t="s">
        <v>2175</v>
      </c>
      <c r="F8918" t="s">
        <v>1741</v>
      </c>
      <c r="G8918" t="str">
        <f>IF(ISBLANK('Q 11'!$C$6),"",IF('Q 11'!$C$6="&lt;please select&gt;","",'Q 11'!$C$6))</f>
        <v>Article 40(1) of the Commission Regulation 389/2013 on a system of registries provides that an allowance shall be a fungible, dematerialised instrument that is tradable on the market. This is directly applicable in member states. The UK has not implemented any further measures defining the legal status of allowances.</v>
      </c>
    </row>
    <row r="8919" spans="1:11" x14ac:dyDescent="0.3">
      <c r="A8919" t="s">
        <v>2176</v>
      </c>
      <c r="B8919" t="s">
        <v>2177</v>
      </c>
      <c r="C8919">
        <v>0</v>
      </c>
      <c r="D8919" t="s">
        <v>1447</v>
      </c>
      <c r="E8919" t="s">
        <v>2177</v>
      </c>
      <c r="F8919" t="s">
        <v>1741</v>
      </c>
      <c r="G8919" t="str">
        <f>IF(ISBLANK('Q 11'!$C$9),"",IF('Q 11'!$C$9="&lt;please select&gt;","",'Q 11'!$C$9))</f>
        <v>HM Treasury is in the process of determining what is the accounting treatment of emission allowances in the annual financial report of the companies following the Member State’s accounting norm.</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20</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20</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NA</v>
      </c>
    </row>
    <row r="8936" spans="1:7" x14ac:dyDescent="0.3">
      <c r="A8936" t="s">
        <v>2186</v>
      </c>
      <c r="B8936" t="s">
        <v>2187</v>
      </c>
      <c r="C8936">
        <v>2</v>
      </c>
      <c r="D8936" t="s">
        <v>1447</v>
      </c>
      <c r="E8936" t="s">
        <v>2188</v>
      </c>
      <c r="F8936" t="s">
        <v>1741</v>
      </c>
      <c r="G8936" t="str">
        <f>IF(ISBLANK('Q 12'!$G8),"",IF('Q 12'!$G8="&lt;please select&gt;","",'Q 12'!$G8))</f>
        <v/>
      </c>
    </row>
    <row r="8937" spans="1:7" x14ac:dyDescent="0.3">
      <c r="A8937" t="s">
        <v>2186</v>
      </c>
      <c r="B8937" t="s">
        <v>2187</v>
      </c>
      <c r="C8937">
        <v>3</v>
      </c>
      <c r="D8937" t="s">
        <v>1447</v>
      </c>
      <c r="E8937" t="s">
        <v>2188</v>
      </c>
      <c r="F8937" t="s">
        <v>1741</v>
      </c>
      <c r="G8937" t="str">
        <f>IF(ISBLANK('Q 12'!$G9),"",IF('Q 12'!$G9="&lt;please select&gt;","",'Q 12'!$G9))</f>
        <v/>
      </c>
    </row>
    <row r="8938" spans="1:7" x14ac:dyDescent="0.3">
      <c r="A8938" t="s">
        <v>2186</v>
      </c>
      <c r="B8938" t="s">
        <v>2187</v>
      </c>
      <c r="C8938">
        <v>4</v>
      </c>
      <c r="D8938" t="s">
        <v>1447</v>
      </c>
      <c r="E8938" t="s">
        <v>2188</v>
      </c>
      <c r="F8938" t="s">
        <v>1741</v>
      </c>
      <c r="G8938" t="str">
        <f>IF(ISBLANK('Q 12'!$G10),"",IF('Q 12'!$G10="&lt;please select&gt;","",'Q 12'!$G10))</f>
        <v/>
      </c>
    </row>
    <row r="8939" spans="1:7" x14ac:dyDescent="0.3">
      <c r="A8939" t="s">
        <v>2186</v>
      </c>
      <c r="B8939" t="s">
        <v>2187</v>
      </c>
      <c r="C8939">
        <v>5</v>
      </c>
      <c r="D8939" t="s">
        <v>1447</v>
      </c>
      <c r="E8939" t="s">
        <v>2188</v>
      </c>
      <c r="F8939" t="s">
        <v>1741</v>
      </c>
      <c r="G8939" t="str">
        <f>IF(ISBLANK('Q 12'!$G11),"",IF('Q 12'!$G11="&lt;please select&gt;","",'Q 12'!$G11))</f>
        <v/>
      </c>
    </row>
    <row r="8940" spans="1:7" x14ac:dyDescent="0.3">
      <c r="A8940" t="s">
        <v>2186</v>
      </c>
      <c r="B8940" t="s">
        <v>2187</v>
      </c>
      <c r="C8940">
        <v>6</v>
      </c>
      <c r="D8940" t="s">
        <v>1447</v>
      </c>
      <c r="E8940" t="s">
        <v>2188</v>
      </c>
      <c r="F8940" t="s">
        <v>1741</v>
      </c>
      <c r="G8940" t="str">
        <f>IF(ISBLANK('Q 12'!$G12),"",IF('Q 12'!$G12="&lt;please select&gt;","",'Q 12'!$G12))</f>
        <v/>
      </c>
    </row>
    <row r="8941" spans="1:7" x14ac:dyDescent="0.3">
      <c r="A8941" t="s">
        <v>2189</v>
      </c>
      <c r="B8941" t="s">
        <v>2190</v>
      </c>
      <c r="C8941">
        <v>1</v>
      </c>
      <c r="D8941" t="s">
        <v>1447</v>
      </c>
      <c r="E8941" t="s">
        <v>2191</v>
      </c>
      <c r="F8941" t="s">
        <v>1741</v>
      </c>
      <c r="G8941" t="str">
        <f>IF(ISBLANK('Q 12'!$G17),"",IF('Q 12'!$G17="&lt;please select&gt;","",'Q 12'!$G17))</f>
        <v>Not aware of any</v>
      </c>
    </row>
    <row r="8942" spans="1:7" x14ac:dyDescent="0.3">
      <c r="A8942" t="s">
        <v>2189</v>
      </c>
      <c r="B8942" t="s">
        <v>2190</v>
      </c>
      <c r="C8942">
        <v>2</v>
      </c>
      <c r="D8942" t="s">
        <v>1447</v>
      </c>
      <c r="E8942" t="s">
        <v>2191</v>
      </c>
      <c r="F8942" t="s">
        <v>1741</v>
      </c>
      <c r="G8942" t="str">
        <f>IF(ISBLANK('Q 12'!$G18),"",IF('Q 12'!$G18="&lt;please select&gt;","",'Q 12'!$G18))</f>
        <v/>
      </c>
    </row>
    <row r="8943" spans="1:7" x14ac:dyDescent="0.3">
      <c r="A8943" t="s">
        <v>2189</v>
      </c>
      <c r="B8943" t="s">
        <v>2190</v>
      </c>
      <c r="C8943">
        <v>3</v>
      </c>
      <c r="D8943" t="s">
        <v>1447</v>
      </c>
      <c r="E8943" t="s">
        <v>2191</v>
      </c>
      <c r="F8943" t="s">
        <v>1741</v>
      </c>
      <c r="G8943" t="str">
        <f>IF(ISBLANK('Q 12'!$G19),"",IF('Q 12'!$G19="&lt;please select&gt;","",'Q 12'!$G19))</f>
        <v/>
      </c>
    </row>
    <row r="8944" spans="1:7" x14ac:dyDescent="0.3">
      <c r="A8944" t="s">
        <v>2189</v>
      </c>
      <c r="B8944" t="s">
        <v>2190</v>
      </c>
      <c r="C8944">
        <v>4</v>
      </c>
      <c r="D8944" t="s">
        <v>1447</v>
      </c>
      <c r="E8944" t="s">
        <v>2191</v>
      </c>
      <c r="F8944" t="s">
        <v>1741</v>
      </c>
      <c r="G8944" t="str">
        <f>IF(ISBLANK('Q 12'!$G20),"",IF('Q 12'!$G20="&lt;please select&gt;","",'Q 12'!$G20))</f>
        <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This is the second year that the UK are reporting under the Northern Ireland Protocol which stipulates only emissions from the agreed list of electricity generators supplying the Island of Ireland single electricity market are required to participate in the EU scheme</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c>
    </row>
    <row r="8961" spans="1:10" x14ac:dyDescent="0.3">
      <c r="A8961" t="s">
        <v>2195</v>
      </c>
      <c r="B8961" t="s">
        <v>2196</v>
      </c>
      <c r="C8961">
        <v>13</v>
      </c>
      <c r="D8961" t="s">
        <v>1447</v>
      </c>
      <c r="E8961" t="s">
        <v>2197</v>
      </c>
      <c r="F8961" t="s">
        <v>1791</v>
      </c>
      <c r="J8961" t="str">
        <f>IF(ISBLANK('Q 13'!E19),"",IF('Q 13'!E19="&lt;please select&gt;","",'Q 13'!E19))</f>
        <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
      </c>
    </row>
    <row r="9045" spans="1:11" x14ac:dyDescent="0.3">
      <c r="A9045" t="s">
        <v>2195</v>
      </c>
      <c r="B9045" t="s">
        <v>2196</v>
      </c>
      <c r="C9045">
        <v>13</v>
      </c>
      <c r="D9045" t="s">
        <v>1447</v>
      </c>
      <c r="E9045" t="s">
        <v>2198</v>
      </c>
      <c r="F9045" t="s">
        <v>1737</v>
      </c>
      <c r="K9045" t="str">
        <f>IF(ISBLANK('Q 13'!$D19),"",IF('Q 13'!$D19="&lt;please select&gt;","",'Q 13'!$D19))</f>
        <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Department for Business, Energy and Industrial Strategy</v>
      </c>
      <c r="F5" s="244"/>
      <c r="G5" s="244"/>
      <c r="H5" s="244"/>
      <c r="I5" s="245"/>
    </row>
    <row r="6" spans="1:9" s="69" customFormat="1" ht="14.4" x14ac:dyDescent="0.3">
      <c r="A6" s="68"/>
      <c r="C6" s="251" t="s">
        <v>654</v>
      </c>
      <c r="D6" s="250"/>
      <c r="E6" s="243" t="str">
        <f>_xlfn.CONCAT(_xlfn.XLOOKUP("[S01_InstitutionDetails][0][ContactPersonName]",Submission!$O:$O,Submission!$H:$N,""))</f>
        <v>Hannah Lewis</v>
      </c>
      <c r="F6" s="244"/>
      <c r="G6" s="244"/>
      <c r="H6" s="244"/>
      <c r="I6" s="245"/>
    </row>
    <row r="7" spans="1:9" s="69" customFormat="1" ht="14.4" x14ac:dyDescent="0.3">
      <c r="A7" s="68"/>
      <c r="C7" s="251" t="s">
        <v>655</v>
      </c>
      <c r="D7" s="250"/>
      <c r="E7" s="243" t="str">
        <f>_xlfn.CONCAT(_xlfn.XLOOKUP("[S01_InstitutionDetails][0][ContactPersonJobTitle]",Submission!$O:$O,Submission!$H:$N,""))</f>
        <v>Senior Policy Advisor</v>
      </c>
      <c r="F7" s="244"/>
      <c r="G7" s="244"/>
      <c r="H7" s="244"/>
      <c r="I7" s="245"/>
    </row>
    <row r="8" spans="1:9" s="69" customFormat="1" ht="14.4" x14ac:dyDescent="0.3">
      <c r="A8" s="68"/>
      <c r="C8" s="251" t="s">
        <v>656</v>
      </c>
      <c r="D8" s="250"/>
      <c r="E8" s="243" t="str">
        <f>_xlfn.CONCAT(_xlfn.XLOOKUP("[S01_InstitutionDetails][0][Address]",Submission!$O:$O,Submission!$H:$N,""))</f>
        <v>1 Victoria Street, London, SW1H 0ET</v>
      </c>
      <c r="F8" s="244"/>
      <c r="G8" s="244"/>
      <c r="H8" s="244"/>
      <c r="I8" s="245"/>
    </row>
    <row r="9" spans="1:9" s="69" customFormat="1" ht="14.4" x14ac:dyDescent="0.3">
      <c r="A9" s="68"/>
      <c r="C9" s="251" t="s">
        <v>657</v>
      </c>
      <c r="D9" s="250"/>
      <c r="E9" s="246" t="str">
        <f>_xlfn.CONCAT(_xlfn.XLOOKUP("[S01_InstitutionDetails][0][InternationalTelephoneNumber]",Submission!$O:$O,Submission!$H:$N,""))</f>
        <v>44 (0) 207 215 0590</v>
      </c>
      <c r="F9" s="247"/>
      <c r="G9" s="247"/>
      <c r="H9" s="247"/>
      <c r="I9" s="248"/>
    </row>
    <row r="10" spans="1:9" s="69" customFormat="1" ht="14.4" x14ac:dyDescent="0.3">
      <c r="A10" s="68"/>
      <c r="C10" s="251" t="s">
        <v>658</v>
      </c>
      <c r="D10" s="250"/>
      <c r="E10" s="252" t="str">
        <f>_xlfn.CONCAT(_xlfn.XLOOKUP("[S01_InstitutionDetails][0][EMail]",Submission!$O:$O,Submission!$H:$N,""))</f>
        <v>hannah.lewis@beis.gov.uk</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Department for Business Energy and Industrial Strateg</v>
      </c>
      <c r="D7" s="72" t="str">
        <f>_xlfn.CONCAT(_xlfn.XLOOKUP("[S02_CompetentAuthority][1][CAAbbreviation]",Submission!$O:$O,Submission!$H:$N,""))</f>
        <v>BEIS</v>
      </c>
      <c r="E7" s="72" t="str">
        <f>_xlfn.CONCAT(_xlfn.XLOOKUP("[S02_CompetentAuthority][1][CAType]",Submission!$O:$O,Submission!$H:$N,""))</f>
        <v>Central competent authority</v>
      </c>
      <c r="F7" s="105" t="str">
        <f>_xlfn.CONCAT(_xlfn.XLOOKUP("[S02_CompetentAuthority][1][CANumber]",Submission!$O:$O,Submission!$H:$N,""))</f>
        <v>1</v>
      </c>
      <c r="G7" s="177" t="str">
        <f>_xlfn.CONCAT(_xlfn.XLOOKUP("[S02_CompetentAuthority][1][CATelephone]",Submission!$O:$O,Submission!$H:$N,""))</f>
        <v xml:space="preserve">44(0)300 060 4000 </v>
      </c>
      <c r="H7" s="83" t="str">
        <f>_xlfn.CONCAT(_xlfn.XLOOKUP("[S02_CompetentAuthority][1][CAEmail]",Submission!$O:$O,Submission!$H:$N,""))</f>
        <v xml:space="preserve">  eu.ets@beis.gov.uk</v>
      </c>
      <c r="I7" s="72" t="str">
        <f>_xlfn.CONCAT(_xlfn.XLOOKUP("[S02_CompetentAuthority][1][CAWebsite]",Submission!$O:$O,Submission!$H:$N,""))</f>
        <v xml:space="preserve">https://www.gov.uk/government/organisations/department-for-business-energy-and-industrial-strategy </v>
      </c>
      <c r="J7" s="79"/>
    </row>
    <row r="8" spans="1:11" s="58" customFormat="1" ht="15.9" customHeight="1" x14ac:dyDescent="0.3">
      <c r="B8" s="79"/>
      <c r="C8" s="71" t="str">
        <f>_xlfn.CONCAT(_xlfn.XLOOKUP("[S02_CompetentAuthority][2][CAName]",Submission!$O:$O,Submission!$H:$N,""))</f>
        <v>Department for Business Energy and Industrial StrategyDepartment of Agriculture, Environment and Rural Affairs</v>
      </c>
      <c r="D8" s="72" t="str">
        <f>_xlfn.CONCAT(_xlfn.XLOOKUP("[S02_CompetentAuthority][2][CAAbbreviation]",Submission!$O:$O,Submission!$H:$N,""))</f>
        <v>DAERA</v>
      </c>
      <c r="E8" s="72" t="str">
        <f>_xlfn.CONCAT(_xlfn.XLOOKUP("[S02_CompetentAuthority][2][CAType]",Submission!$O:$O,Submission!$H:$N,""))</f>
        <v>Central competent authority</v>
      </c>
      <c r="F8" s="105" t="str">
        <f>_xlfn.CONCAT(_xlfn.XLOOKUP("[S02_CompetentAuthority][2][CANumber]",Submission!$O:$O,Submission!$H:$N,""))</f>
        <v>1</v>
      </c>
      <c r="G8" s="177" t="str">
        <f>_xlfn.CONCAT(_xlfn.XLOOKUP("[S02_CompetentAuthority][2][CATelephone]",Submission!$O:$O,Submission!$H:$N,""))</f>
        <v>44 (0) 28 9056 9299</v>
      </c>
      <c r="H8" s="83" t="str">
        <f>_xlfn.CONCAT(_xlfn.XLOOKUP("[S02_CompetentAuthority][2][CAEmail]",Submission!$O:$O,Submission!$H:$N,""))</f>
        <v>emissions.trading@daera-ni.gov.uk</v>
      </c>
      <c r="I8" s="72" t="str">
        <f>_xlfn.CONCAT(_xlfn.XLOOKUP("[S02_CompetentAuthority][2][CAWebsite]",Submission!$O:$O,Submission!$H:$N,""))</f>
        <v xml:space="preserve">  https://www.daera-ni.gov.uk/topics/pollution/emissions-trading</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7"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No</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We are using NL and Belguim accredited Verifiers</v>
      </c>
      <c r="D39" s="289"/>
      <c r="E39" s="72" t="str">
        <f>_xlfn.CONCAT(_xlfn.XLOOKUP("[S02_AccreditationBody][1][AccBodyAbbreviation]",Submission!$O:$O,Submission!$H:$N,""))</f>
        <v/>
      </c>
      <c r="F39" s="177" t="str">
        <f>_xlfn.CONCAT(_xlfn.XLOOKUP("[S02_AccreditationBody][1][AccBodyTelephone]",Submission!$O:$O,Submission!$H:$N,""))</f>
        <v/>
      </c>
      <c r="G39" s="77" t="str">
        <f>_xlfn.CONCAT(_xlfn.XLOOKUP("[S02_AccreditationBody][1][AccBodyEmail]",Submission!$O:$O,Submission!$H:$N,""))</f>
        <v/>
      </c>
      <c r="H39" s="292" t="str">
        <f>_xlfn.CONCAT(_xlfn.XLOOKUP("[S02_AccreditationBody][1][AccBodyWebsite]",Submission!$O:$O,Submission!$H:$N,""))</f>
        <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Environment Agency</v>
      </c>
      <c r="D49" s="289"/>
      <c r="E49" s="72" t="str">
        <f>_xlfn.CONCAT(_xlfn.XLOOKUP("[S02_RegistryAdministrator][1][RegAdminAbbreviation]",Submission!$O:$O,Submission!$H:$N,""))</f>
        <v>EA</v>
      </c>
      <c r="F49" s="177" t="str">
        <f>_xlfn.CONCAT(_xlfn.XLOOKUP("[S02_RegistryAdministrator][1][RegAdminTelephone]",Submission!$O:$O,Submission!$H:$N,""))</f>
        <v/>
      </c>
      <c r="G49" s="77" t="str">
        <f>_xlfn.CONCAT(_xlfn.XLOOKUP("[S02_RegistryAdministrator][1][RegAdminEmail]",Submission!$O:$O,Submission!$H:$N,""))</f>
        <v/>
      </c>
      <c r="H49" s="292" t="str">
        <f>_xlfn.CONCAT(_xlfn.XLOOKUP("[S02_RegistryAdministrator][1][RegAdminWebsite]",Submission!$O:$O,Submission!$H:$N,""))</f>
        <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DAERA</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DAERA</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Not Applicable</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DAERA</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
      </c>
      <c r="I58" s="256"/>
    </row>
    <row r="59" spans="1:9" s="79" customFormat="1" ht="28.95" customHeight="1" x14ac:dyDescent="0.3">
      <c r="A59" s="78"/>
      <c r="C59" s="251" t="s">
        <v>691</v>
      </c>
      <c r="D59" s="272"/>
      <c r="E59" s="273"/>
      <c r="F59" s="255" t="str">
        <f>_xlfn.CONCAT(_xlfn.XLOOKUP("[S02_CompetentAuthorityRoles][6][CAForInstallationTask]",Submission!$O:$O,Submission!$H:$N,""))</f>
        <v>BEIS</v>
      </c>
      <c r="G59" s="256"/>
      <c r="H59" s="255" t="str">
        <f>_xlfn.CONCAT(_xlfn.XLOOKUP("[S02_CompetentAuthorityRoles][6][CAForAviationTask]",Submission!$O:$O,Submission!$H:$N,""))</f>
        <v/>
      </c>
      <c r="I59" s="256"/>
    </row>
    <row r="60" spans="1:9" s="79" customFormat="1" ht="28.95" customHeight="1" x14ac:dyDescent="0.3">
      <c r="A60" s="78"/>
      <c r="C60" s="251" t="s">
        <v>42</v>
      </c>
      <c r="D60" s="272"/>
      <c r="E60" s="273"/>
      <c r="F60" s="255" t="str">
        <f>_xlfn.CONCAT(_xlfn.XLOOKUP("[S02_CompetentAuthorityRoles][7][CAForInstallationTask]",Submission!$O:$O,Submission!$H:$N,""))</f>
        <v>BEIS</v>
      </c>
      <c r="G60" s="256"/>
      <c r="H60" s="255" t="str">
        <f>_xlfn.CONCAT(_xlfn.XLOOKUP("[S02_CompetentAuthorityRoles][7][CAForAviationTask]",Submission!$O:$O,Submission!$H:$N,""))</f>
        <v/>
      </c>
      <c r="I60" s="256"/>
    </row>
    <row r="61" spans="1:9" s="79" customFormat="1" ht="28.95" customHeight="1" x14ac:dyDescent="0.3">
      <c r="A61" s="78"/>
      <c r="C61" s="251" t="s">
        <v>692</v>
      </c>
      <c r="D61" s="272"/>
      <c r="E61" s="273"/>
      <c r="F61" s="255" t="str">
        <f>_xlfn.CONCAT(_xlfn.XLOOKUP("[S02_CompetentAuthorityRoles][8][CAForInstallationTask]",Submission!$O:$O,Submission!$H:$N,""))</f>
        <v>DAERA</v>
      </c>
      <c r="G61" s="256"/>
      <c r="H61" s="255" t="str">
        <f>_xlfn.CONCAT(_xlfn.XLOOKUP("[S02_CompetentAuthorityRoles][8][CAForAviationTask]",Submission!$O:$O,Submission!$H:$N,""))</f>
        <v/>
      </c>
      <c r="I61" s="256"/>
    </row>
    <row r="62" spans="1:9" s="79" customFormat="1" ht="28.95" customHeight="1" x14ac:dyDescent="0.3">
      <c r="A62" s="78"/>
      <c r="C62" s="251" t="s">
        <v>693</v>
      </c>
      <c r="D62" s="272"/>
      <c r="E62" s="273"/>
      <c r="F62" s="255" t="str">
        <f>_xlfn.CONCAT(_xlfn.XLOOKUP("[S02_CompetentAuthorityRoles][9][CAForInstallationTask]",Submission!$O:$O,Submission!$H:$N,""))</f>
        <v>DAERA</v>
      </c>
      <c r="G62" s="256"/>
      <c r="H62" s="255" t="str">
        <f>_xlfn.CONCAT(_xlfn.XLOOKUP("[S02_CompetentAuthorityRoles][9][CAForAviationTask]",Submission!$O:$O,Submission!$H:$N,""))</f>
        <v/>
      </c>
      <c r="I62" s="256"/>
    </row>
    <row r="63" spans="1:9" s="79" customFormat="1" ht="28.95" customHeight="1" x14ac:dyDescent="0.3">
      <c r="A63" s="78"/>
      <c r="C63" s="251" t="s">
        <v>694</v>
      </c>
      <c r="D63" s="272"/>
      <c r="E63" s="273"/>
      <c r="F63" s="255" t="str">
        <f>_xlfn.CONCAT(_xlfn.XLOOKUP("[S02_CompetentAuthorityRoles][10][CAForInstallationTask]",Submission!$O:$O,Submission!$H:$N,""))</f>
        <v>DAERA</v>
      </c>
      <c r="G63" s="256"/>
      <c r="H63" s="255" t="str">
        <f>_xlfn.CONCAT(_xlfn.XLOOKUP("[S02_CompetentAuthorityRoles][10][CAForAviationTask]",Submission!$O:$O,Submission!$H:$N,""))</f>
        <v/>
      </c>
      <c r="I63" s="256"/>
    </row>
    <row r="64" spans="1:9" s="79" customFormat="1" ht="28.95" customHeight="1" x14ac:dyDescent="0.3">
      <c r="A64" s="78"/>
      <c r="C64" s="251" t="s">
        <v>46</v>
      </c>
      <c r="D64" s="272"/>
      <c r="E64" s="273"/>
      <c r="F64" s="255" t="str">
        <f>_xlfn.CONCAT(_xlfn.XLOOKUP("[S02_CompetentAuthorityRoles][11][CAForInstallationTask]",Submission!$O:$O,Submission!$H:$N,""))</f>
        <v>DAERA</v>
      </c>
      <c r="G64" s="256"/>
      <c r="H64" s="255" t="str">
        <f>_xlfn.CONCAT(_xlfn.XLOOKUP("[S02_CompetentAuthorityRoles][11][CAForAviationTask]",Submission!$O:$O,Submission!$H:$N,""))</f>
        <v/>
      </c>
      <c r="I64" s="256"/>
    </row>
    <row r="65" spans="1:9" s="79" customFormat="1" ht="28.95" customHeight="1" x14ac:dyDescent="0.3">
      <c r="A65" s="78"/>
      <c r="C65" s="251" t="s">
        <v>695</v>
      </c>
      <c r="D65" s="272"/>
      <c r="E65" s="273"/>
      <c r="F65" s="255" t="str">
        <f>_xlfn.CONCAT(_xlfn.XLOOKUP("[S02_CompetentAuthorityRoles][12][CAForInstallationTask]",Submission!$O:$O,Submission!$H:$N,""))</f>
        <v>BEIS</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NA</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Department of Agriculture, Environment and Rural Affairs</v>
      </c>
      <c r="D82" s="254"/>
      <c r="E82" s="254"/>
      <c r="F82" s="254"/>
      <c r="G82" s="254" t="str">
        <f>_xlfn.CONCAT(_xlfn.XLOOKUP("[S02_CAFocalPoint][0][CAArt70Abbrev]",Submission!$O:$O,Submission!$H:$N,""))</f>
        <v>DAERA</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Yes</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Yes</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Yes</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Yes</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Yes</v>
      </c>
      <c r="H90" s="258" t="str">
        <f>_xlfn.CONCAT(_xlfn.XLOOKUP("[S02_CompetentAuthorityCoordination][5][CACoordinationComment]",Submission!$O:$O,Submission!$H:$N,""))</f>
        <v>Training opportunities are organised on an adhoc basis. When one competent authority arranges training, these opportunities are opened to all competent authorities to attend.</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Yes</v>
      </c>
      <c r="H91" s="258" t="str">
        <f>_xlfn.CONCAT(_xlfn.XLOOKUP("[S02_CompetentAuthorityCoordination][6][CACoordinationComment]",Submission!$O:$O,Submission!$H:$N,""))</f>
        <v>All EU &amp; UK regulators use the same internet based IT system, ETSWAP.</v>
      </c>
      <c r="I91" s="260"/>
    </row>
    <row r="92" spans="1:9" s="79" customFormat="1" ht="23.4" customHeight="1" x14ac:dyDescent="0.3">
      <c r="A92" s="78"/>
      <c r="C92" s="249" t="s">
        <v>716</v>
      </c>
      <c r="D92" s="257"/>
      <c r="E92" s="250"/>
      <c r="F92" s="258" t="str">
        <f>_xlfn.CONCAT(_xlfn.XLOOKUP("[S02_CompetentAuthorityCoordination][7][OtherDescription]",Submission!$O:$O,Submission!$H:$N,""))</f>
        <v>yes</v>
      </c>
      <c r="G92" s="259"/>
      <c r="H92" s="258" t="str">
        <f>_xlfn.CONCAT(_xlfn.XLOOKUP("[S02_CompetentAuthorityCoordination][7][CACoordinationComment]",Submission!$O:$O,Submission!$H:$N,""))</f>
        <v>Regular meetings with EU &amp; UK regulators, DAERA and BEIS, including training.</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Yes</v>
      </c>
      <c r="H100" s="274" t="str">
        <f>_xlfn.CONCAT(_xlfn.XLOOKUP("[S02_InformationExchangeAccBodyAndCA][1][InfoExchangeComment]",Submission!$O:$O,Submission!$H:$N,""))</f>
        <v>we are in the process of setting up meetings with ROI authorities</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Yes</v>
      </c>
      <c r="H101" s="274" t="str">
        <f>_xlfn.CONCAT(_xlfn.XLOOKUP("[S02_InformationExchangeAccBodyAndCA][2][InfoExchangeComment]",Submission!$O:$O,Submission!$H:$N,""))</f>
        <v>planning annual meeting</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It is possible but not done in practice</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5</v>
      </c>
      <c r="H7" s="305"/>
      <c r="I7" s="306"/>
    </row>
    <row r="8" spans="1:9" s="7" customFormat="1" ht="15" customHeight="1" x14ac:dyDescent="0.3">
      <c r="A8" s="8"/>
      <c r="C8" s="301" t="s">
        <v>727</v>
      </c>
      <c r="D8" s="302"/>
      <c r="E8" s="302"/>
      <c r="F8" s="303"/>
      <c r="G8" s="304" t="str">
        <f>_xlfn.CONCAT(_xlfn.XLOOKUP("[S03_EmittingInstallations][2][NumberOfInstallations]",Submission!$O:$O,Submission!$H:$N,""))</f>
        <v>2</v>
      </c>
      <c r="H8" s="305"/>
      <c r="I8" s="306"/>
    </row>
    <row r="9" spans="1:9" s="7" customFormat="1" ht="15" customHeight="1" x14ac:dyDescent="0.3">
      <c r="A9" s="8"/>
      <c r="C9" s="301" t="s">
        <v>728</v>
      </c>
      <c r="D9" s="302"/>
      <c r="E9" s="302"/>
      <c r="F9" s="303"/>
      <c r="G9" s="304" t="str">
        <f>_xlfn.CONCAT(_xlfn.XLOOKUP("[S03_EmittingInstallations][3][NumberOfInstallations]",Submission!$O:$O,Submission!$H:$N,""))</f>
        <v>0</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3</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2</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No</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No</v>
      </c>
      <c r="I19" s="300"/>
    </row>
    <row r="20" spans="3:9" s="11" customFormat="1" ht="14.4" x14ac:dyDescent="0.3">
      <c r="C20" s="296" t="s">
        <v>738</v>
      </c>
      <c r="D20" s="297"/>
      <c r="E20" s="297"/>
      <c r="F20" s="297"/>
      <c r="G20" s="298"/>
      <c r="H20" s="299" t="str">
        <f>_xlfn.CONCAT(_xlfn.XLOOKUP("[S03_ActivityPermits][6][ActivityPermitsIssued]",Submission!$O:$O,Submission!$H:$N,""))</f>
        <v>No</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No</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No</v>
      </c>
      <c r="I24" s="300"/>
    </row>
    <row r="25" spans="3:9" s="11" customFormat="1" ht="14.4" x14ac:dyDescent="0.3">
      <c r="C25" s="296" t="s">
        <v>743</v>
      </c>
      <c r="D25" s="297"/>
      <c r="E25" s="297"/>
      <c r="F25" s="297"/>
      <c r="G25" s="298"/>
      <c r="H25" s="299" t="str">
        <f>_xlfn.CONCAT(_xlfn.XLOOKUP("[S03_ActivityPermits][11][ActivityPermitsIssued]",Submission!$O:$O,Submission!$H:$N,""))</f>
        <v>No</v>
      </c>
      <c r="I25" s="300"/>
    </row>
    <row r="26" spans="3:9" s="11" customFormat="1" ht="14.4" x14ac:dyDescent="0.3">
      <c r="C26" s="296" t="s">
        <v>744</v>
      </c>
      <c r="D26" s="297"/>
      <c r="E26" s="297"/>
      <c r="F26" s="297"/>
      <c r="G26" s="298"/>
      <c r="H26" s="299" t="str">
        <f>_xlfn.CONCAT(_xlfn.XLOOKUP("[S03_ActivityPermits][12][ActivityPermitsIssued]",Submission!$O:$O,Submission!$H:$N,""))</f>
        <v>No</v>
      </c>
      <c r="I26" s="300"/>
    </row>
    <row r="27" spans="3:9" s="11" customFormat="1" ht="14.4" x14ac:dyDescent="0.3">
      <c r="C27" s="296" t="s">
        <v>745</v>
      </c>
      <c r="D27" s="297"/>
      <c r="E27" s="297"/>
      <c r="F27" s="297"/>
      <c r="G27" s="298"/>
      <c r="H27" s="299" t="str">
        <f>_xlfn.CONCAT(_xlfn.XLOOKUP("[S03_ActivityPermits][13][ActivityPermitsIssued]",Submission!$O:$O,Submission!$H:$N,""))</f>
        <v>No</v>
      </c>
      <c r="I27" s="300"/>
    </row>
    <row r="28" spans="3:9" s="11" customFormat="1" ht="14.4" x14ac:dyDescent="0.3">
      <c r="C28" s="296" t="s">
        <v>746</v>
      </c>
      <c r="D28" s="297"/>
      <c r="E28" s="297"/>
      <c r="F28" s="297"/>
      <c r="G28" s="298"/>
      <c r="H28" s="299" t="str">
        <f>_xlfn.CONCAT(_xlfn.XLOOKUP("[S03_ActivityPermits][14][ActivityPermitsIssued]",Submission!$O:$O,Submission!$H:$N,""))</f>
        <v>No</v>
      </c>
      <c r="I28" s="300"/>
    </row>
    <row r="29" spans="3:9" s="11" customFormat="1" ht="14.4" x14ac:dyDescent="0.3">
      <c r="C29" s="296" t="s">
        <v>747</v>
      </c>
      <c r="D29" s="297"/>
      <c r="E29" s="297"/>
      <c r="F29" s="297"/>
      <c r="G29" s="298"/>
      <c r="H29" s="299" t="str">
        <f>_xlfn.CONCAT(_xlfn.XLOOKUP("[S03_ActivityPermits][15][ActivityPermitsIssued]",Submission!$O:$O,Submission!$H:$N,""))</f>
        <v>No</v>
      </c>
      <c r="I29" s="300"/>
    </row>
    <row r="30" spans="3:9" s="11" customFormat="1" ht="14.4" x14ac:dyDescent="0.3">
      <c r="C30" s="296" t="s">
        <v>748</v>
      </c>
      <c r="D30" s="297"/>
      <c r="E30" s="297"/>
      <c r="F30" s="297"/>
      <c r="G30" s="298"/>
      <c r="H30" s="299" t="str">
        <f>_xlfn.CONCAT(_xlfn.XLOOKUP("[S03_ActivityPermits][16][ActivityPermitsIssued]",Submission!$O:$O,Submission!$H:$N,""))</f>
        <v>No</v>
      </c>
      <c r="I30" s="300"/>
    </row>
    <row r="31" spans="3:9" s="11" customFormat="1" ht="14.4" x14ac:dyDescent="0.3">
      <c r="C31" s="296" t="s">
        <v>749</v>
      </c>
      <c r="D31" s="297"/>
      <c r="E31" s="297"/>
      <c r="F31" s="297"/>
      <c r="G31" s="298"/>
      <c r="H31" s="299" t="str">
        <f>_xlfn.CONCAT(_xlfn.XLOOKUP("[S03_ActivityPermits][17][ActivityPermitsIssued]",Submission!$O:$O,Submission!$H:$N,""))</f>
        <v>No</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No</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No</v>
      </c>
      <c r="I37" s="300"/>
    </row>
    <row r="38" spans="1:9" s="11" customFormat="1" ht="15" x14ac:dyDescent="0.3">
      <c r="C38" s="296" t="s">
        <v>756</v>
      </c>
      <c r="D38" s="297"/>
      <c r="E38" s="297"/>
      <c r="F38" s="297"/>
      <c r="G38" s="298"/>
      <c r="H38" s="299" t="str">
        <f>_xlfn.CONCAT(_xlfn.XLOOKUP("[S03_ActivityPermits][24][ActivityPermitsIssued]",Submission!$O:$O,Submission!$H:$N,""))</f>
        <v>No</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0</v>
      </c>
      <c r="H64" s="132" t="str">
        <f>_xlfn.CONCAT(_xlfn.XLOOKUP("[S03_AircraftAnnex1Activities][1][NumberNonCommercialOperators]",Submission!$O:$O,Submission!$H:$N,""))</f>
        <v>0</v>
      </c>
      <c r="I64" s="132" t="str">
        <f>_xlfn.CONCAT(_xlfn.XLOOKUP("[S03_AircraftAnnex1Activities][1][NumberTotalOperators]",Submission!$O:$O,Submission!$H:$N,""))</f>
        <v>0</v>
      </c>
    </row>
    <row r="65" spans="3:9" ht="15.9" customHeight="1" x14ac:dyDescent="0.3">
      <c r="C65" s="322" t="s">
        <v>782</v>
      </c>
      <c r="D65" s="323"/>
      <c r="E65" s="323"/>
      <c r="F65" s="324"/>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22" t="s">
        <v>780</v>
      </c>
      <c r="D66" s="323"/>
      <c r="E66" s="323"/>
      <c r="F66" s="324"/>
      <c r="G66" s="132" t="str">
        <f>_xlfn.CONCAT(_xlfn.XLOOKUP("[S03_AircraftAnnex1Activities][3][NumberCommercialOperators]",Submission!$O:$O,Submission!$H:$N,""))</f>
        <v>0</v>
      </c>
      <c r="H66" s="132" t="str">
        <f>_xlfn.CONCAT(_xlfn.XLOOKUP("[S03_AircraftAnnex1Activities][3][NumberNonCommercialOperators]",Submission!$O:$O,Submission!$H:$N,""))</f>
        <v>0</v>
      </c>
      <c r="I66" s="132" t="str">
        <f>_xlfn.CONCAT(_xlfn.XLOOKUP("[S03_AircraftAnnex1Activities][3][NumberTotalOperators]",Submission!$O:$O,Submission!$H:$N,""))</f>
        <v>0</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Yes</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Yes</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Yes</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Yes</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Yes</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Yes</v>
      </c>
      <c r="H15" s="258" t="str">
        <f>_xlfn.CONCAT(_xlfn.XLOOKUP("[S04_IEDProcedureRequirementsIntegratedYes][8][IntegrationComments]",Submission!$O:$O,Submission!$H:$N,""))</f>
        <v>ETS and IED inspectors are in the same Unit / same person</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Under regulation 14 of the Greenhouse Gas Emissions Trading Scheme Regulations 2012 a permit can be revoked in any circumstance, and in particular in case an operator fails to pay permit fees. Under the same provision a permit must also be revoked when an operator fails to surrender the permit following a cease in operation.</v>
      </c>
      <c r="H19" s="349"/>
      <c r="I19" s="350"/>
    </row>
    <row r="20" spans="1:9" ht="15.9" customHeight="1" x14ac:dyDescent="0.3">
      <c r="C20" s="301" t="s">
        <v>797</v>
      </c>
      <c r="D20" s="332"/>
      <c r="E20" s="332"/>
      <c r="F20" s="347"/>
      <c r="G20" s="348" t="str">
        <f>_xlfn.CONCAT(_xlfn.XLOOKUP("[S04_NationalLawPermitUpdate][2][PermitUpdateNationalLawDetail]",Submission!$O:$O,Submission!$H:$N,""))</f>
        <v>Permits do not expire, but must be reviewed every five years.</v>
      </c>
      <c r="H20" s="349"/>
      <c r="I20" s="350"/>
    </row>
    <row r="21" spans="1:9" ht="15.9" customHeight="1" x14ac:dyDescent="0.3">
      <c r="C21" s="301" t="s">
        <v>134</v>
      </c>
      <c r="D21" s="332"/>
      <c r="E21" s="332"/>
      <c r="F21" s="347"/>
      <c r="G21" s="348" t="str">
        <f>_xlfn.CONCAT(_xlfn.XLOOKUP("[S04_NationalLawPermitUpdate][3][PermitUpdateNationalLawDetail]",Submission!$O:$O,Submission!$H:$N,""))</f>
        <v>Under regulation 11(2)(c) of the Greenhouse Gas Emissions Trading Scheme Regulations 2012 the permit can be updated in any case of increase in capacity regularly notified to the Competent Authority by 31 December.</v>
      </c>
      <c r="H21" s="349"/>
      <c r="I21" s="350"/>
    </row>
    <row r="22" spans="1:9" ht="15.9" customHeight="1" x14ac:dyDescent="0.3">
      <c r="C22" s="301" t="s">
        <v>136</v>
      </c>
      <c r="D22" s="332"/>
      <c r="E22" s="332"/>
      <c r="F22" s="347"/>
      <c r="G22" s="348" t="str">
        <f>_xlfn.CONCAT(_xlfn.XLOOKUP("[S04_NationalLawPermitUpdate][4][PermitUpdateNationalLawDetail]",Submission!$O:$O,Submission!$H:$N,""))</f>
        <v>Under regulation 11(2)(c) of the Greenhouse Gas Emissions Trading Scheme Regulations 2012 the permit can be updated in any case of decrease in capacity regularly notified to the Competent Authority by 31 December.</v>
      </c>
      <c r="H22" s="349"/>
      <c r="I22" s="350"/>
    </row>
    <row r="23" spans="1:9" ht="15.9" customHeight="1" x14ac:dyDescent="0.3">
      <c r="C23" s="301" t="s">
        <v>138</v>
      </c>
      <c r="D23" s="332"/>
      <c r="E23" s="332"/>
      <c r="F23" s="347"/>
      <c r="G23" s="348" t="str">
        <f>_xlfn.CONCAT(_xlfn.XLOOKUP("[S04_NationalLawPermitUpdate][5][PermitUpdateNationalLawDetail]",Submission!$O:$O,Submission!$H:$N,""))</f>
        <v>Under regulation 11(2)(b) of the Greenhouse Gas Emissions Trading Scheme Regulations 2012 a permit can be updated in all cases of changes to the monitoring plan set out in Article 69 of Commission Regulation (EU) No 601/2012.</v>
      </c>
      <c r="H23" s="349"/>
      <c r="I23" s="350"/>
    </row>
    <row r="24" spans="1:9" ht="15.9" customHeight="1" x14ac:dyDescent="0.3">
      <c r="C24" s="301" t="s">
        <v>798</v>
      </c>
      <c r="D24" s="332"/>
      <c r="E24" s="332"/>
      <c r="F24" s="347"/>
      <c r="G24" s="348" t="str">
        <f>_xlfn.CONCAT(_xlfn.XLOOKUP("[S04_NationalLawPermitUpdate][6][PermitUpdateNationalLawDetail]",Submission!$O:$O,Submission!$H:$N,""))</f>
        <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Under regulation 11(3)(a) of the Greenhouse Gas Emissions Trading Scheme Regulations 2012 the permit can be updated anytime the operator is allowed to request such a change on the basis of a specific provision of the permit itself.</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Under regulation 11(6) of the Greenhouse Gas Emissions Trading Scheme Regulations 2012 a permit can be consolidated permit after any permit update, or when the same operator holds more permits for the same sites.</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0</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No</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No</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WE use the same system for EU and UK ETS management so collect all relevant data for UK use</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WE use the same system for EU and UK ETS management so collect all relevant data for UK use</v>
      </c>
      <c r="I17" s="394"/>
    </row>
    <row r="18" spans="1:9" s="58" customFormat="1" ht="32.4" customHeight="1" x14ac:dyDescent="0.3">
      <c r="C18" s="382" t="s">
        <v>817</v>
      </c>
      <c r="D18" s="382"/>
      <c r="E18" s="382"/>
      <c r="F18" s="382"/>
      <c r="G18" s="47" t="str">
        <f>_xlfn.CONCAT(_xlfn.XLOOKUP("[MeasuresStreamline][3][MeasuresStreamlineYesNo]",Submission!$O:$O,Submission!$H:$N,""))</f>
        <v>Yes</v>
      </c>
      <c r="H18" s="394" t="str">
        <f>_xlfn.CONCAT(_xlfn.XLOOKUP("[MeasuresStreamline][3][MeasuresStreamlineComments]",Submission!$O:$O,Submission!$H:$N,""))</f>
        <v>WE use the same system for EU and UK ETS management so collect all relevant data for UK use</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WE use the same system for EU and UK ETS management so collect all relevant data for UK use</v>
      </c>
      <c r="I19" s="394"/>
    </row>
    <row r="20" spans="1:9" s="58" customFormat="1" ht="32.4" customHeight="1" x14ac:dyDescent="0.3">
      <c r="C20" s="382" t="s">
        <v>819</v>
      </c>
      <c r="D20" s="382"/>
      <c r="E20" s="382"/>
      <c r="F20" s="382"/>
      <c r="G20" s="47" t="str">
        <f>_xlfn.CONCAT(_xlfn.XLOOKUP("[MeasuresStreamline][5][MeasuresStreamlineYesNo]",Submission!$O:$O,Submission!$H:$N,""))</f>
        <v>Yes</v>
      </c>
      <c r="H20" s="394" t="str">
        <f>_xlfn.CONCAT(_xlfn.XLOOKUP("[MeasuresStreamline][5][MeasuresStreamlineComments]",Submission!$O:$O,Submission!$H:$N,""))</f>
        <v>WE use the same system for EU and UK ETS management so collect all relevant data for UK use</v>
      </c>
      <c r="I20" s="394"/>
    </row>
    <row r="21" spans="1:9" s="58" customFormat="1" ht="32.4" customHeight="1" x14ac:dyDescent="0.3">
      <c r="C21" s="382" t="s">
        <v>820</v>
      </c>
      <c r="D21" s="382"/>
      <c r="E21" s="382"/>
      <c r="F21" s="382"/>
      <c r="G21" s="47" t="str">
        <f>_xlfn.CONCAT(_xlfn.XLOOKUP("[MeasuresStreamline][6][MeasuresStreamlineYesNo]",Submission!$O:$O,Submission!$H:$N,""))</f>
        <v>Yes</v>
      </c>
      <c r="H21" s="394" t="str">
        <f>_xlfn.CONCAT(_xlfn.XLOOKUP("[MeasuresStreamline][6][MeasuresStreamlineComments]",Submission!$O:$O,Submission!$H:$N,""))</f>
        <v>WE use the same system for EU and UK ETS management so collect all relevant data for UK use</v>
      </c>
      <c r="I21" s="394"/>
    </row>
    <row r="22" spans="1:9" s="58" customFormat="1" ht="32.4" customHeight="1" x14ac:dyDescent="0.3">
      <c r="A22" s="75"/>
      <c r="C22" s="249" t="s">
        <v>821</v>
      </c>
      <c r="D22" s="272"/>
      <c r="E22" s="272"/>
      <c r="F22" s="273"/>
      <c r="G22" s="47" t="str">
        <f>_xlfn.CONCAT(_xlfn.XLOOKUP("[MeasuresStreamline][7][MeasuresStreamlineYesNo]",Submission!$O:$O,Submission!$H:$N,""))</f>
        <v>No</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No</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Member State specific template</v>
      </c>
      <c r="G28" s="364"/>
      <c r="H28" s="388" t="str">
        <f>_xlfn.CONCAT(_xlfn.XLOOKUP("[S05_MSCustomisedTemplatesMRR1][1][HowTemplateSpecific]",Submission!$O:$O,Submission!$H:$N,""))</f>
        <v>Web based form within the ETSWAP application.
 We don’t ask for additional information beyond that
 requested in the Commission’s template. Additional
 elements are included purely for the functionality 
within the web form.</v>
      </c>
      <c r="I28" s="388"/>
    </row>
    <row r="29" spans="1:9" ht="15.9" customHeight="1" x14ac:dyDescent="0.3">
      <c r="C29" s="251" t="s">
        <v>828</v>
      </c>
      <c r="D29" s="257"/>
      <c r="E29" s="250"/>
      <c r="F29" s="274" t="str">
        <f>_xlfn.CONCAT(_xlfn.XLOOKUP("[S05_MSCustomisedTemplatesMRR1][2][SpecificTemplateOrFileFormat]",Submission!$O:$O,Submission!$H:$N,""))</f>
        <v>Member State specific template</v>
      </c>
      <c r="G29" s="364"/>
      <c r="H29" s="388" t="str">
        <f>_xlfn.CONCAT(_xlfn.XLOOKUP("[S05_MSCustomisedTemplatesMRR1][2][HowTemplateSpecific]",Submission!$O:$O,Submission!$H:$N,""))</f>
        <v>Web based form within the ETSWAP application.
 We don’t ask for additional information beyond that
 requested in the Commission’s template. Additional
 elements are included purely for the functionality
 within the web form.</v>
      </c>
      <c r="I29" s="388"/>
    </row>
    <row r="30" spans="1:9" ht="15.9" customHeight="1" x14ac:dyDescent="0.3">
      <c r="C30" s="251" t="s">
        <v>829</v>
      </c>
      <c r="D30" s="257"/>
      <c r="E30" s="250"/>
      <c r="F30" s="274" t="str">
        <f>_xlfn.CONCAT(_xlfn.XLOOKUP("[S05_MSCustomisedTemplatesMRR1][3][SpecificTemplateOrFileFormat]",Submission!$O:$O,Submission!$H:$N,""))</f>
        <v>Member State specific template</v>
      </c>
      <c r="G30" s="364"/>
      <c r="H30" s="388" t="str">
        <f>_xlfn.CONCAT(_xlfn.XLOOKUP("[S05_MSCustomisedTemplatesMRR1][3][HowTemplateSpecific]",Submission!$O:$O,Submission!$H:$N,""))</f>
        <v>Web based form within the ETSWAP application. 
We don’t ask for additional information beyond that
 requested in the Commission’s template. Additional
 elements are included purely for the functionality
 within the web form.</v>
      </c>
      <c r="I30" s="388"/>
    </row>
    <row r="31" spans="1:9" ht="15.9" customHeight="1" x14ac:dyDescent="0.3">
      <c r="C31" s="251" t="s">
        <v>830</v>
      </c>
      <c r="D31" s="257"/>
      <c r="E31" s="250"/>
      <c r="F31" s="274" t="str">
        <f>_xlfn.CONCAT(_xlfn.XLOOKUP("[S05_MSCustomisedTemplatesMRR1][4][SpecificTemplateOrFileFormat]",Submission!$O:$O,Submission!$H:$N,""))</f>
        <v>Member State specific template</v>
      </c>
      <c r="G31" s="364"/>
      <c r="H31" s="388" t="str">
        <f>_xlfn.CONCAT(_xlfn.XLOOKUP("[S05_MSCustomisedTemplatesMRR1][4][HowTemplateSpecific]",Submission!$O:$O,Submission!$H:$N,""))</f>
        <v>Web based form within the ETSWAP application.
 We don’t ask for additional information beyond that
 requested in the Commission’s template. Additional
 elements are included purely for the functionality
 within the web form.</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The web based forms in ETSWAP were designed using the latest available drafts of the Commission's templates for monitoring plans, emission reports, tonne kilometre reports and verification report opinion statements. Whilst the forms do contain additional elements to improve the user experience (e.g. showing/hiding individual fields or sections and performing calculations to minimise the risk of errors), we have deliberately avoided adding extra information requirements to any of the template forms. Data within the forms is stored in extensible markup language (XML) format. Whilst the schema for this XML is currently bespoke to ETSWAP it could be modified to better align with the Commission's Reporting Language now that this has been completed. Functionality was built into ETSWAP to enable upload of XML files for Phase II aviation emission reports and monitoring plans, however, we found that very few operators were in a position to be able to use this functionality and no operators actually uploaded their emission reports via XML in practice.</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No</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13985</v>
      </c>
      <c r="G53" s="378"/>
      <c r="H53" s="375" t="str">
        <f>_xlfn.CONCAT(_xlfn.XLOOKUP("[S05_InstallationFuelConsEmissions][1][FuelAnnualEmissions]",Submission!$O:$O,Submission!$H:$N,""))</f>
        <v>1308351</v>
      </c>
      <c r="I53" s="376"/>
    </row>
    <row r="54" spans="1:9" ht="15.9" customHeight="1" x14ac:dyDescent="0.3">
      <c r="C54" s="251" t="s">
        <v>197</v>
      </c>
      <c r="D54" s="257"/>
      <c r="E54" s="250"/>
      <c r="F54" s="377" t="str">
        <f>_xlfn.CONCAT(_xlfn.XLOOKUP("[S05_InstallationFuelConsEmissions][2][FuelConsumption]",Submission!$O:$O,Submission!$H:$N,""))</f>
        <v/>
      </c>
      <c r="G54" s="378"/>
      <c r="H54" s="375" t="str">
        <f>_xlfn.CONCAT(_xlfn.XLOOKUP("[S05_InstallationFuelConsEmissions][2][FuelAnnualEmissions]",Submission!$O:$O,Submission!$H:$N,""))</f>
        <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
      </c>
      <c r="I55" s="376"/>
    </row>
    <row r="56" spans="1:9" ht="15.9" customHeight="1" x14ac:dyDescent="0.3">
      <c r="C56" s="251" t="s">
        <v>201</v>
      </c>
      <c r="D56" s="257"/>
      <c r="E56" s="250"/>
      <c r="F56" s="377" t="str">
        <f>_xlfn.CONCAT(_xlfn.XLOOKUP("[S05_InstallationFuelConsEmissions][4][FuelConsumption]",Submission!$O:$O,Submission!$H:$N,""))</f>
        <v/>
      </c>
      <c r="G56" s="378"/>
      <c r="H56" s="375" t="str">
        <f>_xlfn.CONCAT(_xlfn.XLOOKUP("[S05_InstallationFuelConsEmissions][4][FuelAnnualEmissions]",Submission!$O:$O,Submission!$H:$N,""))</f>
        <v/>
      </c>
      <c r="I56" s="376"/>
    </row>
    <row r="57" spans="1:9" ht="15.9" customHeight="1" x14ac:dyDescent="0.3">
      <c r="C57" s="251" t="s">
        <v>846</v>
      </c>
      <c r="D57" s="257"/>
      <c r="E57" s="250"/>
      <c r="F57" s="377" t="str">
        <f>_xlfn.CONCAT(_xlfn.XLOOKUP("[S05_InstallationFuelConsEmissions][5][FuelConsumption]",Submission!$O:$O,Submission!$H:$N,""))</f>
        <v>30433</v>
      </c>
      <c r="G57" s="378"/>
      <c r="H57" s="375" t="str">
        <f>_xlfn.CONCAT(_xlfn.XLOOKUP("[S05_InstallationFuelConsEmissions][5][FuelAnnualEmissions]",Submission!$O:$O,Submission!$H:$N,""))</f>
        <v>1737368</v>
      </c>
      <c r="I57" s="376"/>
    </row>
    <row r="58" spans="1:9" ht="15.9" customHeight="1" x14ac:dyDescent="0.3">
      <c r="C58" s="251" t="s">
        <v>847</v>
      </c>
      <c r="D58" s="257"/>
      <c r="E58" s="250"/>
      <c r="F58" s="377" t="str">
        <f>_xlfn.CONCAT(_xlfn.XLOOKUP("[S05_InstallationFuelConsEmissions][6][FuelConsumption]",Submission!$O:$O,Submission!$H:$N,""))</f>
        <v/>
      </c>
      <c r="G58" s="378"/>
      <c r="H58" s="375" t="str">
        <f>_xlfn.CONCAT(_xlfn.XLOOKUP("[S05_InstallationFuelConsEmissions][6][FuelAnnualEmissions]",Submission!$O:$O,Submission!$H:$N,""))</f>
        <v/>
      </c>
      <c r="I58" s="376"/>
    </row>
    <row r="59" spans="1:9" ht="15.9" customHeight="1" x14ac:dyDescent="0.3">
      <c r="C59" s="251" t="s">
        <v>848</v>
      </c>
      <c r="D59" s="257"/>
      <c r="E59" s="250"/>
      <c r="F59" s="377" t="str">
        <f>_xlfn.CONCAT(_xlfn.XLOOKUP("[S05_InstallationFuelConsEmissions][7][FuelConsumption]",Submission!$O:$O,Submission!$H:$N,""))</f>
        <v/>
      </c>
      <c r="G59" s="378"/>
      <c r="H59" s="375" t="str">
        <f>_xlfn.CONCAT(_xlfn.XLOOKUP("[S05_InstallationFuelConsEmissions][7][FuelAnnualEmissions]",Submission!$O:$O,Submission!$H:$N,""))</f>
        <v/>
      </c>
      <c r="I59" s="376"/>
    </row>
    <row r="60" spans="1:9" ht="15.9" customHeight="1" x14ac:dyDescent="0.3">
      <c r="C60" s="251" t="s">
        <v>207</v>
      </c>
      <c r="D60" s="257"/>
      <c r="E60" s="250"/>
      <c r="F60" s="377" t="str">
        <f>_xlfn.CONCAT(_xlfn.XLOOKUP("[S05_InstallationFuelConsEmissions][8][FuelConsumption]",Submission!$O:$O,Submission!$H:$N,""))</f>
        <v/>
      </c>
      <c r="G60" s="378"/>
      <c r="H60" s="375" t="str">
        <f>_xlfn.CONCAT(_xlfn.XLOOKUP("[S05_InstallationFuelConsEmissions][8][FuelAnnualEmissions]",Submission!$O:$O,Submission!$H:$N,""))</f>
        <v/>
      </c>
      <c r="I60" s="376"/>
    </row>
    <row r="61" spans="1:9" ht="15.9" customHeight="1" x14ac:dyDescent="0.3">
      <c r="C61" s="251" t="s">
        <v>849</v>
      </c>
      <c r="D61" s="257"/>
      <c r="E61" s="250"/>
      <c r="F61" s="377" t="str">
        <f>_xlfn.CONCAT(_xlfn.XLOOKUP("[S05_InstallationFuelConsEmissions][9][FuelConsumption]",Submission!$O:$O,Submission!$H:$N,""))</f>
        <v>804.5</v>
      </c>
      <c r="G61" s="378"/>
      <c r="H61" s="375" t="str">
        <f>_xlfn.CONCAT(_xlfn.XLOOKUP("[S05_InstallationFuelConsEmissions][9][FuelAnnualEmissions]",Submission!$O:$O,Submission!$H:$N,""))</f>
        <v>62169</v>
      </c>
      <c r="I61" s="376"/>
    </row>
    <row r="62" spans="1:9" ht="15.9" customHeight="1" x14ac:dyDescent="0.3">
      <c r="C62" s="251" t="s">
        <v>211</v>
      </c>
      <c r="D62" s="257"/>
      <c r="E62" s="250"/>
      <c r="F62" s="377" t="str">
        <f>_xlfn.CONCAT(_xlfn.XLOOKUP("[S05_InstallationFuelConsEmissions][10][FuelConsumption]",Submission!$O:$O,Submission!$H:$N,""))</f>
        <v>0.2</v>
      </c>
      <c r="G62" s="378"/>
      <c r="H62" s="375" t="str">
        <f>_xlfn.CONCAT(_xlfn.XLOOKUP("[S05_InstallationFuelConsEmissions][10][FuelAnnualEmissions]",Submission!$O:$O,Submission!$H:$N,""))</f>
        <v>13</v>
      </c>
      <c r="I62" s="376"/>
    </row>
    <row r="63" spans="1:9" ht="15.9" customHeight="1" x14ac:dyDescent="0.3">
      <c r="C63" s="251" t="s">
        <v>212</v>
      </c>
      <c r="D63" s="257"/>
      <c r="E63" s="250"/>
      <c r="F63" s="377" t="str">
        <f>_xlfn.CONCAT(_xlfn.XLOOKUP("[S05_InstallationFuelConsEmissions][11][FuelConsumption]",Submission!$O:$O,Submission!$H:$N,""))</f>
        <v/>
      </c>
      <c r="G63" s="378"/>
      <c r="H63" s="375" t="str">
        <f>_xlfn.CONCAT(_xlfn.XLOOKUP("[S05_InstallationFuelConsEmissions][11][FuelAnnualEmissions]",Submission!$O:$O,Submission!$H:$N,""))</f>
        <v/>
      </c>
      <c r="I63" s="376"/>
    </row>
    <row r="64" spans="1:9" ht="15.9" customHeight="1" x14ac:dyDescent="0.3">
      <c r="C64" s="251" t="s">
        <v>850</v>
      </c>
      <c r="D64" s="257"/>
      <c r="E64" s="250"/>
      <c r="F64" s="377" t="str">
        <f>_xlfn.CONCAT(_xlfn.XLOOKUP("[S05_InstallationFuelConsEmissions][12][FuelConsumption]",Submission!$O:$O,Submission!$H:$N,""))</f>
        <v>81</v>
      </c>
      <c r="G64" s="378"/>
      <c r="H64" s="375" t="str">
        <f>_xlfn.CONCAT(_xlfn.XLOOKUP("[S05_InstallationFuelConsEmissions][12][FuelAnnualEmissions]",Submission!$O:$O,Submission!$H:$N,""))</f>
        <v>9665</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3117565</v>
      </c>
      <c r="H69" s="126" t="str">
        <f>_xlfn.CONCAT(_xlfn.XLOOKUP("[S05_AggregateTotalEmissionsByCRF][1][TotalCombustionEmissionsTCo2e]",Submission!$O:$O,Submission!$H:$N,""))</f>
        <v>3117178</v>
      </c>
      <c r="I69" s="126" t="str">
        <f>_xlfn.CONCAT(_xlfn.XLOOKUP("[S05_AggregateTotalEmissionsByCRF][1][TotalProcessEmissionsTCo2e]",Submission!$O:$O,Submission!$H:$N,""))</f>
        <v>387</v>
      </c>
    </row>
    <row r="70" spans="1:14" ht="16.2" customHeight="1" x14ac:dyDescent="0.3">
      <c r="C70" s="365" t="str">
        <f>_xlfn.CONCAT(_xlfn.XLOOKUP("[S05_AggregateTotalEmissionsByCRF][2][CRFCategory1]",Submission!$O:$O,Submission!$H:$N,""))</f>
        <v/>
      </c>
      <c r="D70" s="366"/>
      <c r="E70" s="367" t="str">
        <f>_xlfn.CONCAT(_xlfn.XLOOKUP("[S05_AggregateTotalEmissionsByCRF][2][CRFCategory2]",Submission!$O:$O,Submission!$H:$N,""))</f>
        <v/>
      </c>
      <c r="F70" s="368"/>
      <c r="G70" s="126" t="str">
        <f>_xlfn.CONCAT(_xlfn.XLOOKUP("[S05_AggregateTotalEmissionsByCRF][2][TotalEmissionsTCo2e]",Submission!$O:$O,Submission!$H:$N,""))</f>
        <v/>
      </c>
      <c r="H70" s="126" t="str">
        <f>_xlfn.CONCAT(_xlfn.XLOOKUP("[S05_AggregateTotalEmissionsByCRF][2][TotalCombustionEmissionsTCo2e]",Submission!$O:$O,Submission!$H:$N,""))</f>
        <v/>
      </c>
      <c r="I70" s="126" t="str">
        <f>_xlfn.CONCAT(_xlfn.XLOOKUP("[S05_AggregateTotalEmissionsByCRF][2][TotalProcessEmissionsTCo2e]",Submission!$O:$O,Submission!$H:$N,""))</f>
        <v/>
      </c>
    </row>
    <row r="71" spans="1:14" ht="16.2" customHeight="1" x14ac:dyDescent="0.3">
      <c r="C71" s="365" t="str">
        <f>_xlfn.CONCAT(_xlfn.XLOOKUP("[S05_AggregateTotalEmissionsByCRF][3][CRFCategory1]",Submission!$O:$O,Submission!$H:$N,""))</f>
        <v/>
      </c>
      <c r="D71" s="366"/>
      <c r="E71" s="367" t="str">
        <f>_xlfn.CONCAT(_xlfn.XLOOKUP("[S05_AggregateTotalEmissionsByCRF][3][CRFCategory2]",Submission!$O:$O,Submission!$H:$N,""))</f>
        <v/>
      </c>
      <c r="F71" s="368"/>
      <c r="G71" s="126" t="str">
        <f>_xlfn.CONCAT(_xlfn.XLOOKUP("[S05_AggregateTotalEmissionsByCRF][3][TotalEmissionsTCo2e]",Submission!$O:$O,Submission!$H:$N,""))</f>
        <v/>
      </c>
      <c r="H71" s="126" t="str">
        <f>_xlfn.CONCAT(_xlfn.XLOOKUP("[S05_AggregateTotalEmissionsByCRF][3][TotalCombustionEmissionsTCo2e]",Submission!$O:$O,Submission!$H:$N,""))</f>
        <v/>
      </c>
      <c r="I71" s="126" t="str">
        <f>_xlfn.CONCAT(_xlfn.XLOOKUP("[S05_AggregateTotalEmissionsByCRF][3][TotalProcessEmissionsTCo2e]",Submission!$O:$O,Submission!$H:$N,""))</f>
        <v/>
      </c>
    </row>
    <row r="72" spans="1:14" ht="16.2" customHeight="1" x14ac:dyDescent="0.3">
      <c r="C72" s="365" t="str">
        <f>_xlfn.CONCAT(_xlfn.XLOOKUP("[S05_AggregateTotalEmissionsByCRF][4][CRFCategory1]",Submission!$O:$O,Submission!$H:$N,""))</f>
        <v/>
      </c>
      <c r="D72" s="366"/>
      <c r="E72" s="367" t="str">
        <f>_xlfn.CONCAT(_xlfn.XLOOKUP("[S05_AggregateTotalEmissionsByCRF][4][CRFCategory2]",Submission!$O:$O,Submission!$H:$N,""))</f>
        <v/>
      </c>
      <c r="F72" s="368"/>
      <c r="G72" s="126" t="str">
        <f>_xlfn.CONCAT(_xlfn.XLOOKUP("[S05_AggregateTotalEmissionsByCRF][4][TotalEmissionsTCo2e]",Submission!$O:$O,Submission!$H:$N,""))</f>
        <v/>
      </c>
      <c r="H72" s="126" t="str">
        <f>_xlfn.CONCAT(_xlfn.XLOOKUP("[S05_AggregateTotalEmissionsByCRF][4][TotalCombustionEmissionsTCo2e]",Submission!$O:$O,Submission!$H:$N,""))</f>
        <v/>
      </c>
      <c r="I72" s="126" t="str">
        <f>_xlfn.CONCAT(_xlfn.XLOOKUP("[S05_AggregateTotalEmissionsByCRF][4][TotalProcessEmissionsTCo2e]",Submission!$O:$O,Submission!$H:$N,""))</f>
        <v/>
      </c>
    </row>
    <row r="73" spans="1:14" ht="16.2" customHeight="1" x14ac:dyDescent="0.3">
      <c r="C73" s="365" t="str">
        <f>_xlfn.CONCAT(_xlfn.XLOOKUP("[S05_AggregateTotalEmissionsByCRF][5][CRFCategory1]",Submission!$O:$O,Submission!$H:$N,""))</f>
        <v/>
      </c>
      <c r="D73" s="366"/>
      <c r="E73" s="367" t="str">
        <f>_xlfn.CONCAT(_xlfn.XLOOKUP("[S05_AggregateTotalEmissionsByCRF][5][CRFCategory2]",Submission!$O:$O,Submission!$H:$N,""))</f>
        <v/>
      </c>
      <c r="F73" s="368"/>
      <c r="G73" s="126" t="str">
        <f>_xlfn.CONCAT(_xlfn.XLOOKUP("[S05_AggregateTotalEmissionsByCRF][5][TotalEmissionsTCo2e]",Submission!$O:$O,Submission!$H:$N,""))</f>
        <v/>
      </c>
      <c r="H73" s="126" t="str">
        <f>_xlfn.CONCAT(_xlfn.XLOOKUP("[S05_AggregateTotalEmissionsByCRF][5][TotalCombustionEmissionsTCo2e]",Submission!$O:$O,Submission!$H:$N,""))</f>
        <v/>
      </c>
      <c r="I73" s="126" t="str">
        <f>_xlfn.CONCAT(_xlfn.XLOOKUP("[S05_AggregateTotalEmissionsByCRF][5][TotalProcessEmissionsTCo2e]",Submission!$O:$O,Submission!$H:$N,""))</f>
        <v/>
      </c>
    </row>
    <row r="74" spans="1:14" ht="16.2" customHeight="1" x14ac:dyDescent="0.3">
      <c r="C74" s="365" t="str">
        <f>_xlfn.CONCAT(_xlfn.XLOOKUP("[S05_AggregateTotalEmissionsByCRF][6][CRFCategory1]",Submission!$O:$O,Submission!$H:$N,""))</f>
        <v/>
      </c>
      <c r="D74" s="366"/>
      <c r="E74" s="367" t="str">
        <f>_xlfn.CONCAT(_xlfn.XLOOKUP("[S05_AggregateTotalEmissionsByCRF][6][CRFCategory2]",Submission!$O:$O,Submission!$H:$N,""))</f>
        <v/>
      </c>
      <c r="F74" s="368"/>
      <c r="G74" s="126" t="str">
        <f>_xlfn.CONCAT(_xlfn.XLOOKUP("[S05_AggregateTotalEmissionsByCRF][6][TotalEmissionsTCo2e]",Submission!$O:$O,Submission!$H:$N,""))</f>
        <v/>
      </c>
      <c r="H74" s="126" t="str">
        <f>_xlfn.CONCAT(_xlfn.XLOOKUP("[S05_AggregateTotalEmissionsByCRF][6][TotalCombustionEmissionsTCo2e]",Submission!$O:$O,Submission!$H:$N,""))</f>
        <v/>
      </c>
      <c r="I74" s="126" t="str">
        <f>_xlfn.CONCAT(_xlfn.XLOOKUP("[S05_AggregateTotalEmissionsByCRF][6][TotalProcessEmissionsTCo2e]",Submission!$O:$O,Submission!$H:$N,""))</f>
        <v/>
      </c>
    </row>
    <row r="75" spans="1:14" ht="16.2" customHeight="1" x14ac:dyDescent="0.3">
      <c r="C75" s="365" t="str">
        <f>_xlfn.CONCAT(_xlfn.XLOOKUP("[S05_AggregateTotalEmissionsByCRF][7][CRFCategory1]",Submission!$O:$O,Submission!$H:$N,""))</f>
        <v/>
      </c>
      <c r="D75" s="366"/>
      <c r="E75" s="367" t="str">
        <f>_xlfn.CONCAT(_xlfn.XLOOKUP("[S05_AggregateTotalEmissionsByCRF][7][CRFCategory2]",Submission!$O:$O,Submission!$H:$N,""))</f>
        <v/>
      </c>
      <c r="F75" s="368"/>
      <c r="G75" s="126" t="str">
        <f>_xlfn.CONCAT(_xlfn.XLOOKUP("[S05_AggregateTotalEmissionsByCRF][7][TotalEmissionsTCo2e]",Submission!$O:$O,Submission!$H:$N,""))</f>
        <v/>
      </c>
      <c r="H75" s="126" t="str">
        <f>_xlfn.CONCAT(_xlfn.XLOOKUP("[S05_AggregateTotalEmissionsByCRF][7][TotalCombustionEmissionsTCo2e]",Submission!$O:$O,Submission!$H:$N,""))</f>
        <v/>
      </c>
      <c r="I75" s="126" t="str">
        <f>_xlfn.CONCAT(_xlfn.XLOOKUP("[S05_AggregateTotalEmissionsByCRF][7][TotalProcessEmissionsTCo2e]",Submission!$O:$O,Submission!$H:$N,""))</f>
        <v/>
      </c>
    </row>
    <row r="76" spans="1:14" ht="16.2" customHeight="1" x14ac:dyDescent="0.3">
      <c r="C76" s="365" t="str">
        <f>_xlfn.CONCAT(_xlfn.XLOOKUP("[S05_AggregateTotalEmissionsByCRF][8][CRFCategory1]",Submission!$O:$O,Submission!$H:$N,""))</f>
        <v/>
      </c>
      <c r="D76" s="366"/>
      <c r="E76" s="367" t="str">
        <f>_xlfn.CONCAT(_xlfn.XLOOKUP("[S05_AggregateTotalEmissionsByCRF][8][CRFCategory2]",Submission!$O:$O,Submission!$H:$N,""))</f>
        <v/>
      </c>
      <c r="F76" s="368"/>
      <c r="G76" s="126" t="str">
        <f>_xlfn.CONCAT(_xlfn.XLOOKUP("[S05_AggregateTotalEmissionsByCRF][8][TotalEmissionsTCo2e]",Submission!$O:$O,Submission!$H:$N,""))</f>
        <v/>
      </c>
      <c r="H76" s="126" t="str">
        <f>_xlfn.CONCAT(_xlfn.XLOOKUP("[S05_AggregateTotalEmissionsByCRF][8][TotalCombustionEmissionsTCo2e]",Submission!$O:$O,Submission!$H:$N,""))</f>
        <v/>
      </c>
      <c r="I76" s="126" t="str">
        <f>_xlfn.CONCAT(_xlfn.XLOOKUP("[S05_AggregateTotalEmissionsByCRF][8][TotalProcessEmissionsTCo2e]",Submission!$O:$O,Submission!$H:$N,""))</f>
        <v/>
      </c>
    </row>
    <row r="77" spans="1:14" ht="16.2" customHeight="1" x14ac:dyDescent="0.3">
      <c r="C77" s="365" t="str">
        <f>_xlfn.CONCAT(_xlfn.XLOOKUP("[S05_AggregateTotalEmissionsByCRF][9][CRFCategory1]",Submission!$O:$O,Submission!$H:$N,""))</f>
        <v/>
      </c>
      <c r="D77" s="366"/>
      <c r="E77" s="367" t="str">
        <f>_xlfn.CONCAT(_xlfn.XLOOKUP("[S05_AggregateTotalEmissionsByCRF][9][CRFCategory2]",Submission!$O:$O,Submission!$H:$N,""))</f>
        <v/>
      </c>
      <c r="F77" s="368"/>
      <c r="G77" s="126" t="str">
        <f>_xlfn.CONCAT(_xlfn.XLOOKUP("[S05_AggregateTotalEmissionsByCRF][9][TotalEmissionsTCo2e]",Submission!$O:$O,Submission!$H:$N,""))</f>
        <v/>
      </c>
      <c r="H77" s="126" t="str">
        <f>_xlfn.CONCAT(_xlfn.XLOOKUP("[S05_AggregateTotalEmissionsByCRF][9][TotalCombustionEmissionsTCo2e]",Submission!$O:$O,Submission!$H:$N,""))</f>
        <v/>
      </c>
      <c r="I77" s="126" t="str">
        <f>_xlfn.CONCAT(_xlfn.XLOOKUP("[S05_AggregateTotalEmissionsByCRF][9][TotalProcessEmissionsTCo2e]",Submission!$O:$O,Submission!$H:$N,""))</f>
        <v/>
      </c>
    </row>
    <row r="78" spans="1:14" ht="16.2" customHeight="1" x14ac:dyDescent="0.3">
      <c r="C78" s="365" t="str">
        <f>_xlfn.CONCAT(_xlfn.XLOOKUP("[S05_AggregateTotalEmissionsByCRF][10][CRFCategory1]",Submission!$O:$O,Submission!$H:$N,""))</f>
        <v/>
      </c>
      <c r="D78" s="366"/>
      <c r="E78" s="367" t="str">
        <f>_xlfn.CONCAT(_xlfn.XLOOKUP("[S05_AggregateTotalEmissionsByCRF][10][CRFCategory2]",Submission!$O:$O,Submission!$H:$N,""))</f>
        <v/>
      </c>
      <c r="F78" s="368"/>
      <c r="G78" s="126" t="str">
        <f>_xlfn.CONCAT(_xlfn.XLOOKUP("[S05_AggregateTotalEmissionsByCRF][10][TotalEmissionsTCo2e]",Submission!$O:$O,Submission!$H:$N,""))</f>
        <v/>
      </c>
      <c r="H78" s="126" t="str">
        <f>_xlfn.CONCAT(_xlfn.XLOOKUP("[S05_AggregateTotalEmissionsByCRF][10][TotalCombustionEmissionsTCo2e]",Submission!$O:$O,Submission!$H:$N,""))</f>
        <v/>
      </c>
      <c r="I78" s="126" t="str">
        <f>_xlfn.CONCAT(_xlfn.XLOOKUP("[S05_AggregateTotalEmissionsByCRF][10][TotalProcessEmissionsTCo2e]",Submission!$O:$O,Submission!$H:$N,""))</f>
        <v/>
      </c>
    </row>
    <row r="79" spans="1:14" ht="16.2" customHeight="1" x14ac:dyDescent="0.3">
      <c r="C79" s="365" t="str">
        <f>_xlfn.CONCAT(_xlfn.XLOOKUP("[S05_AggregateTotalEmissionsByCRF][11][CRFCategory1]",Submission!$O:$O,Submission!$H:$N,""))</f>
        <v/>
      </c>
      <c r="D79" s="366"/>
      <c r="E79" s="367" t="str">
        <f>_xlfn.CONCAT(_xlfn.XLOOKUP("[S05_AggregateTotalEmissionsByCRF][11][CRFCategory2]",Submission!$O:$O,Submission!$H:$N,""))</f>
        <v/>
      </c>
      <c r="F79" s="368"/>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65" t="str">
        <f>_xlfn.CONCAT(_xlfn.XLOOKUP("[S05_AggregateTotalEmissionsByCRF][12][CRFCategory1]",Submission!$O:$O,Submission!$H:$N,""))</f>
        <v/>
      </c>
      <c r="D80" s="366"/>
      <c r="E80" s="367" t="str">
        <f>_xlfn.CONCAT(_xlfn.XLOOKUP("[S05_AggregateTotalEmissionsByCRF][12][CRFCategory2]",Submission!$O:$O,Submission!$H:$N,""))</f>
        <v/>
      </c>
      <c r="F80" s="368"/>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65" t="str">
        <f>_xlfn.CONCAT(_xlfn.XLOOKUP("[S05_AggregateTotalEmissionsByCRF][13][CRFCategory1]",Submission!$O:$O,Submission!$H:$N,""))</f>
        <v/>
      </c>
      <c r="D81" s="366"/>
      <c r="E81" s="367" t="str">
        <f>_xlfn.CONCAT(_xlfn.XLOOKUP("[S05_AggregateTotalEmissionsByCRF][13][CRFCategory2]",Submission!$O:$O,Submission!$H:$N,""))</f>
        <v/>
      </c>
      <c r="F81" s="368"/>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65" t="str">
        <f>_xlfn.CONCAT(_xlfn.XLOOKUP("[S05_AggregateTotalEmissionsByCRF][14][CRFCategory1]",Submission!$O:$O,Submission!$H:$N,""))</f>
        <v/>
      </c>
      <c r="D82" s="366"/>
      <c r="E82" s="367" t="str">
        <f>_xlfn.CONCAT(_xlfn.XLOOKUP("[S05_AggregateTotalEmissionsByCRF][14][CRFCategory2]",Submission!$O:$O,Submission!$H:$N,""))</f>
        <v/>
      </c>
      <c r="F82" s="368"/>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65" t="str">
        <f>_xlfn.CONCAT(_xlfn.XLOOKUP("[S05_AggregateTotalEmissionsByCRF][15][CRFCategory1]",Submission!$O:$O,Submission!$H:$N,""))</f>
        <v/>
      </c>
      <c r="D83" s="366"/>
      <c r="E83" s="367" t="str">
        <f>_xlfn.CONCAT(_xlfn.XLOOKUP("[S05_AggregateTotalEmissionsByCRF][15][CRFCategory2]",Submission!$O:$O,Submission!$H:$N,""))</f>
        <v/>
      </c>
      <c r="F83" s="368"/>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65" t="str">
        <f>_xlfn.CONCAT(_xlfn.XLOOKUP("[S05_AggregateTotalEmissionsByCRF][16][CRFCategory1]",Submission!$O:$O,Submission!$H:$N,""))</f>
        <v/>
      </c>
      <c r="D84" s="366"/>
      <c r="E84" s="367" t="str">
        <f>_xlfn.CONCAT(_xlfn.XLOOKUP("[S05_AggregateTotalEmissionsByCRF][16][CRFCategory2]",Submission!$O:$O,Submission!$H:$N,""))</f>
        <v/>
      </c>
      <c r="F84" s="368"/>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65" t="str">
        <f>_xlfn.CONCAT(_xlfn.XLOOKUP("[S05_AggregateTotalEmissionsByCRF][17][CRFCategory1]",Submission!$O:$O,Submission!$H:$N,""))</f>
        <v/>
      </c>
      <c r="D85" s="366"/>
      <c r="E85" s="367" t="str">
        <f>_xlfn.CONCAT(_xlfn.XLOOKUP("[S05_AggregateTotalEmissionsByCRF][17][CRFCategory2]",Submission!$O:$O,Submission!$H:$N,""))</f>
        <v/>
      </c>
      <c r="F85" s="368"/>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c>
      <c r="F86" s="368"/>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
      </c>
      <c r="F87" s="368"/>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A installation</v>
      </c>
      <c r="D203" s="414"/>
      <c r="E203" s="414"/>
      <c r="F203" s="414"/>
      <c r="G203" s="364"/>
      <c r="H203" s="123" t="str">
        <f>_xlfn.CONCAT(_xlfn.XLOOKUP("[S05_DefaultValues][1][FuelMaterialType]",Submission!$O:$O,Submission!$H:$N,""))</f>
        <v>natural gas</v>
      </c>
      <c r="I203" s="106" t="str">
        <f>_xlfn.CONCAT(_xlfn.XLOOKUP("[S05_DefaultValues][1][InstallationNumber]",Submission!$O:$O,Submission!$H:$N,""))</f>
        <v>1</v>
      </c>
    </row>
    <row r="204" spans="1:9" ht="15.9" customHeight="1" x14ac:dyDescent="0.3">
      <c r="A204" s="13"/>
      <c r="B204" s="34"/>
      <c r="C204" s="274" t="str">
        <f>_xlfn.CONCAT(_xlfn.XLOOKUP("[S05_DefaultValues][2][InstallationCategory]",Submission!$O:$O,Submission!$H:$N,""))</f>
        <v>Category A installation</v>
      </c>
      <c r="D204" s="414"/>
      <c r="E204" s="414"/>
      <c r="F204" s="414"/>
      <c r="G204" s="364"/>
      <c r="H204" s="123" t="str">
        <f>_xlfn.CONCAT(_xlfn.XLOOKUP("[S05_DefaultValues][2][FuelMaterialType]",Submission!$O:$O,Submission!$H:$N,""))</f>
        <v>propane gas</v>
      </c>
      <c r="I204" s="106" t="str">
        <f>_xlfn.CONCAT(_xlfn.XLOOKUP("[S05_DefaultValues][2][InstallationNumber]",Submission!$O:$O,Submission!$H:$N,""))</f>
        <v>1</v>
      </c>
    </row>
    <row r="205" spans="1:9" ht="15.9" customHeight="1" x14ac:dyDescent="0.3">
      <c r="A205" s="13"/>
      <c r="B205" s="34"/>
      <c r="C205" s="274" t="str">
        <f>_xlfn.CONCAT(_xlfn.XLOOKUP("[S05_DefaultValues][3][InstallationCategory]",Submission!$O:$O,Submission!$H:$N,""))</f>
        <v>Category A installation</v>
      </c>
      <c r="D205" s="414"/>
      <c r="E205" s="414"/>
      <c r="F205" s="414"/>
      <c r="G205" s="364"/>
      <c r="H205" s="123" t="str">
        <f>_xlfn.CONCAT(_xlfn.XLOOKUP("[S05_DefaultValues][3][FuelMaterialType]",Submission!$O:$O,Submission!$H:$N,""))</f>
        <v>bio-methane</v>
      </c>
      <c r="I205" s="106" t="str">
        <f>_xlfn.CONCAT(_xlfn.XLOOKUP("[S05_DefaultValues][3][InstallationNumber]",Submission!$O:$O,Submission!$H:$N,""))</f>
        <v>1</v>
      </c>
    </row>
    <row r="206" spans="1:9" ht="15.9" customHeight="1" x14ac:dyDescent="0.3">
      <c r="A206" s="13"/>
      <c r="B206" s="34"/>
      <c r="C206" s="274" t="str">
        <f>_xlfn.CONCAT(_xlfn.XLOOKUP("[S05_DefaultValues][4][InstallationCategory]",Submission!$O:$O,Submission!$H:$N,""))</f>
        <v>Category A installation</v>
      </c>
      <c r="D206" s="414"/>
      <c r="E206" s="414"/>
      <c r="F206" s="414"/>
      <c r="G206" s="364"/>
      <c r="H206" s="123" t="str">
        <f>_xlfn.CONCAT(_xlfn.XLOOKUP("[S05_DefaultValues][4][FuelMaterialType]",Submission!$O:$O,Submission!$H:$N,""))</f>
        <v xml:space="preserve">gas/diesel oil </v>
      </c>
      <c r="I206" s="106" t="str">
        <f>_xlfn.CONCAT(_xlfn.XLOOKUP("[S05_DefaultValues][4][InstallationNumber]",Submission!$O:$O,Submission!$H:$N,""))</f>
        <v>2</v>
      </c>
    </row>
    <row r="207" spans="1:9" ht="15.9" customHeight="1" x14ac:dyDescent="0.3">
      <c r="A207" s="13"/>
      <c r="B207" s="34"/>
      <c r="C207" s="274" t="str">
        <f>_xlfn.CONCAT(_xlfn.XLOOKUP("[S05_DefaultValues][5][InstallationCategory]",Submission!$O:$O,Submission!$H:$N,""))</f>
        <v>Category A installation</v>
      </c>
      <c r="D207" s="414"/>
      <c r="E207" s="414"/>
      <c r="F207" s="414"/>
      <c r="G207" s="364"/>
      <c r="H207" s="123" t="str">
        <f>_xlfn.CONCAT(_xlfn.XLOOKUP("[S05_DefaultValues][5][FuelMaterialType]",Submission!$O:$O,Submission!$H:$N,""))</f>
        <v>wood/wood waste</v>
      </c>
      <c r="I207" s="106" t="str">
        <f>_xlfn.CONCAT(_xlfn.XLOOKUP("[S05_DefaultValues][5][InstallationNumber]",Submission!$O:$O,Submission!$H:$N,""))</f>
        <v>1</v>
      </c>
    </row>
    <row r="208" spans="1:9" ht="15.9" customHeight="1" x14ac:dyDescent="0.3">
      <c r="A208" s="13"/>
      <c r="B208" s="34"/>
      <c r="C208" s="274" t="str">
        <f>_xlfn.CONCAT(_xlfn.XLOOKUP("[S05_DefaultValues][6][InstallationCategory]",Submission!$O:$O,Submission!$H:$N,""))</f>
        <v>Category A installation</v>
      </c>
      <c r="D208" s="414"/>
      <c r="E208" s="414"/>
      <c r="F208" s="414"/>
      <c r="G208" s="364"/>
      <c r="H208" s="123" t="str">
        <f>_xlfn.CONCAT(_xlfn.XLOOKUP("[S05_DefaultValues][6][FuelMaterialType]",Submission!$O:$O,Submission!$H:$N,""))</f>
        <v>urea</v>
      </c>
      <c r="I208" s="106" t="str">
        <f>_xlfn.CONCAT(_xlfn.XLOOKUP("[S05_DefaultValues][6][InstallationNumber]",Submission!$O:$O,Submission!$H:$N,""))</f>
        <v>1</v>
      </c>
    </row>
    <row r="209" spans="1:9" ht="15.9" customHeight="1" x14ac:dyDescent="0.3">
      <c r="A209" s="13"/>
      <c r="B209" s="34"/>
      <c r="C209" s="274" t="str">
        <f>_xlfn.CONCAT(_xlfn.XLOOKUP("[S05_DefaultValues][7][InstallationCategory]",Submission!$O:$O,Submission!$H:$N,""))</f>
        <v>Category C installation</v>
      </c>
      <c r="D209" s="414"/>
      <c r="E209" s="414"/>
      <c r="F209" s="414"/>
      <c r="G209" s="364"/>
      <c r="H209" s="123" t="str">
        <f>_xlfn.CONCAT(_xlfn.XLOOKUP("[S05_DefaultValues][7][FuelMaterialType]",Submission!$O:$O,Submission!$H:$N,""))</f>
        <v xml:space="preserve">gas/diesel oil </v>
      </c>
      <c r="I209" s="106" t="str">
        <f>_xlfn.CONCAT(_xlfn.XLOOKUP("[S05_DefaultValues][7][InstallationNumber]",Submission!$O:$O,Submission!$H:$N,""))</f>
        <v>3</v>
      </c>
    </row>
    <row r="210" spans="1:9" ht="15.9" customHeight="1" x14ac:dyDescent="0.3">
      <c r="A210" s="13"/>
      <c r="B210" s="34"/>
      <c r="C210" s="274" t="str">
        <f>_xlfn.CONCAT(_xlfn.XLOOKUP("[S05_DefaultValues][8][InstallationCategory]",Submission!$O:$O,Submission!$H:$N,""))</f>
        <v>Category C installation</v>
      </c>
      <c r="D210" s="414"/>
      <c r="E210" s="414"/>
      <c r="F210" s="414"/>
      <c r="G210" s="364"/>
      <c r="H210" s="123" t="str">
        <f>_xlfn.CONCAT(_xlfn.XLOOKUP("[S05_DefaultValues][8][FuelMaterialType]",Submission!$O:$O,Submission!$H:$N,""))</f>
        <v>kerosene(other than jet kerosene)</v>
      </c>
      <c r="I210" s="106" t="str">
        <f>_xlfn.CONCAT(_xlfn.XLOOKUP("[S05_DefaultValues][8][InstallationNumber]",Submission!$O:$O,Submission!$H:$N,""))</f>
        <v>2</v>
      </c>
    </row>
    <row r="211" spans="1:9" ht="15.9" customHeight="1" x14ac:dyDescent="0.3">
      <c r="A211" s="13"/>
      <c r="B211" s="34"/>
      <c r="C211" s="274" t="str">
        <f>_xlfn.CONCAT(_xlfn.XLOOKUP("[S05_DefaultValues][9][InstallationCategory]",Submission!$O:$O,Submission!$H:$N,""))</f>
        <v>Category C installation</v>
      </c>
      <c r="D211" s="414"/>
      <c r="E211" s="414"/>
      <c r="F211" s="414"/>
      <c r="G211" s="364"/>
      <c r="H211" s="123" t="str">
        <f>_xlfn.CONCAT(_xlfn.XLOOKUP("[S05_DefaultValues][9][FuelMaterialType]",Submission!$O:$O,Submission!$H:$N,""))</f>
        <v>petrol</v>
      </c>
      <c r="I211" s="106" t="str">
        <f>_xlfn.CONCAT(_xlfn.XLOOKUP("[S05_DefaultValues][9][InstallationNumber]",Submission!$O:$O,Submission!$H:$N,""))</f>
        <v>1</v>
      </c>
    </row>
    <row r="212" spans="1:9" ht="15.9" customHeight="1" x14ac:dyDescent="0.3">
      <c r="A212" s="13"/>
      <c r="B212" s="34"/>
      <c r="C212" s="274" t="str">
        <f>_xlfn.CONCAT(_xlfn.XLOOKUP("[S05_DefaultValues][10][InstallationCategory]",Submission!$O:$O,Submission!$H:$N,""))</f>
        <v>Category C installation</v>
      </c>
      <c r="D212" s="414"/>
      <c r="E212" s="414"/>
      <c r="F212" s="414"/>
      <c r="G212" s="364"/>
      <c r="H212" s="123" t="str">
        <f>_xlfn.CONCAT(_xlfn.XLOOKUP("[S05_DefaultValues][10][FuelMaterialType]",Submission!$O:$O,Submission!$H:$N,""))</f>
        <v>propane</v>
      </c>
      <c r="I212" s="106" t="str">
        <f>_xlfn.CONCAT(_xlfn.XLOOKUP("[S05_DefaultValues][10][InstallationNumber]",Submission!$O:$O,Submission!$H:$N,""))</f>
        <v>1</v>
      </c>
    </row>
    <row r="213" spans="1:9" ht="15.9" customHeight="1" x14ac:dyDescent="0.3">
      <c r="A213" s="13"/>
      <c r="B213" s="34"/>
      <c r="C213" s="274" t="str">
        <f>_xlfn.CONCAT(_xlfn.XLOOKUP("[S05_DefaultValues][11][InstallationCategory]",Submission!$O:$O,Submission!$H:$N,""))</f>
        <v>Category C installation</v>
      </c>
      <c r="D213" s="414"/>
      <c r="E213" s="414"/>
      <c r="F213" s="414"/>
      <c r="G213" s="364"/>
      <c r="H213" s="123" t="str">
        <f>_xlfn.CONCAT(_xlfn.XLOOKUP("[S05_DefaultValues][11][FuelMaterialType]",Submission!$O:$O,Submission!$H:$N,""))</f>
        <v>LPG</v>
      </c>
      <c r="I213" s="106" t="str">
        <f>_xlfn.CONCAT(_xlfn.XLOOKUP("[S05_DefaultValues][11][InstallationNumber]",Submission!$O:$O,Submission!$H:$N,""))</f>
        <v>2</v>
      </c>
    </row>
    <row r="214" spans="1:9" ht="15.9" customHeight="1" x14ac:dyDescent="0.3">
      <c r="A214" s="13"/>
      <c r="B214" s="34"/>
      <c r="C214" s="274" t="str">
        <f>_xlfn.CONCAT(_xlfn.XLOOKUP("[S05_DefaultValues][12][InstallationCategory]",Submission!$O:$O,Submission!$H:$N,""))</f>
        <v>Category C installation</v>
      </c>
      <c r="D214" s="414"/>
      <c r="E214" s="414"/>
      <c r="F214" s="414"/>
      <c r="G214" s="364"/>
      <c r="H214" s="123" t="str">
        <f>_xlfn.CONCAT(_xlfn.XLOOKUP("[S05_DefaultValues][12][FuelMaterialType]",Submission!$O:$O,Submission!$H:$N,""))</f>
        <v>acetylene</v>
      </c>
      <c r="I214" s="106" t="str">
        <f>_xlfn.CONCAT(_xlfn.XLOOKUP("[S05_DefaultValues][12][InstallationNumber]",Submission!$O:$O,Submission!$H:$N,""))</f>
        <v>1</v>
      </c>
    </row>
    <row r="215" spans="1:9" ht="15.9" customHeight="1" x14ac:dyDescent="0.3">
      <c r="A215" s="13"/>
      <c r="B215" s="34"/>
      <c r="C215" s="274" t="str">
        <f>_xlfn.CONCAT(_xlfn.XLOOKUP("[S05_DefaultValues][13][InstallationCategory]",Submission!$O:$O,Submission!$H:$N,""))</f>
        <v>Category C installation</v>
      </c>
      <c r="D215" s="414"/>
      <c r="E215" s="414"/>
      <c r="F215" s="414"/>
      <c r="G215" s="364"/>
      <c r="H215" s="123" t="str">
        <f>_xlfn.CONCAT(_xlfn.XLOOKUP("[S05_DefaultValues][13][FuelMaterialType]",Submission!$O:$O,Submission!$H:$N,""))</f>
        <v>liquid urea</v>
      </c>
      <c r="I215" s="106" t="str">
        <f>_xlfn.CONCAT(_xlfn.XLOOKUP("[S05_DefaultValues][13][InstallationNumber]",Submission!$O:$O,Submission!$H:$N,""))</f>
        <v>1</v>
      </c>
    </row>
    <row r="216" spans="1:9" ht="15.9" customHeight="1" x14ac:dyDescent="0.3">
      <c r="A216" s="13"/>
      <c r="B216" s="34"/>
      <c r="C216" s="274" t="str">
        <f>_xlfn.CONCAT(_xlfn.XLOOKUP("[S05_DefaultValues][14][InstallationCategory]",Submission!$O:$O,Submission!$H:$N,""))</f>
        <v/>
      </c>
      <c r="D216" s="414"/>
      <c r="E216" s="414"/>
      <c r="F216" s="414"/>
      <c r="G216" s="364"/>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74" t="str">
        <f>_xlfn.CONCAT(_xlfn.XLOOKUP("[S05_DefaultValues][15][InstallationCategory]",Submission!$O:$O,Submission!$H:$N,""))</f>
        <v/>
      </c>
      <c r="D217" s="414"/>
      <c r="E217" s="414"/>
      <c r="F217" s="414"/>
      <c r="G217" s="364"/>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74" t="str">
        <f>_xlfn.CONCAT(_xlfn.XLOOKUP("[S05_DefaultValues][16][InstallationCategory]",Submission!$O:$O,Submission!$H:$N,""))</f>
        <v/>
      </c>
      <c r="D218" s="414"/>
      <c r="E218" s="414"/>
      <c r="F218" s="414"/>
      <c r="G218" s="364"/>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74" t="str">
        <f>_xlfn.CONCAT(_xlfn.XLOOKUP("[S05_DefaultValues][17][InstallationCategory]",Submission!$O:$O,Submission!$H:$N,""))</f>
        <v/>
      </c>
      <c r="D219" s="414"/>
      <c r="E219" s="414"/>
      <c r="F219" s="414"/>
      <c r="G219" s="364"/>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74" t="str">
        <f>_xlfn.CONCAT(_xlfn.XLOOKUP("[S05_DefaultValues][18][InstallationCategory]",Submission!$O:$O,Submission!$H:$N,""))</f>
        <v/>
      </c>
      <c r="D220" s="414"/>
      <c r="E220" s="414"/>
      <c r="F220" s="414"/>
      <c r="G220" s="364"/>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74" t="str">
        <f>_xlfn.CONCAT(_xlfn.XLOOKUP("[S05_DefaultValues][19][InstallationCategory]",Submission!$O:$O,Submission!$H:$N,""))</f>
        <v/>
      </c>
      <c r="D221" s="414"/>
      <c r="E221" s="414"/>
      <c r="F221" s="414"/>
      <c r="G221" s="364"/>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74" t="str">
        <f>_xlfn.CONCAT(_xlfn.XLOOKUP("[S05_DefaultValues][20][InstallationCategory]",Submission!$O:$O,Submission!$H:$N,""))</f>
        <v/>
      </c>
      <c r="D222" s="414"/>
      <c r="E222" s="414"/>
      <c r="F222" s="414"/>
      <c r="G222" s="364"/>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74" t="str">
        <f>_xlfn.CONCAT(_xlfn.XLOOKUP("[S05_DefaultValues][21][InstallationCategory]",Submission!$O:$O,Submission!$H:$N,""))</f>
        <v/>
      </c>
      <c r="D223" s="414"/>
      <c r="E223" s="414"/>
      <c r="F223" s="414"/>
      <c r="G223" s="364"/>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74" t="str">
        <f>_xlfn.CONCAT(_xlfn.XLOOKUP("[S05_DefaultValues][22][InstallationCategory]",Submission!$O:$O,Submission!$H:$N,""))</f>
        <v/>
      </c>
      <c r="D224" s="414"/>
      <c r="E224" s="414"/>
      <c r="F224" s="414"/>
      <c r="G224" s="364"/>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74" t="str">
        <f>_xlfn.CONCAT(_xlfn.XLOOKUP("[S05_DefaultValues][23][InstallationCategory]",Submission!$O:$O,Submission!$H:$N,""))</f>
        <v/>
      </c>
      <c r="D225" s="414"/>
      <c r="E225" s="414"/>
      <c r="F225" s="414"/>
      <c r="G225" s="364"/>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74" t="str">
        <f>_xlfn.CONCAT(_xlfn.XLOOKUP("[S05_DefaultValues][24][InstallationCategory]",Submission!$O:$O,Submission!$H:$N,""))</f>
        <v/>
      </c>
      <c r="D226" s="414"/>
      <c r="E226" s="414"/>
      <c r="F226" s="414"/>
      <c r="G226" s="364"/>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74" t="str">
        <f>_xlfn.CONCAT(_xlfn.XLOOKUP("[S05_DefaultValues][25][InstallationCategory]",Submission!$O:$O,Submission!$H:$N,""))</f>
        <v/>
      </c>
      <c r="D227" s="414"/>
      <c r="E227" s="414"/>
      <c r="F227" s="414"/>
      <c r="G227" s="364"/>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74" t="str">
        <f>_xlfn.CONCAT(_xlfn.XLOOKUP("[S05_DefaultValues][26][InstallationCategory]",Submission!$O:$O,Submission!$H:$N,""))</f>
        <v/>
      </c>
      <c r="D228" s="414"/>
      <c r="E228" s="414"/>
      <c r="F228" s="414"/>
      <c r="G228" s="364"/>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74" t="str">
        <f>_xlfn.CONCAT(_xlfn.XLOOKUP("[S05_DefaultValues][27][InstallationCategory]",Submission!$O:$O,Submission!$H:$N,""))</f>
        <v/>
      </c>
      <c r="D229" s="414"/>
      <c r="E229" s="414"/>
      <c r="F229" s="414"/>
      <c r="G229" s="364"/>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74" t="str">
        <f>_xlfn.CONCAT(_xlfn.XLOOKUP("[S05_DefaultValues][28][InstallationCategory]",Submission!$O:$O,Submission!$H:$N,""))</f>
        <v/>
      </c>
      <c r="D230" s="414"/>
      <c r="E230" s="414"/>
      <c r="F230" s="414"/>
      <c r="G230" s="364"/>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74" t="str">
        <f>_xlfn.CONCAT(_xlfn.XLOOKUP("[S05_DefaultValues][29][InstallationCategory]",Submission!$O:$O,Submission!$H:$N,""))</f>
        <v/>
      </c>
      <c r="D231" s="414"/>
      <c r="E231" s="414"/>
      <c r="F231" s="414"/>
      <c r="G231" s="364"/>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74" t="str">
        <f>_xlfn.CONCAT(_xlfn.XLOOKUP("[S05_DefaultValues][30][InstallationCategory]",Submission!$O:$O,Submission!$H:$N,""))</f>
        <v/>
      </c>
      <c r="D232" s="414"/>
      <c r="E232" s="414"/>
      <c r="F232" s="414"/>
      <c r="G232" s="364"/>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
      </c>
      <c r="D1098" s="260"/>
      <c r="E1098" s="274" t="str">
        <f>_xlfn.CONCAT(_xlfn.XLOOKUP("[S05_CategoryBHighestTierNotApplied][1][CategoryBMainActivity]",Submission!$O:$O,Submission!$H:$N,""))</f>
        <v/>
      </c>
      <c r="F1098" s="369"/>
      <c r="G1098" s="259"/>
      <c r="H1098" s="351" t="str">
        <f>_xlfn.CONCAT(_xlfn.XLOOKUP("[S05_CategoryBHighestTierNotApplied][1][CategoryBInstallationsAffected]",Submission!$O:$O,Submission!$H:$N,""))</f>
        <v>0</v>
      </c>
      <c r="I1098" s="352"/>
    </row>
    <row r="1099" spans="1:9" ht="25.95" customHeight="1" x14ac:dyDescent="0.3">
      <c r="B1099" s="34"/>
      <c r="C1099" s="258" t="str">
        <f>_xlfn.CONCAT(_xlfn.XLOOKUP("[S05_CategoryBHighestTierNotApplied][2][MonitoringMethodology]",Submission!$O:$O,Submission!$H:$N,""))</f>
        <v/>
      </c>
      <c r="D1099" s="260"/>
      <c r="E1099" s="274" t="str">
        <f>_xlfn.CONCAT(_xlfn.XLOOKUP("[S05_CategoryBHighestTierNotApplied][2][CategoryBMainActivity]",Submission!$O:$O,Submission!$H:$N,""))</f>
        <v/>
      </c>
      <c r="F1099" s="369"/>
      <c r="G1099" s="259"/>
      <c r="H1099" s="351" t="str">
        <f>_xlfn.CONCAT(_xlfn.XLOOKUP("[S05_CategoryBHighestTierNotApplied][2][CategoryBInstallationsAffected]",Submission!$O:$O,Submission!$H:$N,""))</f>
        <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74" t="str">
        <f>_xlfn.CONCAT(_xlfn.XLOOKUP("[S05_ImprovementReportArt69]["&amp;ROW(B1144)-ROW($B$1143)&amp;"][Annex1Activity]",Submission!$O:$O,Submission!$H:$N,""))</f>
        <v>20 - Combustion of fuels as specified in Annex I of Directive 2003/87/EC</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0</v>
      </c>
      <c r="I1144" s="124" t="str">
        <f>_xlfn.CONCAT(_xlfn.XLOOKUP("[S05_ImprovementReportArt69]["&amp;ROW(B1144)-ROW($B$1143)&amp;"][ImprovementReportSubmitted]",Submission!$O:$O,Submission!$H:$N,""))</f>
        <v>0</v>
      </c>
    </row>
    <row r="1145" spans="1:9" ht="27" customHeight="1" x14ac:dyDescent="0.3">
      <c r="A1145" s="12"/>
      <c r="C1145" s="47" t="str">
        <f>_xlfn.CONCAT(_xlfn.XLOOKUP("[S05_ImprovementReportArt69]["&amp;ROW(B1145)-ROW($B$1143)&amp;"][InstallationCategory]",Submission!$O:$O,Submission!$H:$N,""))</f>
        <v>Category C</v>
      </c>
      <c r="D1145" s="274" t="str">
        <f>_xlfn.CONCAT(_xlfn.XLOOKUP("[S05_ImprovementReportArt69]["&amp;ROW(B1145)-ROW($B$1143)&amp;"][Annex1Activity]",Submission!$O:$O,Submission!$H:$N,""))</f>
        <v>20 - Combustion of fuels as specified in Annex I of Directive 2003/87/EC</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0</v>
      </c>
      <c r="I1145" s="124" t="str">
        <f>_xlfn.CONCAT(_xlfn.XLOOKUP("[S05_ImprovementReportArt69]["&amp;ROW(B1145)-ROW($B$1143)&amp;"][ImprovementReportSubmitted]",Submission!$O:$O,Submission!$H:$N,""))</f>
        <v>0</v>
      </c>
    </row>
    <row r="1146" spans="1:9" ht="27" customHeight="1" x14ac:dyDescent="0.3">
      <c r="A1146" s="12"/>
      <c r="C1146" s="47" t="str">
        <f>_xlfn.CONCAT(_xlfn.XLOOKUP("[S05_ImprovementReportArt69]["&amp;ROW(B1146)-ROW($B$1143)&amp;"][InstallationCategory]",Submission!$O:$O,Submission!$H:$N,""))</f>
        <v>Category A</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in accordance with Article 69(3)</v>
      </c>
      <c r="G1146" s="259"/>
      <c r="H1146" s="124" t="str">
        <f>_xlfn.CONCAT(_xlfn.XLOOKUP("[S05_ImprovementReportArt69]["&amp;ROW(B1146)-ROW($B$1143)&amp;"][ImprovementReportRequired]",Submission!$O:$O,Submission!$H:$N,""))</f>
        <v>0</v>
      </c>
      <c r="I1146" s="124" t="str">
        <f>_xlfn.CONCAT(_xlfn.XLOOKUP("[S05_ImprovementReportArt69]["&amp;ROW(B1146)-ROW($B$1143)&amp;"][ImprovementReportSubmitted]",Submission!$O:$O,Submission!$H:$N,""))</f>
        <v>0</v>
      </c>
    </row>
    <row r="1147" spans="1:9" ht="27" customHeight="1" x14ac:dyDescent="0.3">
      <c r="A1147" s="12"/>
      <c r="C1147" s="47" t="str">
        <f>_xlfn.CONCAT(_xlfn.XLOOKUP("[S05_ImprovementReportArt69]["&amp;ROW(B1147)-ROW($B$1143)&amp;"][InstallationCategory]",Submission!$O:$O,Submission!$H:$N,""))</f>
        <v>Category C</v>
      </c>
      <c r="D1147" s="274" t="str">
        <f>_xlfn.CONCAT(_xlfn.XLOOKUP("[S05_ImprovementReportArt69]["&amp;ROW(B1147)-ROW($B$1143)&amp;"][Annex1Activity]",Submission!$O:$O,Submission!$H:$N,""))</f>
        <v>20 - Combustion of fuels as specified in Annex I of Directive 2003/87/EC</v>
      </c>
      <c r="E1147" s="364"/>
      <c r="F1147" s="258" t="str">
        <f>_xlfn.CONCAT(_xlfn.XLOOKUP("[S05_ImprovementReportArt69]["&amp;ROW(B1147)-ROW($B$1143)&amp;"][ImprovementReportType]",Submission!$O:$O,Submission!$H:$N,""))</f>
        <v>Improvement report in accordance with Article 69(3)</v>
      </c>
      <c r="G1147" s="259"/>
      <c r="H1147" s="124" t="str">
        <f>_xlfn.CONCAT(_xlfn.XLOOKUP("[S05_ImprovementReportArt69]["&amp;ROW(B1147)-ROW($B$1143)&amp;"][ImprovementReportRequired]",Submission!$O:$O,Submission!$H:$N,""))</f>
        <v>0</v>
      </c>
      <c r="I1147" s="124" t="str">
        <f>_xlfn.CONCAT(_xlfn.XLOOKUP("[S05_ImprovementReportArt69]["&amp;ROW(B1147)-ROW($B$1143)&amp;"][ImprovementReportSubmitted]",Submission!$O:$O,Submission!$H:$N,""))</f>
        <v>0</v>
      </c>
    </row>
    <row r="1148" spans="1:9" ht="27" customHeight="1" x14ac:dyDescent="0.3">
      <c r="A1148" s="12"/>
      <c r="C1148" s="47" t="str">
        <f>_xlfn.CONCAT(_xlfn.XLOOKUP("[S05_ImprovementReportArt69]["&amp;ROW(B1148)-ROW($B$1143)&amp;"][InstallationCategory]",Submission!$O:$O,Submission!$H:$N,""))</f>
        <v>Category A</v>
      </c>
      <c r="D1148" s="274" t="str">
        <f>_xlfn.CONCAT(_xlfn.XLOOKUP("[S05_ImprovementReportArt69]["&amp;ROW(B1148)-ROW($B$1143)&amp;"][Annex1Activity]",Submission!$O:$O,Submission!$H:$N,""))</f>
        <v>20 - Combustion of fuels as specified in Annex I of Directive 2003/87/EC</v>
      </c>
      <c r="E1148" s="364"/>
      <c r="F1148" s="258" t="str">
        <f>_xlfn.CONCAT(_xlfn.XLOOKUP("[S05_ImprovementReportArt69]["&amp;ROW(B1148)-ROW($B$1143)&amp;"][ImprovementReportType]",Submission!$O:$O,Submission!$H:$N,""))</f>
        <v>Improvement report according to Article 69(4)</v>
      </c>
      <c r="G1148" s="259"/>
      <c r="H1148" s="124" t="str">
        <f>_xlfn.CONCAT(_xlfn.XLOOKUP("[S05_ImprovementReportArt69]["&amp;ROW(B1148)-ROW($B$1143)&amp;"][ImprovementReportRequired]",Submission!$O:$O,Submission!$H:$N,""))</f>
        <v>0</v>
      </c>
      <c r="I1148" s="124" t="str">
        <f>_xlfn.CONCAT(_xlfn.XLOOKUP("[S05_ImprovementReportArt69]["&amp;ROW(B1148)-ROW($B$1143)&amp;"][ImprovementReportSubmitted]",Submission!$O:$O,Submission!$H:$N,""))</f>
        <v>0</v>
      </c>
    </row>
    <row r="1149" spans="1:9" ht="27" customHeight="1" x14ac:dyDescent="0.3">
      <c r="A1149" s="12"/>
      <c r="C1149" s="47" t="str">
        <f>_xlfn.CONCAT(_xlfn.XLOOKUP("[S05_ImprovementReportArt69]["&amp;ROW(B1149)-ROW($B$1143)&amp;"][InstallationCategory]",Submission!$O:$O,Submission!$H:$N,""))</f>
        <v>Category C</v>
      </c>
      <c r="D1149" s="274" t="str">
        <f>_xlfn.CONCAT(_xlfn.XLOOKUP("[S05_ImprovementReportArt69]["&amp;ROW(B1149)-ROW($B$1143)&amp;"][Annex1Activity]",Submission!$O:$O,Submission!$H:$N,""))</f>
        <v>20 - Combustion of fuels as specified in Annex I of Directive 2003/87/EC</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0</v>
      </c>
      <c r="I1149" s="124" t="str">
        <f>_xlfn.CONCAT(_xlfn.XLOOKUP("[S05_ImprovementReportArt69]["&amp;ROW(B1149)-ROW($B$1143)&amp;"][ImprovementReportSubmitted]",Submission!$O:$O,Submission!$H:$N,""))</f>
        <v>0</v>
      </c>
    </row>
    <row r="1150" spans="1:9" ht="27" customHeight="1" x14ac:dyDescent="0.3">
      <c r="A1150" s="12"/>
      <c r="C1150" s="47" t="str">
        <f>_xlfn.CONCAT(_xlfn.XLOOKUP("[S05_ImprovementReportArt69]["&amp;ROW(B1150)-ROW($B$1143)&amp;"][InstallationCategory]",Submission!$O:$O,Submission!$H:$N,""))</f>
        <v/>
      </c>
      <c r="D1150" s="274" t="str">
        <f>_xlfn.CONCAT(_xlfn.XLOOKUP("[S05_ImprovementReportArt69]["&amp;ROW(B1150)-ROW($B$1143)&amp;"][Annex1Activity]",Submission!$O:$O,Submission!$H:$N,""))</f>
        <v/>
      </c>
      <c r="E1150" s="364"/>
      <c r="F1150" s="258" t="str">
        <f>_xlfn.CONCAT(_xlfn.XLOOKUP("[S05_ImprovementReportArt69]["&amp;ROW(B1150)-ROW($B$1143)&amp;"][ImprovementReportType]",Submission!$O:$O,Submission!$H:$N,""))</f>
        <v/>
      </c>
      <c r="G1150" s="259"/>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74" t="str">
        <f>_xlfn.CONCAT(_xlfn.XLOOKUP("[S05_ImprovementReportArt69]["&amp;ROW(B1151)-ROW($B$1143)&amp;"][Annex1Activity]",Submission!$O:$O,Submission!$H:$N,""))</f>
        <v/>
      </c>
      <c r="E1151" s="364"/>
      <c r="F1151" s="258" t="str">
        <f>_xlfn.CONCAT(_xlfn.XLOOKUP("[S05_ImprovementReportArt69]["&amp;ROW(B1151)-ROW($B$1143)&amp;"][ImprovementReportType]",Submission!$O:$O,Submission!$H:$N,""))</f>
        <v/>
      </c>
      <c r="G1151" s="259"/>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74" t="str">
        <f>_xlfn.CONCAT(_xlfn.XLOOKUP("[S05_ImprovementReportArt69]["&amp;ROW(B1152)-ROW($B$1143)&amp;"][Annex1Activity]",Submission!$O:$O,Submission!$H:$N,""))</f>
        <v/>
      </c>
      <c r="E1152" s="364"/>
      <c r="F1152" s="258" t="str">
        <f>_xlfn.CONCAT(_xlfn.XLOOKUP("[S05_ImprovementReportArt69]["&amp;ROW(B1152)-ROW($B$1143)&amp;"][ImprovementReportType]",Submission!$O:$O,Submission!$H:$N,""))</f>
        <v/>
      </c>
      <c r="G1152" s="259"/>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No</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58" t="str">
        <f>_xlfn.CONCAT(_xlfn.XLOOKUP("[S05_ContinuousEmissionsMeasurementDetail][2][InstallationIDCO2]",Submission!$O:$O,Submission!$H:$N,""))</f>
        <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58" t="str">
        <f>_xlfn.CONCAT(_xlfn.XLOOKUP("[S05_ContinuousEmissionsMeasurementDetail][3][InstallationIDCO2]",Submission!$O:$O,Submission!$H:$N,""))</f>
        <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v>
      </c>
      <c r="F1389" s="126" t="str">
        <f>_xlfn.CONCAT(_xlfn.XLOOKUP("[S05_BiomassInstallations][1][EmissionsBiomassSustainabilitySatisfied]",Submission!$O:$O,Submission!$H:$N,""))</f>
        <v>172341.416</v>
      </c>
      <c r="G1389" s="126" t="str">
        <f>_xlfn.CONCAT(_xlfn.XLOOKUP("[S05_BiomassInstallations][1][EmissionsBiomassSustainabilityNotSatisfied]",Submission!$O:$O,Submission!$H:$N,""))</f>
        <v/>
      </c>
      <c r="H1389" s="126" t="str">
        <f>_xlfn.CONCAT(_xlfn.XLOOKUP("[S05_BiomassInstallations][1][EmissionsFossil]",Submission!$O:$O,Submission!$H:$N,""))</f>
        <v>9622.7</v>
      </c>
      <c r="I1389" s="126" t="str">
        <f>_xlfn.CONCAT(_xlfn.XLOOKUP("[S05_BiomassInstallations][1][EnergyZeroRatedBiomass]",Submission!$O:$O,Submission!$H:$N,""))</f>
        <v/>
      </c>
      <c r="J1389" s="126" t="str">
        <f>_xlfn.CONCAT(_xlfn.XLOOKUP("[S05_BiomassInstallations][1][EnergyNonZeroRatedBiomass]",Submission!$O:$O,Submission!$H:$N,""))</f>
        <v/>
      </c>
      <c r="K1389" s="126" t="str">
        <f>_xlfn.CONCAT(_xlfn.XLOOKUP("[S05_BiomassInstallations][1][EnergyFossil]",Submission!$O:$O,Submission!$H:$N,""))</f>
        <v>112</v>
      </c>
    </row>
    <row r="1390" spans="1:11" ht="44.4" customHeight="1" x14ac:dyDescent="0.3">
      <c r="A1390" s="12"/>
      <c r="C1390" s="125" t="str">
        <f>_xlfn.CONCAT(_xlfn.XLOOKUP("[S05_BiomassInstallations][2][Annex1Activity]",Submission!$O:$O,Submission!$H:$N,""))</f>
        <v/>
      </c>
      <c r="D1390" s="128" t="str">
        <f>_xlfn.CONCAT(_xlfn.XLOOKUP("[S05_BiomassInstallations][2][BiomassInstallationCategory]",Submission!$O:$O,Submission!$H:$N,""))</f>
        <v/>
      </c>
      <c r="E1390" s="126" t="str">
        <f>_xlfn.CONCAT(_xlfn.XLOOKUP("[S05_BiomassInstallations][2][NumberUsingBiomass]",Submission!$O:$O,Submission!$H:$N,""))</f>
        <v/>
      </c>
      <c r="F1390" s="126" t="str">
        <f>_xlfn.CONCAT(_xlfn.XLOOKUP("[S05_BiomassInstallations][2][EmissionsBiomassSustainabilitySatisfied]",Submission!$O:$O,Submission!$H:$N,""))</f>
        <v/>
      </c>
      <c r="G1390" s="126" t="str">
        <f>_xlfn.CONCAT(_xlfn.XLOOKUP("[S05_BiomassInstallations][2][EmissionsBiomassSustainabilityNotSatisfied]",Submission!$O:$O,Submission!$H:$N,""))</f>
        <v/>
      </c>
      <c r="H1390" s="126" t="str">
        <f>_xlfn.CONCAT(_xlfn.XLOOKUP("[S05_BiomassInstallations][2][EmissionsFossil]",Submission!$O:$O,Submission!$H:$N,""))</f>
        <v/>
      </c>
      <c r="I1390" s="126" t="str">
        <f>_xlfn.CONCAT(_xlfn.XLOOKUP("[S05_BiomassInstallations][2][EnergyZeroRatedBiomass]",Submission!$O:$O,Submission!$H:$N,""))</f>
        <v/>
      </c>
      <c r="J1390" s="126" t="str">
        <f>_xlfn.CONCAT(_xlfn.XLOOKUP("[S05_BiomassInstallations][2][EnergyNonZeroRatedBiomass]",Submission!$O:$O,Submission!$H:$N,""))</f>
        <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
      </c>
      <c r="D1391" s="128" t="str">
        <f>_xlfn.CONCAT(_xlfn.XLOOKUP("[S05_BiomassInstallations][3][BiomassInstallationCategory]",Submission!$O:$O,Submission!$H:$N,""))</f>
        <v/>
      </c>
      <c r="E1391" s="126" t="str">
        <f>_xlfn.CONCAT(_xlfn.XLOOKUP("[S05_BiomassInstallations][3][NumberUsingBiomass]",Submission!$O:$O,Submission!$H:$N,""))</f>
        <v/>
      </c>
      <c r="F1391" s="126" t="str">
        <f>_xlfn.CONCAT(_xlfn.XLOOKUP("[S05_BiomassInstallations][3][EmissionsBiomassSustainabilitySatisfied]",Submission!$O:$O,Submission!$H:$N,""))</f>
        <v/>
      </c>
      <c r="G1391" s="126" t="str">
        <f>_xlfn.CONCAT(_xlfn.XLOOKUP("[S05_BiomassInstallations][3][EmissionsBiomassSustainabilityNotSatisfied]",Submission!$O:$O,Submission!$H:$N,""))</f>
        <v/>
      </c>
      <c r="H1391" s="126" t="str">
        <f>_xlfn.CONCAT(_xlfn.XLOOKUP("[S05_BiomassInstallations][3][EmissionsFossil]",Submission!$O:$O,Submission!$H:$N,""))</f>
        <v/>
      </c>
      <c r="I1391" s="126" t="str">
        <f>_xlfn.CONCAT(_xlfn.XLOOKUP("[S05_BiomassInstallations][3][EnergyZeroRatedBiomass]",Submission!$O:$O,Submission!$H:$N,""))</f>
        <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EC voluntary schemes</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172341</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
      </c>
      <c r="F1462" s="410"/>
      <c r="G1462" s="413" t="str">
        <f>_xlfn.CONCAT(_xlfn.XLOOKUP("[S05_AircraftMethodFuelConsumption][1][SmallEmittersShare]",Submission!$O:$O,Submission!$H:$N,""))</f>
        <v/>
      </c>
      <c r="H1462" s="413"/>
      <c r="I1462" s="413"/>
    </row>
    <row r="1463" spans="1:9" ht="15.9" customHeight="1" x14ac:dyDescent="0.3">
      <c r="A1463" s="13"/>
      <c r="C1463" s="383" t="s">
        <v>948</v>
      </c>
      <c r="D1463" s="383"/>
      <c r="E1463" s="410" t="str">
        <f>_xlfn.CONCAT(_xlfn.XLOOKUP("[S05_AircraftMethodFuelConsumption][2][CountAircraftOperators]",Submission!$O:$O,Submission!$H:$N,""))</f>
        <v/>
      </c>
      <c r="F1463" s="410"/>
      <c r="G1463" s="413" t="str">
        <f>_xlfn.CONCAT(_xlfn.XLOOKUP("[S05_AircraftMethodFuelConsumption][2][SmallEmittersShare]",Submission!$O:$O,Submission!$H:$N,""))</f>
        <v/>
      </c>
      <c r="H1463" s="413"/>
      <c r="I1463" s="413"/>
    </row>
    <row r="1464" spans="1:9" ht="15.9" customHeight="1" x14ac:dyDescent="0.3">
      <c r="A1464" s="13"/>
      <c r="C1464" s="383" t="s">
        <v>949</v>
      </c>
      <c r="D1464" s="383"/>
      <c r="E1464" s="410" t="str">
        <f>_xlfn.CONCAT(_xlfn.XLOOKUP("[S05_AircraftMethodFuelConsumption][3][CountAircraftOperators]",Submission!$O:$O,Submission!$H:$N,""))</f>
        <v/>
      </c>
      <c r="F1464" s="410"/>
      <c r="G1464" s="413" t="str">
        <f>_xlfn.CONCAT(_xlfn.XLOOKUP("[S05_AircraftMethodFuelConsumption][3][SmallEmittersShare]",Submission!$O:$O,Submission!$H:$N,""))</f>
        <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
      </c>
      <c r="H1472" s="379"/>
      <c r="I1472" s="379"/>
    </row>
    <row r="1473" spans="1:10" ht="28.95" customHeight="1" x14ac:dyDescent="0.3">
      <c r="C1473" s="382" t="s">
        <v>957</v>
      </c>
      <c r="D1473" s="382"/>
      <c r="E1473" s="382"/>
      <c r="F1473" s="382"/>
      <c r="G1473" s="379" t="str">
        <f>_xlfn.CONCAT(_xlfn.XLOOKUP("[S05_TotalFlightEmissions][2][TotalFlightEmissions]",Submission!$O:$O,Submission!$H:$N,""))</f>
        <v/>
      </c>
      <c r="H1473" s="379"/>
      <c r="I1473" s="379"/>
    </row>
    <row r="1474" spans="1:10" ht="28.95" customHeight="1" x14ac:dyDescent="0.3">
      <c r="C1474" s="382" t="s">
        <v>958</v>
      </c>
      <c r="D1474" s="382"/>
      <c r="E1474" s="382"/>
      <c r="F1474" s="382"/>
      <c r="G1474" s="379" t="str">
        <f>_xlfn.CONCAT(_xlfn.XLOOKUP("[S05_TotalFlightEmissions][3][TotalFlightEmissions]",Submission!$O:$O,Submission!$H:$N,""))</f>
        <v/>
      </c>
      <c r="H1474" s="379"/>
      <c r="I1474" s="379"/>
    </row>
    <row r="1475" spans="1:10" ht="28.95" customHeight="1" x14ac:dyDescent="0.3">
      <c r="C1475" s="382" t="s">
        <v>959</v>
      </c>
      <c r="D1475" s="382"/>
      <c r="E1475" s="382"/>
      <c r="F1475" s="382"/>
      <c r="G1475" s="379" t="str">
        <f>_xlfn.CONCAT(_xlfn.XLOOKUP("[S05_TotalFlightEmissions][4][TotalFlightEmissions]",Submission!$O:$O,Submission!$H:$N,""))</f>
        <v/>
      </c>
      <c r="H1475" s="379"/>
      <c r="I1475" s="379"/>
    </row>
    <row r="1476" spans="1:10" ht="28.95" customHeight="1" x14ac:dyDescent="0.3">
      <c r="C1476" s="382" t="s">
        <v>960</v>
      </c>
      <c r="D1476" s="382"/>
      <c r="E1476" s="382"/>
      <c r="F1476" s="382"/>
      <c r="G1476" s="379" t="str">
        <f>_xlfn.CONCAT(_xlfn.XLOOKUP("[S05_TotalFlightEmissions][5][TotalFlightEmissions]",Submission!$O:$O,Submission!$H:$N,""))</f>
        <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
      </c>
      <c r="D1486" s="406"/>
      <c r="E1486" s="407" t="str">
        <f>_xlfn.CONCAT(_xlfn.XLOOKUP("[EmissionsBiofuelsSustainabilitySatisfied][0][EmissionsBiofuelsSustainabilitySatisfied]",Submission!$O:$O,Submission!$H:$N,""))</f>
        <v/>
      </c>
      <c r="F1486" s="407"/>
      <c r="G1486" s="408" t="str">
        <f>_xlfn.CONCAT(_xlfn.XLOOKUP("[EmissionsBiofuelsSustainabilityNotSatisfied][0][EmissionsBiofuelsSustainabilityNotSatisfied]",Submission!$O:$O,Submission!$H:$N,""))</f>
        <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0</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2</v>
      </c>
      <c r="G10" s="72" t="str">
        <f>_xlfn.CONCAT(_xlfn.XLOOKUP("[S06_TotalVerifiers][3][MSVerifiersInstallations]",Submission!$O:$O,Submission!$H:$N,""))</f>
        <v/>
      </c>
      <c r="H10" s="105" t="str">
        <f>_xlfn.CONCAT(_xlfn.XLOOKUP("[S06_TotalVerifiers][3][CountVerifiersAviation]",Submission!$O:$O,Submission!$H:$N,""))</f>
        <v>0</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2</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0</v>
      </c>
      <c r="I17" s="132" t="str">
        <f>_xlfn.CONCAT(_xlfn.XLOOKUP("[S06_AccredCertVerifiersAnnexI][1][NumberCertified]",Submission!$O:$O,Submission!$H:$N,""))</f>
        <v>0</v>
      </c>
    </row>
    <row r="18" spans="2:9" ht="27.6" customHeight="1" x14ac:dyDescent="0.3">
      <c r="B18" s="20"/>
      <c r="C18" s="419" t="str">
        <f>_xlfn.CONCAT(_xlfn.XLOOKUP("[S06_AccredCertVerifiersAnnexI][2][AccredCertScope]",Submission!$O:$O,Submission!$H:$N,""))</f>
        <v>1b - Combustion of fuels in installations, without restrictions</v>
      </c>
      <c r="D18" s="420"/>
      <c r="E18" s="420"/>
      <c r="F18" s="420"/>
      <c r="G18" s="421"/>
      <c r="H18" s="132" t="str">
        <f>_xlfn.CONCAT(_xlfn.XLOOKUP("[S06_AccredCertVerifiersAnnexI][2][NumberAccredited]",Submission!$O:$O,Submission!$H:$N,""))</f>
        <v>0</v>
      </c>
      <c r="I18" s="132" t="str">
        <f>_xlfn.CONCAT(_xlfn.XLOOKUP("[S06_AccredCertVerifiersAnnexI][2][NumberCertified]",Submission!$O:$O,Submission!$H:$N,""))</f>
        <v>0</v>
      </c>
    </row>
    <row r="19" spans="2:9" ht="27.6" customHeight="1" x14ac:dyDescent="0.3">
      <c r="B19" s="20"/>
      <c r="C19" s="419" t="str">
        <f>_xlfn.CONCAT(_xlfn.XLOOKUP("[S06_AccredCertVerifiersAnnexI][3][AccredCertScope]",Submission!$O:$O,Submission!$H:$N,""))</f>
        <v/>
      </c>
      <c r="D19" s="420"/>
      <c r="E19" s="420"/>
      <c r="F19" s="420"/>
      <c r="G19" s="421"/>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9" t="str">
        <f>_xlfn.CONCAT(_xlfn.XLOOKUP("[S06_AccredCertVerifiersAnnexI][4][AccredCertScope]",Submission!$O:$O,Submission!$H:$N,""))</f>
        <v/>
      </c>
      <c r="D20" s="420"/>
      <c r="E20" s="420"/>
      <c r="F20" s="420"/>
      <c r="G20" s="421"/>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9" t="str">
        <f>_xlfn.CONCAT(_xlfn.XLOOKUP("[S06_AccredCertVerifiersAnnexI][5][AccredCertScope]",Submission!$O:$O,Submission!$H:$N,""))</f>
        <v/>
      </c>
      <c r="D21" s="420"/>
      <c r="E21" s="420"/>
      <c r="F21" s="420"/>
      <c r="G21" s="421"/>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9" t="str">
        <f>_xlfn.CONCAT(_xlfn.XLOOKUP("[S06_AccredCertVerifiersAnnexI][6][AccredCertScope]",Submission!$O:$O,Submission!$H:$N,""))</f>
        <v/>
      </c>
      <c r="D22" s="420"/>
      <c r="E22" s="420"/>
      <c r="F22" s="420"/>
      <c r="G22" s="421"/>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9" t="str">
        <f>_xlfn.CONCAT(_xlfn.XLOOKUP("[S06_AccredCertVerifiersAnnexI][7][AccredCertScope]",Submission!$O:$O,Submission!$H:$N,""))</f>
        <v/>
      </c>
      <c r="D23" s="420"/>
      <c r="E23" s="420"/>
      <c r="F23" s="420"/>
      <c r="G23" s="421"/>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9" t="str">
        <f>_xlfn.CONCAT(_xlfn.XLOOKUP("[S06_AccredCertVerifiersAnnexI][8][AccredCertScope]",Submission!$O:$O,Submission!$H:$N,""))</f>
        <v/>
      </c>
      <c r="D24" s="420"/>
      <c r="E24" s="420"/>
      <c r="F24" s="420"/>
      <c r="G24" s="421"/>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9" t="str">
        <f>_xlfn.CONCAT(_xlfn.XLOOKUP("[S06_AccredCertVerifiersAnnexI][9][AccredCertScope]",Submission!$O:$O,Submission!$H:$N,""))</f>
        <v/>
      </c>
      <c r="D25" s="420"/>
      <c r="E25" s="420"/>
      <c r="F25" s="420"/>
      <c r="G25" s="421"/>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9" t="str">
        <f>_xlfn.CONCAT(_xlfn.XLOOKUP("[S06_AccredCertVerifiersAnnexI][10][AccredCertScope]",Submission!$O:$O,Submission!$H:$N,""))</f>
        <v/>
      </c>
      <c r="D26" s="420"/>
      <c r="E26" s="420"/>
      <c r="F26" s="420"/>
      <c r="G26" s="421"/>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9" t="str">
        <f>_xlfn.CONCAT(_xlfn.XLOOKUP("[S06_AccredCertVerifiersAnnexI][11][AccredCertScope]",Submission!$O:$O,Submission!$H:$N,""))</f>
        <v/>
      </c>
      <c r="D27" s="420"/>
      <c r="E27" s="420"/>
      <c r="F27" s="420"/>
      <c r="G27" s="421"/>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9" t="str">
        <f>_xlfn.CONCAT(_xlfn.XLOOKUP("[S06_AccredCertVerifiersAnnexI][12][AccredCertScope]",Submission!$O:$O,Submission!$H:$N,""))</f>
        <v/>
      </c>
      <c r="D28" s="420"/>
      <c r="E28" s="420"/>
      <c r="F28" s="420"/>
      <c r="G28" s="421"/>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9" t="str">
        <f>_xlfn.CONCAT(_xlfn.XLOOKUP("[S06_AccredCertVerifiersAnnexI][13][AccredCertScope]",Submission!$O:$O,Submission!$H:$N,""))</f>
        <v/>
      </c>
      <c r="D29" s="420"/>
      <c r="E29" s="420"/>
      <c r="F29" s="420"/>
      <c r="G29" s="421"/>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9" t="str">
        <f>_xlfn.CONCAT(_xlfn.XLOOKUP("[S06_AccredCertVerifiersAnnexI][14][AccredCertScope]",Submission!$O:$O,Submission!$H:$N,""))</f>
        <v/>
      </c>
      <c r="D30" s="420"/>
      <c r="E30" s="420"/>
      <c r="F30" s="420"/>
      <c r="G30" s="421"/>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9" t="str">
        <f>_xlfn.CONCAT(_xlfn.XLOOKUP("[S06_AccredCertVerifiersAnnexI][15][AccredCertScope]",Submission!$O:$O,Submission!$H:$N,""))</f>
        <v/>
      </c>
      <c r="D31" s="420"/>
      <c r="E31" s="420"/>
      <c r="F31" s="420"/>
      <c r="G31" s="421"/>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9" t="str">
        <f>_xlfn.CONCAT(_xlfn.XLOOKUP("[S06_AccredCertVerifiersAnnexI][16][AccredCertScope]",Submission!$O:$O,Submission!$H:$N,""))</f>
        <v/>
      </c>
      <c r="D32" s="420"/>
      <c r="E32" s="420"/>
      <c r="F32" s="420"/>
      <c r="G32" s="421"/>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9" t="str">
        <f>_xlfn.CONCAT(_xlfn.XLOOKUP("[S06_AccredCertVerifiersAnnexI][17][AccredCertScope]",Submission!$O:$O,Submission!$H:$N,""))</f>
        <v/>
      </c>
      <c r="D33" s="420"/>
      <c r="E33" s="420"/>
      <c r="F33" s="420"/>
      <c r="G33" s="421"/>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9" t="str">
        <f>_xlfn.CONCAT(_xlfn.XLOOKUP("[S06_AccredCertVerifiersAnnexI][18][AccredCertScope]",Submission!$O:$O,Submission!$H:$N,""))</f>
        <v/>
      </c>
      <c r="D34" s="420"/>
      <c r="E34" s="420"/>
      <c r="F34" s="420"/>
      <c r="G34" s="421"/>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9" t="str">
        <f>_xlfn.CONCAT(_xlfn.XLOOKUP("[S06_AccredCertVerifiersAnnexI][19][AccredCertScope]",Submission!$O:$O,Submission!$H:$N,""))</f>
        <v/>
      </c>
      <c r="D35" s="420"/>
      <c r="E35" s="420"/>
      <c r="F35" s="420"/>
      <c r="G35" s="421"/>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9" t="str">
        <f>_xlfn.CONCAT(_xlfn.XLOOKUP("[S06_AccredCertVerifiersAnnexI][20][AccredCertScope]",Submission!$O:$O,Submission!$H:$N,""))</f>
        <v/>
      </c>
      <c r="D36" s="420"/>
      <c r="E36" s="420"/>
      <c r="F36" s="420"/>
      <c r="G36" s="421"/>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
      </c>
      <c r="D37" s="420"/>
      <c r="E37" s="420"/>
      <c r="F37" s="420"/>
      <c r="G37" s="421"/>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
      </c>
      <c r="D38" s="420"/>
      <c r="E38" s="420"/>
      <c r="F38" s="420"/>
      <c r="G38" s="421"/>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
      </c>
      <c r="D39" s="420"/>
      <c r="E39" s="420"/>
      <c r="F39" s="420"/>
      <c r="G39" s="421"/>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No</v>
      </c>
      <c r="H56" s="260"/>
      <c r="I56" s="47" t="str">
        <f>_xlfn.CONCAT(_xlfn.XLOOKUP("[S06_ApplicationInformationExchangeRequirements1][1][FromOtherMS]",Submission!$O:$O,Submission!$H:$N,""))</f>
        <v>Yes</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No</v>
      </c>
      <c r="H58" s="260"/>
      <c r="I58" s="47" t="str">
        <f>_xlfn.CONCAT(_xlfn.XLOOKUP("[S06_ApplicationInformationExchangeRequirements1][2][FromOtherMS]",Submission!$O:$O,Submission!$H:$N,""))</f>
        <v>Yes</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
      </c>
      <c r="H60" s="260"/>
      <c r="I60" s="47" t="str">
        <f>_xlfn.CONCAT(_xlfn.XLOOKUP("[S06_ApplicationInformationExchangeRequirements1][3][FromOtherMS]",Submission!$O:$O,Submission!$H:$N,""))</f>
        <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0</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20 - Combustion of fuels as specified in Annex I of Directive 2003/87/EC</v>
      </c>
      <c r="D133" s="364"/>
      <c r="E133" s="274" t="str">
        <f>_xlfn.CONCAT(_xlfn.XLOOKUP("[S06_InstallationsVerificationReportsIssueDetail]["&amp;1&amp;"][TypeOfIssue]",Submission!$O:$O,Submission!$H:$N,""))</f>
        <v>Non-conformities not leading to a negative verification opinion statement</v>
      </c>
      <c r="F133" s="364"/>
      <c r="G133" s="105" t="str">
        <f>_xlfn.CONCAT(_xlfn.XLOOKUP("[S06_InstallationsVerificationReportsIssueDetail]["&amp;1&amp;"][NumberOfInstallations]",Submission!$O:$O,Submission!$H:$N,""))</f>
        <v>2</v>
      </c>
      <c r="H133" s="108" t="str">
        <f>_xlfn.CONCAT(_xlfn.XLOOKUP("[S06_InstallationsVerificationReportsIssueDetail]["&amp;1&amp;"][NumberOfIssues]",Submission!$O:$O,Submission!$H:$N,""))</f>
        <v>2</v>
      </c>
      <c r="I133" s="189" t="str">
        <f>_xlfn.CONCAT(_xlfn.XLOOKUP("[S06_InstallationsVerificationReportsIssueDetail]["&amp;1&amp;"][ShareOfReportsConservativeEstimate]",Submission!$O:$O,Submission!$H:$N,""))</f>
        <v/>
      </c>
    </row>
    <row r="134" spans="1:9" ht="26.4" customHeight="1" x14ac:dyDescent="0.3">
      <c r="A134" s="13"/>
      <c r="C134" s="274" t="str">
        <f>_xlfn.CONCAT(_xlfn.XLOOKUP("[S06_InstallationsVerificationReportsIssueDetail]["&amp;1+ROW(B134)-ROW($B$133)&amp;"][AnnexIActivity]",Submission!$O:$O,Submission!$H:$N,""))</f>
        <v>20 - Combustion of fuels as specified in Annex I of Directive 2003/87/EC</v>
      </c>
      <c r="D134" s="364"/>
      <c r="E134" s="274" t="str">
        <f>_xlfn.CONCAT(_xlfn.XLOOKUP("[S06_InstallationsVerificationReportsIssueDetail]["&amp;1+ROW(B134)-ROW($B$133)&amp;"][TypeOfIssue]",Submission!$O:$O,Submission!$H:$N,""))</f>
        <v>Recommendations for improvement</v>
      </c>
      <c r="F134" s="364"/>
      <c r="G134" s="105" t="str">
        <f>_xlfn.CONCAT(_xlfn.XLOOKUP("[S06_InstallationsVerificationReportsIssueDetail]["&amp;1+ROW(B134)-ROW($B$133)&amp;"][NumberOfInstallations]",Submission!$O:$O,Submission!$H:$N,""))</f>
        <v>2</v>
      </c>
      <c r="H134" s="108" t="str">
        <f>_xlfn.CONCAT(_xlfn.XLOOKUP("[S06_InstallationsVerificationReportsIssueDetail]["&amp;1+ROW(B134)-ROW($B$133)&amp;"][NumberOfIssues]",Submission!$O:$O,Submission!$H:$N,""))</f>
        <v>7</v>
      </c>
      <c r="I134" s="189" t="str">
        <f>_xlfn.CONCAT(_xlfn.XLOOKUP("[S06_InstallationsVerificationReportsIssueDetail]["&amp;1+ROW(B134)-ROW($B$133)&amp;"][ShareOfReportsConservativeEstimate]",Submission!$O:$O,Submission!$H:$N,""))</f>
        <v/>
      </c>
    </row>
    <row r="135" spans="1:9" ht="26.4" customHeight="1" x14ac:dyDescent="0.3">
      <c r="A135" s="13"/>
      <c r="C135" s="274" t="str">
        <f>_xlfn.CONCAT(_xlfn.XLOOKUP("[S06_InstallationsVerificationReportsIssueDetail]["&amp;1+ROW(B135)-ROW($B$133)&amp;"][AnnexIActivity]",Submission!$O:$O,Submission!$H:$N,""))</f>
        <v/>
      </c>
      <c r="D135" s="364"/>
      <c r="E135" s="274" t="str">
        <f>_xlfn.CONCAT(_xlfn.XLOOKUP("[S06_InstallationsVerificationReportsIssueDetail]["&amp;1+ROW(B135)-ROW($B$133)&amp;"][TypeOfIssue]",Submission!$O:$O,Submission!$H:$N,""))</f>
        <v/>
      </c>
      <c r="F135" s="364"/>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9" t="str">
        <f>_xlfn.CONCAT(_xlfn.XLOOKUP("[S06_InstallationsVerificationReportsIssueDetail]["&amp;1+ROW(B135)-ROW($B$133)&amp;"][ShareOfReportsConservativeEstimate]",Submission!$O:$O,Submission!$H:$N,""))</f>
        <v/>
      </c>
    </row>
    <row r="136" spans="1:9" ht="26.4" customHeight="1" x14ac:dyDescent="0.3">
      <c r="A136" s="13"/>
      <c r="C136" s="274" t="str">
        <f>_xlfn.CONCAT(_xlfn.XLOOKUP("[S06_InstallationsVerificationReportsIssueDetail]["&amp;1+ROW(B136)-ROW($B$133)&amp;"][AnnexIActivity]",Submission!$O:$O,Submission!$H:$N,""))</f>
        <v/>
      </c>
      <c r="D136" s="364"/>
      <c r="E136" s="274" t="str">
        <f>_xlfn.CONCAT(_xlfn.XLOOKUP("[S06_InstallationsVerificationReportsIssueDetail]["&amp;1+ROW(B136)-ROW($B$133)&amp;"][TypeOfIssue]",Submission!$O:$O,Submission!$H:$N,""))</f>
        <v/>
      </c>
      <c r="F136" s="364"/>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9" t="str">
        <f>_xlfn.CONCAT(_xlfn.XLOOKUP("[S06_InstallationsVerificationReportsIssueDetail]["&amp;1+ROW(B136)-ROW($B$133)&amp;"][ShareOfReportsConservativeEstimate]",Submission!$O:$O,Submission!$H:$N,""))</f>
        <v/>
      </c>
    </row>
    <row r="137" spans="1:9" ht="26.4" customHeight="1" x14ac:dyDescent="0.3">
      <c r="A137" s="13"/>
      <c r="C137" s="274" t="str">
        <f>_xlfn.CONCAT(_xlfn.XLOOKUP("[S06_InstallationsVerificationReportsIssueDetail]["&amp;1+ROW(B137)-ROW($B$133)&amp;"][AnnexIActivity]",Submission!$O:$O,Submission!$H:$N,""))</f>
        <v/>
      </c>
      <c r="D137" s="364"/>
      <c r="E137" s="274" t="str">
        <f>_xlfn.CONCAT(_xlfn.XLOOKUP("[S06_InstallationsVerificationReportsIssueDetail]["&amp;1+ROW(B137)-ROW($B$133)&amp;"][TypeOfIssue]",Submission!$O:$O,Submission!$H:$N,""))</f>
        <v/>
      </c>
      <c r="F137" s="364"/>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9" t="str">
        <f>_xlfn.CONCAT(_xlfn.XLOOKUP("[S06_InstallationsVerificationReportsIssueDetail]["&amp;1+ROW(B137)-ROW($B$133)&amp;"][ShareOfReportsConservativeEstimate]",Submission!$O:$O,Submission!$H:$N,""))</f>
        <v/>
      </c>
    </row>
    <row r="138" spans="1:9" ht="26.4" customHeight="1" x14ac:dyDescent="0.3">
      <c r="A138" s="13"/>
      <c r="C138" s="274" t="str">
        <f>_xlfn.CONCAT(_xlfn.XLOOKUP("[S06_InstallationsVerificationReportsIssueDetail]["&amp;1+ROW(B138)-ROW($B$133)&amp;"][AnnexIActivity]",Submission!$O:$O,Submission!$H:$N,""))</f>
        <v/>
      </c>
      <c r="D138" s="364"/>
      <c r="E138" s="274" t="str">
        <f>_xlfn.CONCAT(_xlfn.XLOOKUP("[S06_InstallationsVerificationReportsIssueDetail]["&amp;1+ROW(B138)-ROW($B$133)&amp;"][TypeOfIssue]",Submission!$O:$O,Submission!$H:$N,""))</f>
        <v/>
      </c>
      <c r="F138" s="364"/>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9" t="str">
        <f>_xlfn.CONCAT(_xlfn.XLOOKUP("[S06_InstallationsVerificationReportsIssueDetail]["&amp;1+ROW(B138)-ROW($B$133)&amp;"][ShareOfReportsConservativeEstimate]",Submission!$O:$O,Submission!$H:$N,""))</f>
        <v/>
      </c>
    </row>
    <row r="139" spans="1:9" ht="26.4" customHeight="1" x14ac:dyDescent="0.3">
      <c r="A139" s="13"/>
      <c r="C139" s="274" t="str">
        <f>_xlfn.CONCAT(_xlfn.XLOOKUP("[S06_InstallationsVerificationReportsIssueDetail]["&amp;1+ROW(B139)-ROW($B$133)&amp;"][AnnexIActivity]",Submission!$O:$O,Submission!$H:$N,""))</f>
        <v/>
      </c>
      <c r="D139" s="364"/>
      <c r="E139" s="274" t="str">
        <f>_xlfn.CONCAT(_xlfn.XLOOKUP("[S06_InstallationsVerificationReportsIssueDetail]["&amp;1+ROW(B139)-ROW($B$133)&amp;"][TypeOfIssue]",Submission!$O:$O,Submission!$H:$N,""))</f>
        <v/>
      </c>
      <c r="F139" s="364"/>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
      </c>
      <c r="D140" s="364"/>
      <c r="E140" s="274" t="str">
        <f>_xlfn.CONCAT(_xlfn.XLOOKUP("[S06_InstallationsVerificationReportsIssueDetail]["&amp;1+ROW(B140)-ROW($B$133)&amp;"][TypeOfIssue]",Submission!$O:$O,Submission!$H:$N,""))</f>
        <v/>
      </c>
      <c r="F140" s="364"/>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c>
      <c r="D141" s="364"/>
      <c r="E141" s="274" t="str">
        <f>_xlfn.CONCAT(_xlfn.XLOOKUP("[S06_InstallationsVerificationReportsIssueDetail]["&amp;1+ROW(B141)-ROW($B$133)&amp;"][TypeOfIssue]",Submission!$O:$O,Submission!$H:$N,""))</f>
        <v/>
      </c>
      <c r="F141" s="364"/>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c>
      <c r="D142" s="364"/>
      <c r="E142" s="274" t="str">
        <f>_xlfn.CONCAT(_xlfn.XLOOKUP("[S06_InstallationsVerificationReportsIssueDetail]["&amp;1+ROW(B142)-ROW($B$133)&amp;"][TypeOfIssue]",Submission!$O:$O,Submission!$H:$N,""))</f>
        <v/>
      </c>
      <c r="F142" s="364"/>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
      </c>
      <c r="D143" s="364"/>
      <c r="E143" s="274" t="str">
        <f>_xlfn.CONCAT(_xlfn.XLOOKUP("[S06_InstallationsVerificationReportsIssueDetail]["&amp;1+ROW(B143)-ROW($B$133)&amp;"][TypeOfIssue]",Submission!$O:$O,Submission!$H:$N,""))</f>
        <v/>
      </c>
      <c r="F143" s="364"/>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n/a</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n/a</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0</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
      </c>
      <c r="H354" s="255" t="str">
        <f>_xlfn.CONCAT(_xlfn.XLOOKUP("[S06_AircraftOperatorsVerificationEmissionReportChecks1][3][FurtherInformation]",Submission!$O:$O,Submission!$H:$N,""))</f>
        <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