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C1F09487-F254-416E-86B2-112A1D8BF118}"/>
  <bookViews>
    <workbookView xWindow="-108" yWindow="-108" windowWidth="23256" windowHeight="12576" tabRatio="776"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039" i="43" l="1"/>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E11" i="29" s="1"/>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K4927" i="40" s="1"/>
  <c r="G1309" i="10"/>
  <c r="F1308" i="10"/>
  <c r="E1307" i="10"/>
  <c r="D1306" i="10"/>
  <c r="G4535" i="40" s="1"/>
  <c r="C1305" i="10"/>
  <c r="K4437" i="40" s="1"/>
  <c r="I1303" i="10"/>
  <c r="G5017" i="40" s="1"/>
  <c r="H1302" i="10"/>
  <c r="G1301" i="10"/>
  <c r="F1300" i="10"/>
  <c r="E1299" i="10"/>
  <c r="D1298" i="10"/>
  <c r="G4527" i="40" s="1"/>
  <c r="C1297" i="10"/>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G5026" i="40" s="1"/>
  <c r="H1311" i="10"/>
  <c r="K4928" i="40" s="1"/>
  <c r="G1310" i="10"/>
  <c r="I4830" i="40" s="1"/>
  <c r="F1309" i="10"/>
  <c r="I4732" i="40" s="1"/>
  <c r="E1308" i="10"/>
  <c r="G4634" i="40" s="1"/>
  <c r="D1307" i="10"/>
  <c r="C1306" i="10"/>
  <c r="K4438" i="40" s="1"/>
  <c r="I1304" i="10"/>
  <c r="H1303" i="10"/>
  <c r="G1302" i="10"/>
  <c r="I4822" i="40" s="1"/>
  <c r="F1301" i="10"/>
  <c r="I4724" i="40" s="1"/>
  <c r="E1300" i="10"/>
  <c r="G4626" i="40" s="1"/>
  <c r="D1299" i="10"/>
  <c r="G4528" i="40" s="1"/>
  <c r="C1298" i="10"/>
  <c r="I1296" i="10"/>
  <c r="G5010" i="40" s="1"/>
  <c r="H1295" i="10"/>
  <c r="G1294" i="10"/>
  <c r="F1293" i="10"/>
  <c r="E1292" i="10"/>
  <c r="G4618" i="40" s="1"/>
  <c r="D1291" i="10"/>
  <c r="G4520" i="40" s="1"/>
  <c r="C1290" i="10"/>
  <c r="K4422" i="40" s="1"/>
  <c r="I1288" i="10"/>
  <c r="H1287" i="10"/>
  <c r="K4904" i="40" s="1"/>
  <c r="G1286" i="10"/>
  <c r="F1285" i="10"/>
  <c r="E1284" i="10"/>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G1311" i="10"/>
  <c r="F1310" i="10"/>
  <c r="I4733" i="40" s="1"/>
  <c r="E1309" i="10"/>
  <c r="G4635" i="40" s="1"/>
  <c r="D1308" i="10"/>
  <c r="G4537" i="40" s="1"/>
  <c r="C1307" i="10"/>
  <c r="I1305" i="10"/>
  <c r="G5019" i="40" s="1"/>
  <c r="H1304" i="10"/>
  <c r="G1303" i="10"/>
  <c r="F1302" i="10"/>
  <c r="I4725" i="40" s="1"/>
  <c r="E1301" i="10"/>
  <c r="G4627" i="40" s="1"/>
  <c r="D1300" i="10"/>
  <c r="G4529" i="40" s="1"/>
  <c r="C1299" i="10"/>
  <c r="K4431" i="40" s="1"/>
  <c r="I1297" i="10"/>
  <c r="H1296" i="10"/>
  <c r="K4913" i="40" s="1"/>
  <c r="G1295" i="10"/>
  <c r="F1294" i="10"/>
  <c r="I4717" i="40" s="1"/>
  <c r="E1293" i="10"/>
  <c r="D1292" i="10"/>
  <c r="C1291" i="10"/>
  <c r="K4423" i="40" s="1"/>
  <c r="I1289" i="10"/>
  <c r="G5003" i="40" s="1"/>
  <c r="H1288" i="10"/>
  <c r="G1287" i="10"/>
  <c r="F1286" i="10"/>
  <c r="E1285" i="10"/>
  <c r="G4611" i="40" s="1"/>
  <c r="D1284" i="10"/>
  <c r="G4513" i="40" s="1"/>
  <c r="C1283" i="10"/>
  <c r="I1281" i="10"/>
  <c r="G4995" i="40" s="1"/>
  <c r="H1280" i="10"/>
  <c r="K4897" i="40" s="1"/>
  <c r="G1279" i="10"/>
  <c r="I4799" i="40" s="1"/>
  <c r="F1278" i="10"/>
  <c r="I4701" i="40" s="1"/>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K4930" i="40" s="1"/>
  <c r="G1312" i="10"/>
  <c r="I4832" i="40" s="1"/>
  <c r="F1311" i="10"/>
  <c r="I4734" i="40" s="1"/>
  <c r="E1310" i="10"/>
  <c r="G4636" i="40" s="1"/>
  <c r="D1309" i="10"/>
  <c r="C1308" i="10"/>
  <c r="K4440" i="40" s="1"/>
  <c r="I1306" i="10"/>
  <c r="H1305" i="10"/>
  <c r="G1304" i="10"/>
  <c r="F1303" i="10"/>
  <c r="I4726" i="40" s="1"/>
  <c r="E1302" i="10"/>
  <c r="G4628" i="40" s="1"/>
  <c r="D1301" i="10"/>
  <c r="G4530" i="40" s="1"/>
  <c r="C1300" i="10"/>
  <c r="I1298" i="10"/>
  <c r="G5012" i="40" s="1"/>
  <c r="H1297" i="10"/>
  <c r="G1296" i="10"/>
  <c r="I4816" i="40" s="1"/>
  <c r="F1295" i="10"/>
  <c r="I4718" i="40" s="1"/>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G4539" i="40" s="1"/>
  <c r="C1309" i="10"/>
  <c r="K4441" i="40" s="1"/>
  <c r="I1307" i="10"/>
  <c r="G5021" i="40" s="1"/>
  <c r="H1306" i="10"/>
  <c r="K4923" i="40" s="1"/>
  <c r="G1305" i="10"/>
  <c r="I4825" i="40" s="1"/>
  <c r="F1304" i="10"/>
  <c r="I4727" i="40" s="1"/>
  <c r="E1303" i="10"/>
  <c r="G4629" i="40" s="1"/>
  <c r="D1302" i="10"/>
  <c r="C1301" i="10"/>
  <c r="K4433" i="40" s="1"/>
  <c r="I1299" i="10"/>
  <c r="G5013" i="40" s="1"/>
  <c r="H1298" i="10"/>
  <c r="K4915" i="40" s="1"/>
  <c r="G1297" i="10"/>
  <c r="I4817" i="40" s="1"/>
  <c r="F1296" i="10"/>
  <c r="I4719" i="40" s="1"/>
  <c r="E1295" i="10"/>
  <c r="D1294" i="10"/>
  <c r="G4523" i="40" s="1"/>
  <c r="C1293" i="10"/>
  <c r="I1291" i="10"/>
  <c r="H1290" i="10"/>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I1308" i="10"/>
  <c r="G5022" i="40" s="1"/>
  <c r="H1307" i="10"/>
  <c r="K4924" i="40" s="1"/>
  <c r="G1306" i="10"/>
  <c r="I4826" i="40" s="1"/>
  <c r="F1305" i="10"/>
  <c r="I4728" i="40" s="1"/>
  <c r="E1304" i="10"/>
  <c r="G4630" i="40" s="1"/>
  <c r="D1303" i="10"/>
  <c r="G4532" i="40" s="1"/>
  <c r="C1302" i="10"/>
  <c r="K4434" i="40" s="1"/>
  <c r="I1300" i="10"/>
  <c r="H1299" i="10"/>
  <c r="K4916" i="40" s="1"/>
  <c r="G1298" i="10"/>
  <c r="I4818" i="40" s="1"/>
  <c r="F1297" i="10"/>
  <c r="I4720" i="40" s="1"/>
  <c r="E1296" i="10"/>
  <c r="G4622" i="40" s="1"/>
  <c r="D1295" i="10"/>
  <c r="G4524" i="40" s="1"/>
  <c r="C1294" i="10"/>
  <c r="I1292" i="10"/>
  <c r="G5006" i="40" s="1"/>
  <c r="H1291" i="10"/>
  <c r="G1290" i="10"/>
  <c r="F1289" i="10"/>
  <c r="I4712" i="40" s="1"/>
  <c r="E1288" i="10"/>
  <c r="G4614" i="40" s="1"/>
  <c r="D1287" i="10"/>
  <c r="G4516" i="40" s="1"/>
  <c r="C1286" i="10"/>
  <c r="K4418" i="40" s="1"/>
  <c r="I1284" i="10"/>
  <c r="G4998" i="40" s="1"/>
  <c r="H1283" i="10"/>
  <c r="K4900" i="40" s="1"/>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H1308" i="10"/>
  <c r="K4925" i="40" s="1"/>
  <c r="G1307" i="10"/>
  <c r="I4827" i="40" s="1"/>
  <c r="F1306" i="10"/>
  <c r="I4729" i="40" s="1"/>
  <c r="E1305" i="10"/>
  <c r="G4631" i="40" s="1"/>
  <c r="D1304" i="10"/>
  <c r="G4533" i="40" s="1"/>
  <c r="C1303" i="10"/>
  <c r="K4435" i="40" s="1"/>
  <c r="I1301" i="10"/>
  <c r="G5015" i="40" s="1"/>
  <c r="H1300" i="10"/>
  <c r="K4917" i="40" s="1"/>
  <c r="G1299" i="10"/>
  <c r="F1298" i="10"/>
  <c r="I4721" i="40" s="1"/>
  <c r="E1297" i="10"/>
  <c r="G4623" i="40" s="1"/>
  <c r="D1296" i="10"/>
  <c r="G4525" i="40" s="1"/>
  <c r="C1295" i="10"/>
  <c r="K4427" i="40" s="1"/>
  <c r="I1293" i="10"/>
  <c r="G5007" i="40" s="1"/>
  <c r="H1292" i="10"/>
  <c r="K4909" i="40" s="1"/>
  <c r="G1291" i="10"/>
  <c r="I4811" i="40" s="1"/>
  <c r="F1290" i="10"/>
  <c r="E1289" i="10"/>
  <c r="G4615" i="40" s="1"/>
  <c r="D1288" i="10"/>
  <c r="G4517" i="40" s="1"/>
  <c r="C1287" i="10"/>
  <c r="K4419" i="40" s="1"/>
  <c r="I1285" i="10"/>
  <c r="G4999" i="40" s="1"/>
  <c r="H1284" i="10"/>
  <c r="K4901" i="40" s="1"/>
  <c r="G1283" i="10"/>
  <c r="I4803" i="40" s="1"/>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C1289" i="10"/>
  <c r="K4421" i="40" s="1"/>
  <c r="H1285" i="10"/>
  <c r="K4902" i="40" s="1"/>
  <c r="I1282" i="10"/>
  <c r="E1280" i="10"/>
  <c r="G4606" i="40" s="1"/>
  <c r="H1278" i="10"/>
  <c r="K4895" i="40" s="1"/>
  <c r="E1277" i="10"/>
  <c r="D1276" i="10"/>
  <c r="G4505" i="40" s="1"/>
  <c r="C1275" i="10"/>
  <c r="I1273" i="10"/>
  <c r="H1272" i="10"/>
  <c r="K4889" i="40" s="1"/>
  <c r="G1271" i="10"/>
  <c r="F1270" i="10"/>
  <c r="I4693" i="40" s="1"/>
  <c r="E1269" i="10"/>
  <c r="G4595" i="40" s="1"/>
  <c r="D1268" i="10"/>
  <c r="G4497" i="40" s="1"/>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F1291" i="10"/>
  <c r="G1288" i="10"/>
  <c r="G1285" i="10"/>
  <c r="I4805" i="40" s="1"/>
  <c r="E1282" i="10"/>
  <c r="G4608" i="40" s="1"/>
  <c r="C1280" i="10"/>
  <c r="K4412" i="40" s="1"/>
  <c r="G1278" i="10"/>
  <c r="I4798" i="40" s="1"/>
  <c r="D1277" i="10"/>
  <c r="G4506" i="40" s="1"/>
  <c r="C1276" i="10"/>
  <c r="I1274" i="10"/>
  <c r="H1273" i="10"/>
  <c r="K4890" i="40" s="1"/>
  <c r="G1272" i="10"/>
  <c r="I4792" i="40" s="1"/>
  <c r="F1271" i="10"/>
  <c r="I4694" i="40" s="1"/>
  <c r="E1270" i="10"/>
  <c r="G4596" i="40" s="1"/>
  <c r="D1269" i="10"/>
  <c r="G4498" i="40" s="1"/>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G4617" i="40" s="1"/>
  <c r="C1288" i="10"/>
  <c r="D1285" i="10"/>
  <c r="D1282" i="10"/>
  <c r="G4511" i="40" s="1"/>
  <c r="I1279" i="10"/>
  <c r="G4993" i="40" s="1"/>
  <c r="E1278" i="10"/>
  <c r="G4604" i="40" s="1"/>
  <c r="C1277" i="10"/>
  <c r="K4409" i="40" s="1"/>
  <c r="I1275" i="10"/>
  <c r="H1274" i="10"/>
  <c r="G1273" i="10"/>
  <c r="F1272" i="10"/>
  <c r="I4695" i="40" s="1"/>
  <c r="E1271" i="10"/>
  <c r="G4597" i="40" s="1"/>
  <c r="D1270" i="10"/>
  <c r="G4499" i="40" s="1"/>
  <c r="C1269" i="10"/>
  <c r="K4401" i="40" s="1"/>
  <c r="I1267" i="10"/>
  <c r="G4981" i="40" s="1"/>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I1287" i="10"/>
  <c r="G5001" i="40" s="1"/>
  <c r="G1284" i="10"/>
  <c r="I4804" i="40" s="1"/>
  <c r="H1281" i="10"/>
  <c r="K4898" i="40" s="1"/>
  <c r="H1279" i="10"/>
  <c r="K4896" i="40" s="1"/>
  <c r="D1278" i="10"/>
  <c r="I1276" i="10"/>
  <c r="H1275" i="10"/>
  <c r="K4892" i="40" s="1"/>
  <c r="G1274" i="10"/>
  <c r="I4794" i="40" s="1"/>
  <c r="F1273" i="10"/>
  <c r="I4696" i="40" s="1"/>
  <c r="E1272" i="10"/>
  <c r="G4598" i="40" s="1"/>
  <c r="D1271" i="10"/>
  <c r="G4500" i="40" s="1"/>
  <c r="C1270" i="10"/>
  <c r="K4402" i="40" s="1"/>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I4710" i="40" s="1"/>
  <c r="F1284" i="10"/>
  <c r="I4707" i="40" s="1"/>
  <c r="D1281" i="10"/>
  <c r="F1279" i="10"/>
  <c r="C1278" i="10"/>
  <c r="K4410" i="40" s="1"/>
  <c r="H1276" i="10"/>
  <c r="K4893" i="40" s="1"/>
  <c r="G1275" i="10"/>
  <c r="I4795" i="40" s="1"/>
  <c r="F1274" i="10"/>
  <c r="I4697" i="40" s="1"/>
  <c r="E1273" i="10"/>
  <c r="G4599" i="40" s="1"/>
  <c r="D1272" i="10"/>
  <c r="G4501" i="40" s="1"/>
  <c r="C1271" i="10"/>
  <c r="I1269" i="10"/>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H1277" i="10"/>
  <c r="G1276" i="10"/>
  <c r="I4796" i="40" s="1"/>
  <c r="F1275" i="10"/>
  <c r="I4698" i="40" s="1"/>
  <c r="E1274" i="10"/>
  <c r="G4600" i="40" s="1"/>
  <c r="D1273" i="10"/>
  <c r="G4502" i="40" s="1"/>
  <c r="C1272" i="10"/>
  <c r="K4404" i="40" s="1"/>
  <c r="I1270" i="10"/>
  <c r="H1269" i="10"/>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G1292" i="10"/>
  <c r="H1289" i="10"/>
  <c r="H1286" i="10"/>
  <c r="K4903" i="40" s="1"/>
  <c r="F1283" i="10"/>
  <c r="I4706" i="40" s="1"/>
  <c r="G1280" i="10"/>
  <c r="I4800" i="40" s="1"/>
  <c r="D1279" i="10"/>
  <c r="G4508" i="40" s="1"/>
  <c r="G1277" i="10"/>
  <c r="I4797" i="40" s="1"/>
  <c r="F1276" i="10"/>
  <c r="E1275" i="10"/>
  <c r="G4601" i="40" s="1"/>
  <c r="D1274" i="10"/>
  <c r="G4503" i="40" s="1"/>
  <c r="C1273" i="10"/>
  <c r="K4405" i="40" s="1"/>
  <c r="I1271" i="10"/>
  <c r="G4985" i="40" s="1"/>
  <c r="H1270" i="10"/>
  <c r="K4887" i="40" s="1"/>
  <c r="G1269" i="10"/>
  <c r="I4789" i="40" s="1"/>
  <c r="F1268" i="10"/>
  <c r="I4691" i="40" s="1"/>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I4836" i="40" s="1"/>
  <c r="F1307" i="10"/>
  <c r="I4730" i="40" s="1"/>
  <c r="E1298" i="10"/>
  <c r="G4624" i="40" s="1"/>
  <c r="F1292" i="10"/>
  <c r="D1289" i="10"/>
  <c r="E1286" i="10"/>
  <c r="E1283" i="10"/>
  <c r="G4609" i="40" s="1"/>
  <c r="F1280" i="10"/>
  <c r="I4703" i="40" s="1"/>
  <c r="I1278" i="10"/>
  <c r="G4992" i="40" s="1"/>
  <c r="F1277" i="10"/>
  <c r="I4700" i="40" s="1"/>
  <c r="E1276" i="10"/>
  <c r="G4602" i="40" s="1"/>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AK29" i="8"/>
  <c r="AK28" i="8"/>
  <c r="J8477" i="40"/>
  <c r="AK23" i="8"/>
  <c r="AK39" i="8"/>
  <c r="K4448" i="40"/>
  <c r="G4984" i="40"/>
  <c r="K4403" i="40"/>
  <c r="I4791" i="40"/>
  <c r="I4793" i="40"/>
  <c r="G4987" i="40"/>
  <c r="K4891" i="40"/>
  <c r="G4988" i="40"/>
  <c r="K4407" i="40"/>
  <c r="G4989" i="40"/>
  <c r="K4408" i="40"/>
  <c r="I4699" i="40"/>
  <c r="G4990" i="40"/>
  <c r="G4603" i="40"/>
  <c r="K4894" i="40"/>
  <c r="G4507" i="40"/>
  <c r="G4605" i="40"/>
  <c r="I4702" i="40"/>
  <c r="G4510" i="40"/>
  <c r="I4704" i="40"/>
  <c r="I4802" i="40"/>
  <c r="K4899" i="40"/>
  <c r="G4996" i="40"/>
  <c r="K4415" i="40"/>
  <c r="G4997" i="40"/>
  <c r="G4610" i="40"/>
  <c r="G4514" i="40"/>
  <c r="I4708" i="40"/>
  <c r="G4515" i="40"/>
  <c r="G4612" i="40"/>
  <c r="I4709" i="40"/>
  <c r="I4806" i="40"/>
  <c r="I4807" i="40"/>
  <c r="K4420" i="40"/>
  <c r="I4808" i="40"/>
  <c r="K4905" i="40"/>
  <c r="G5002" i="40"/>
  <c r="G4518" i="40"/>
  <c r="K4906" i="40"/>
  <c r="I4713" i="40"/>
  <c r="I4810" i="40"/>
  <c r="K4907" i="40"/>
  <c r="G5004" i="40"/>
  <c r="I4714" i="40"/>
  <c r="K4908" i="40"/>
  <c r="G5005" i="40"/>
  <c r="K4424" i="40"/>
  <c r="G4521" i="40"/>
  <c r="I4715" i="40"/>
  <c r="I4812" i="40"/>
  <c r="K4425" i="40"/>
  <c r="G4619" i="40"/>
  <c r="I4716" i="40"/>
  <c r="K4426" i="40"/>
  <c r="I4814" i="40"/>
  <c r="G4621" i="40"/>
  <c r="I4815" i="40"/>
  <c r="K4912" i="40"/>
  <c r="K4428" i="40"/>
  <c r="K4429" i="40"/>
  <c r="K4914" i="40"/>
  <c r="G5011" i="40"/>
  <c r="K4430" i="40"/>
  <c r="G4625" i="40"/>
  <c r="I4722" i="40"/>
  <c r="I4819" i="40"/>
  <c r="K4432" i="40"/>
  <c r="I4723" i="40"/>
  <c r="G5014" i="40"/>
  <c r="I4821" i="40"/>
  <c r="G4531" i="40"/>
  <c r="K4919" i="40"/>
  <c r="I4823" i="40"/>
  <c r="K4920" i="40"/>
  <c r="I4824" i="40"/>
  <c r="K4921" i="40"/>
  <c r="G5018" i="40"/>
  <c r="K4922" i="40"/>
  <c r="G5020" i="40"/>
  <c r="K4439" i="40"/>
  <c r="G4536" i="40"/>
  <c r="G4633" i="40"/>
  <c r="I4731" i="40"/>
  <c r="G4538" i="40"/>
  <c r="I4829" i="40"/>
  <c r="G5023" i="40"/>
  <c r="K4442" i="40"/>
  <c r="G4637" i="40"/>
  <c r="I4831" i="40"/>
  <c r="K4444" i="40"/>
  <c r="G4638" i="40"/>
  <c r="K4929" i="40"/>
  <c r="G5027" i="40"/>
  <c r="K4446" i="40"/>
  <c r="G5028" i="40"/>
  <c r="G4545" i="40"/>
  <c r="G4642" i="40"/>
  <c r="G4496" i="40"/>
  <c r="G4593" i="40"/>
  <c r="K4884" i="40"/>
  <c r="K4400" i="40"/>
  <c r="I4788" i="40"/>
  <c r="G4982" i="40"/>
  <c r="K4886" i="40"/>
  <c r="G4983" i="40"/>
  <c r="J8467" i="40" l="1"/>
  <c r="AK27" i="8"/>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<sst xmlns="http://schemas.openxmlformats.org/spreadsheetml/2006/main" count="61525" uniqueCount="2413">
  <si>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</si>
  <si>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</si>
  <si>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</si>
  <si>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</si>
  <si>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</si>
  <si>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</si>
  <si>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</si>
  <si>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</si>
  <si>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</si>
  <si>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</si>
  <si>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</si>
  <si>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</si>
  <si>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</si>
  <si>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</si>
  <si>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</si>
  <si>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</si>
  <si>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</si>
  <si>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</si>
  <si>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</si>
  <si>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</si>
  <si>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</si>
  <si>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</si>
  <si>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</si>
  <si>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</si>
  <si>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</si>
  <si>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</si>
  <si>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</si>
  <si>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</si>
  <si>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</si>
  <si>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</si>
  <si>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</si>
  <si>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</si>
  <si>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</si>
  <si>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</si>
  <si>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</si>
  <si>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</si>
  <si>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</si>
  <si>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</si>
  <si>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</si>
  <si>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</si>
  <si>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</si>
  <si>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</si>
  <si>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</si>
  <si>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</si>
  <si>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</si>
  <si>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</si>
  <si>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</si>
  <si>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</si>
  <si>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</si>
  <si>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</si>
  <si>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</si>
  <si>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</si>
  <si>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</si>
  <si>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</si>
  <si>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</si>
  <si>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</si>
  <si>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</si>
  <si>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</si>
  <si>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</si>
  <si>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</si>
  <si>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</si>
  <si>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</si>
  <si>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</si>
  <si>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</si>
  <si>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</si>
  <si>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</si>
  <si>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</si>
  <si>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</si>
  <si>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</si>
  <si>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</si>
  <si>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</si>
  <si>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</si>
  <si>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</si>
  <si>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</si>
  <si>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</si>
  <si>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</si>
  <si>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</si>
  <si>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</si>
  <si>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</si>
  <si>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</si>
  <si>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</si>
  <si>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</si>
  <si>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</si>
  <si>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</si>
  <si>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</si>
  <si>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</si>
  <si>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</si>
  <si>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</si>
  <si>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</si>
  <si>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</si>
  <si>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</si>
  <si>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</si>
  <si>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</si>
  <si>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</si>
  <si>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</si>
  <si>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</si>
  <si>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</si>
  <si>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</si>
  <si>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</si>
  <si>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</si>
  <si>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</si>
  <si>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</si>
  <si>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</si>
  <si>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</si>
  <si>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</si>
  <si>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</si>
  <si>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</si>
  <si>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</si>
  <si>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</si>
  <si>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</si>
  <si>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</si>
  <si>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</si>
  <si>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</si>
  <si>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</si>
  <si>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</si>
  <si>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</si>
  <si>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</si>
  <si>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</si>
  <si>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</si>
  <si>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</si>
  <si>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</si>
  <si>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</si>
  <si>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</si>
  <si>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</si>
  <si>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</si>
  <si>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</si>
  <si>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</si>
  <si>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</si>
  <si>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</si>
  <si>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</si>
  <si>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</si>
  <si>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</si>
  <si>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</si>
  <si>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</si>
  <si>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</si>
  <si>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</si>
  <si>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</si>
  <si>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</si>
  <si>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</si>
  <si>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</si>
  <si>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</si>
  <si>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</si>
  <si>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</si>
  <si>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</si>
  <si>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</si>
  <si>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</si>
  <si>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</si>
  <si>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</si>
  <si>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</si>
  <si>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</si>
  <si>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</si>
  <si>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</si>
  <si>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</si>
  <si>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</si>
  <si>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</si>
  <si>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</si>
  <si>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</si>
  <si>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</si>
  <si>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</si>
  <si>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</si>
  <si>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</si>
  <si>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</si>
  <si>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</si>
  <si>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</si>
  <si>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</si>
  <si>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</si>
  <si>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</si>
  <si>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</si>
  <si>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</si>
  <si>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</si>
  <si>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</si>
  <si>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</si>
  <si>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</si>
  <si>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</si>
  <si>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</si>
  <si>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</si>
  <si>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</si>
  <si>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</si>
  <si>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</si>
  <si>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</si>
  <si>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</si>
  <si>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</si>
  <si>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</si>
  <si>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</si>
  <si>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</si>
  <si>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</si>
  <si>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</si>
  <si>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</si>
  <si>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</si>
  <si>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</si>
  <si>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</si>
  <si>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</si>
  <si>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</si>
  <si>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</si>
  <si>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</si>
  <si>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</si>
  <si>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</si>
  <si>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</si>
  <si>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</si>
  <si>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</si>
  <si>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</si>
  <si>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</si>
  <si>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</si>
  <si>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</si>
  <si>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</si>
  <si>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</si>
  <si>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</si>
  <si>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</si>
  <si>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</si>
  <si>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</si>
  <si>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</si>
  <si>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</si>
  <si>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</si>
  <si>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</si>
  <si>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</si>
  <si>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</si>
  <si>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</si>
  <si>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</si>
  <si>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</si>
  <si>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</si>
  <si>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</si>
  <si>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</si>
  <si>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</si>
  <si>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</si>
  <si>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</si>
  <si>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</si>
  <si>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</si>
  <si>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</si>
  <si>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</si>
  <si>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</si>
  <si>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</si>
  <si>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</si>
  <si>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</si>
  <si>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</si>
  <si>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</si>
  <si>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</si>
  <si>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</si>
  <si>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</si>
  <si>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</si>
  <si>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</si>
  <si>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</si>
  <si>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</si>
  <si>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</si>
  <si>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</si>
  <si>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</si>
  <si>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</si>
  <si>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</si>
  <si>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</si>
  <si>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</si>
  <si>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</si>
  <si>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</si>
  <si>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</si>
  <si>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</si>
  <si>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</si>
  <si>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</si>
  <si>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</si>
  <si>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</si>
  <si>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</si>
  <si>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</si>
  <si>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</si>
  <si>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</si>
  <si>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</si>
  <si>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</si>
  <si>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</si>
  <si>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</si>
  <si>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</si>
  <si>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</si>
  <si>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</si>
  <si>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</si>
  <si>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</si>
  <si>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</si>
  <si>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</si>
  <si>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</si>
  <si>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</si>
  <si>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</si>
  <si>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</si>
  <si>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</si>
  <si>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</si>
  <si>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</si>
  <si>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</si>
  <si>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</si>
  <si>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</si>
  <si>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</si>
  <si>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</si>
  <si>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</si>
  <si>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</si>
  <si>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</si>
  <si>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</si>
  <si>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</si>
  <si>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</si>
  <si>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</si>
  <si>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</si>
  <si>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</si>
  <si>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</si>
  <si>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</si>
  <si>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</si>
  <si>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</si>
  <si>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</si>
  <si>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</si>
  <si>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</si>
  <si>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</si>
  <si>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</si>
  <si>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</si>
  <si>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</si>
  <si>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</si>
  <si>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</si>
  <si>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</si>
  <si>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</si>
  <si>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</si>
  <si>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</si>
  <si>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</si>
  <si>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</si>
  <si>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</si>
  <si>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</si>
  <si>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</si>
  <si>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</si>
  <si>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</si>
  <si>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</si>
  <si>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</si>
  <si>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</si>
  <si>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</si>
  <si>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</si>
  <si>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</si>
  <si>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</si>
  <si>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</si>
  <si>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</si>
  <si>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</si>
  <si>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</si>
  <si>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</si>
  <si>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</si>
  <si>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</si>
  <si>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</si>
  <si>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</si>
  <si>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</si>
  <si>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</si>
  <si>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</si>
  <si>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</si>
  <si>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</si>
  <si>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</si>
  <si>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</si>
  <si>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</si>
  <si>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</si>
  <si>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</si>
  <si>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</si>
  <si>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</si>
  <si>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</si>
  <si>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</si>
  <si>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</si>
  <si>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</si>
  <si>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</si>
  <si>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</si>
  <si>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</si>
  <si>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</si>
  <si>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</si>
  <si>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</si>
  <si>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</si>
  <si>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</si>
  <si>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</si>
  <si>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</si>
  <si>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</si>
  <si>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</si>
  <si>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</si>
  <si>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</si>
  <si>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</si>
  <si>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</si>
  <si>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</si>
  <si>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</si>
  <si>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</si>
  <si>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</si>
  <si>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</si>
  <si>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</si>
  <si>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</si>
  <si>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</si>
  <si>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</si>
  <si>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</si>
  <si>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</si>
  <si>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</si>
  <si>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</si>
  <si>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</si>
  <si>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</si>
  <si>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</si>
  <si>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</si>
  <si>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</si>
  <si>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</si>
  <si>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</si>
  <si>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</si>
  <si>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</si>
  <si>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</si>
  <si>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</si>
  <si>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</si>
  <si>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</si>
  <si>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</si>
  <si>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</si>
  <si>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</si>
  <si>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</si>
  <si>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</si>
  <si>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</si>
  <si>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</si>
  <si>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</si>
  <si>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</si>
  <si>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</si>
  <si>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</si>
  <si>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</si>
  <si>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</si>
  <si>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</si>
  <si>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</si>
  <si>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</si>
  <si>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</si>
  <si>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</si>
  <si>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</si>
  <si>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</si>
  <si>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</si>
  <si>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</si>
  <si>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</si>
  <si>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</si>
  <si>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</si>
  <si>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</si>
  <si>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</si>
  <si>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</si>
  <si>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</si>
  <si>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</si>
  <si>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</si>
  <si>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</si>
  <si>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</si>
  <si>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</si>
  <si>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</si>
  <si>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</si>
  <si>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</si>
  <si>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</si>
  <si>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</si>
  <si>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</si>
  <si>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</si>
  <si>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</si>
  <si>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</si>
  <si>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</si>
  <si>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</si>
  <si>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</si>
  <si>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</si>
  <si>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</si>
  <si>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</si>
  <si>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</si>
  <si>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</si>
  <si>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</si>
  <si>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</si>
  <si>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</si>
  <si>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</si>
  <si>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</si>
  <si>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</si>
  <si>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</si>
  <si>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</si>
  <si>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</si>
  <si>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</si>
  <si>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</si>
  <si>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</si>
  <si>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</si>
  <si>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</si>
  <si>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</si>
  <si>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</si>
  <si>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</si>
  <si>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</si>
  <si>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</si>
  <si>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</si>
  <si>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</si>
  <si>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</si>
  <si>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</si>
  <si>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</si>
  <si>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</si>
  <si>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</si>
  <si>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</si>
  <si>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</si>
  <si>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</si>
  <si>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</si>
  <si>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</si>
  <si>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</si>
  <si>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</si>
  <si>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</si>
  <si>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</si>
  <si>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</si>
  <si>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</si>
  <si>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</si>
  <si>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</si>
  <si>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</si>
  <si>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</si>
  <si>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</si>
  <si>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</si>
  <si>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</si>
  <si>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</si>
  <si>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</si>
  <si>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</si>
  <si>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</si>
  <si>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</si>
  <si>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</si>
  <si>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</si>
  <si>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</si>
  <si>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</si>
  <si>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</si>
  <si>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</si>
  <si>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</si>
  <si>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</si>
  <si>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</si>
  <si>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</si>
  <si>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</si>
  <si>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</si>
  <si>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</si>
  <si>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</si>
  <si>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</si>
  <si>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</si>
  <si>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</si>
  <si>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</si>
  <si>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</si>
  <si>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</si>
  <si>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</si>
  <si>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</si>
  <si>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</si>
  <si>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</si>
  <si>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</si>
  <si>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</si>
  <si>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</si>
  <si>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</si>
  <si>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</si>
  <si>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</si>
  <si>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</si>
  <si>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</si>
  <si>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</si>
  <si>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</si>
  <si>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</si>
  <si>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</si>
  <si>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</si>
  <si>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</si>
  <si>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</si>
  <si>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</si>
  <si>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</si>
  <si>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</si>
  <si>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</si>
  <si>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</si>
  <si>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</si>
  <si>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</si>
  <si>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</si>
  <si>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</si>
  <si>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</si>
  <si>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</si>
  <si>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</si>
  <si>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</si>
  <si>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</si>
  <si>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</si>
  <si>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</si>
  <si>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</si>
  <si>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</si>
  <si>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</si>
  <si>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</si>
  <si>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</si>
  <si>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</si>
  <si>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</si>
  <si>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</si>
  <si>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</si>
  <si>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</si>
  <si>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</si>
  <si>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</si>
  <si>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</si>
  <si>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</si>
  <si>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</si>
  <si>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</si>
  <si>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</si>
  <si>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</si>
  <si>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</si>
  <si>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</si>
  <si>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</si>
  <si>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</si>
  <si>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</si>
  <si>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</si>
  <si>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</si>
  <si>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</si>
  <si>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</si>
  <si>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</si>
  <si>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</si>
  <si>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</si>
  <si>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</si>
  <si>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</si>
  <si>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</si>
  <si>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</si>
  <si>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</si>
  <si>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</si>
  <si>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</si>
  <si>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</si>
  <si>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</si>
  <si>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</si>
  <si>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</si>
  <si>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</si>
  <si>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</si>
  <si>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</si>
  <si>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</si>
  <si>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</si>
  <si>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</si>
  <si>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</si>
  <si>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</si>
  <si>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</si>
  <si>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</si>
  <si>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</si>
  <si>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</si>
  <si>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</si>
  <si>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</si>
  <si>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</si>
  <si>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</si>
  <si>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</si>
  <si>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</si>
  <si>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</si>
  <si>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</si>
  <si>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</si>
  <si>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</si>
  <si>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</si>
  <si>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</si>
  <si>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</si>
  <si>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</si>
  <si>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</si>
  <si>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</si>
  <si>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</si>
  <si>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</si>
  <si>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</si>
  <si>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</si>
  <si>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</si>
  <si>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</si>
  <si>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</si>
  <si>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</si>
  <si>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</si>
  <si>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</si>
  <si>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</si>
  <si>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</si>
  <si>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</si>
  <si>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</si>
  <si>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</si>
  <si>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</si>
  <si>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</si>
  <si>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</si>
  <si>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</si>
  <si>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</si>
  <si>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</si>
  <si>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</si>
  <si>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</si>
  <si>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</si>
  <si>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</si>
  <si>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</si>
  <si>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</si>
  <si>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</si>
  <si>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</si>
  <si>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</si>
  <si>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</si>
  <si>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</si>
  <si>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</si>
  <si>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</si>
  <si>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</si>
  <si>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</si>
  <si>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</si>
  <si>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</si>
  <si>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</si>
  <si>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</si>
  <si>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</si>
  <si>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</si>
  <si>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</si>
  <si>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</si>
  <si>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</si>
  <si>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</si>
  <si>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</si>
  <si>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</si>
  <si>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</si>
  <si>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</si>
  <si>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</si>
  <si>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</si>
  <si>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</si>
  <si>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</si>
  <si>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</si>
  <si>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</si>
  <si>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</si>
  <si>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</si>
  <si>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</si>
  <si>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</si>
  <si>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</si>
  <si>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</si>
  <si>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</si>
  <si>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</si>
  <si>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</si>
  <si>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</si>
  <si>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</si>
  <si>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</si>
  <si>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</si>
  <si>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</si>
  <si>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</si>
  <si>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</si>
  <si>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</si>
  <si>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</si>
  <si>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</si>
  <si>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</si>
  <si>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</si>
  <si>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</si>
  <si>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</si>
  <si>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</si>
  <si>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</si>
  <si>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</si>
  <si>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</si>
  <si>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</si>
  <si>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</si>
  <si>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</si>
  <si>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</si>
  <si>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</si>
  <si>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</si>
  <si>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</si>
  <si>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</si>
  <si>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</si>
  <si>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</si>
  <si>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</si>
  <si>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</si>
  <si>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</si>
  <si>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</si>
  <si>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</si>
  <si>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</si>
  <si>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</si>
  <si>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</si>
  <si>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</si>
  <si>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</si>
  <si>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</si>
  <si>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</si>
  <si>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</si>
  <si>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</si>
  <si>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</si>
  <si>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</si>
  <si>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</si>
  <si>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</si>
  <si>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</si>
  <si>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</si>
  <si>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</si>
  <si>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</si>
  <si>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</si>
  <si>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</si>
  <si>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</si>
  <si>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</si>
  <si>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</si>
  <si>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</si>
  <si>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</si>
  <si>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</si>
  <si>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</si>
  <si>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</si>
  <si>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</si>
  <si>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</si>
  <si>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</si>
  <si>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</si>
  <si>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</si>
  <si>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</si>
  <si>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</si>
  <si>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</si>
  <si>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</si>
  <si>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</si>
  <si>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</si>
  <si>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</si>
  <si>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</si>
  <si>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</si>
  <si>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</si>
  <si>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</si>
  <si>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</si>
  <si>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</si>
  <si>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</si>
  <si>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</si>
  <si>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</si>
  <si>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</si>
  <si>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</si>
  <si>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</si>
  <si>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</si>
  <si>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</si>
  <si>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</si>
  <si>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</si>
  <si>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</si>
  <si>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</si>
  <si>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</si>
  <si>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</si>
  <si>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</si>
  <si>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</si>
  <si>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</si>
  <si>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</si>
  <si>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</si>
  <si>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</si>
  <si>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</si>
  <si>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</si>
  <si>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</si>
  <si>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</si>
  <si>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</si>
  <si>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</si>
  <si>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</si>
  <si>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</si>
  <si>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</si>
  <si>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</si>
  <si>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</si>
  <si>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</si>
  <si>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</si>
  <si>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</si>
  <si>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</si>
  <si>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</si>
  <si>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</si>
  <si>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</si>
  <si>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</si>
  <si>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</si>
  <si>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</si>
  <si>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</si>
  <si>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</si>
  <si>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</si>
  <si>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</si>
  <si>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</si>
  <si>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</si>
  <si>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</si>
  <si>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</si>
  <si>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</si>
  <si>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</si>
  <si>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</si>
  <si>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</si>
  <si>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</si>
  <si>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</si>
  <si>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</si>
  <si>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</si>
  <si>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</si>
  <si>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</si>
  <si>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</si>
  <si>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</si>
  <si>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</si>
  <si>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</si>
  <si>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</si>
  <si>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</si>
  <si>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</si>
  <si>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</si>
  <si>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</si>
  <si>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</si>
  <si>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</si>
  <si>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</si>
  <si>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</si>
  <si>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</si>
  <si>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</si>
  <si>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</si>
  <si>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</si>
  <si>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</si>
  <si>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</si>
  <si>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</si>
  <si>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</si>
  <si>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</si>
  <si>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</si>
  <si>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</si>
  <si>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</si>
  <si>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</si>
  <si>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</si>
  <si>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</si>
  <si>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</si>
  <si>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</si>
  <si>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</si>
  <si>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</si>
  <si>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</si>
  <si>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</si>
  <si>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</si>
  <si>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</si>
  <si>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</si>
  <si>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</si>
  <si>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</si>
  <si>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</si>
  <si>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</si>
  <si>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</si>
  <si>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</si>
  <si>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</si>
  <si>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</si>
  <si>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</si>
  <si>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</si>
  <si>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</si>
  <si>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</si>
  <si>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</si>
  <si>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</si>
  <si>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</si>
  <si>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</si>
  <si>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</si>
  <si>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</si>
  <si>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</si>
  <si>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</si>
  <si>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</si>
  <si>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</si>
  <si>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</si>
  <si>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</si>
  <si>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</si>
  <si>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</si>
  <si>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</si>
  <si>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</si>
  <si>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</si>
  <si>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</si>
  <si>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</si>
  <si>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</si>
  <si>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</si>
  <si>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</si>
  <si>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</si>
  <si>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</si>
  <si>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</si>
  <si>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</si>
  <si>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</si>
  <si>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</si>
  <si>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</si>
  <si>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</si>
  <si>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</si>
  <si>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</si>
  <si>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</si>
  <si>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</si>
  <si>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</si>
  <si>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</si>
  <si>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</si>
  <si>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</si>
  <si>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</si>
  <si>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</si>
  <si>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</si>
  <si>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</si>
  <si>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</si>
  <si>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</si>
  <si>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</si>
  <si>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</si>
  <si>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</si>
  <si>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</si>
  <si>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</si>
  <si>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</si>
  <si>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</si>
  <si>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</si>
  <si>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</si>
  <si>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</si>
  <si>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</si>
  <si>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</si>
  <si>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</si>
  <si>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</si>
  <si>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</si>
  <si>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</si>
  <si>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</si>
  <si>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</si>
  <si>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</si>
  <si>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</si>
  <si>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</si>
  <si>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</si>
  <si>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</si>
  <si>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</si>
  <si>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</si>
  <si>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</si>
  <si>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</si>
  <si>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</si>
  <si>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</si>
  <si>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</si>
  <si>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</si>
  <si>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</si>
  <si>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</si>
  <si>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</si>
  <si>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</si>
  <si>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</si>
  <si>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</si>
  <si>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</si>
  <si>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</si>
  <si>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</si>
  <si>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</si>
  <si>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</si>
  <si>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</si>
  <si>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</si>
  <si>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</si>
  <si>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</si>
  <si>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</si>
  <si>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</si>
  <si>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</si>
  <si>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</si>
  <si>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</si>
  <si>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</si>
  <si>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</si>
  <si>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</si>
  <si>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</si>
  <si>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</si>
  <si>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</si>
  <si>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</si>
  <si>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</si>
  <si>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</si>
  <si>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</si>
  <si>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</si>
  <si>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</si>
  <si>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</si>
  <si>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</si>
  <si>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</si>
  <si>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</si>
  <si>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</si>
  <si>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</si>
  <si>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</si>
  <si>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</si>
  <si>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</si>
  <si>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</si>
  <si>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</si>
  <si>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</si>
  <si>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</si>
  <si>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</si>
  <si>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</si>
  <si>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</si>
  <si>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</si>
  <si>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</si>
  <si>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</si>
  <si>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</si>
  <si>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</si>
  <si>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</si>
  <si>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</si>
  <si>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</si>
  <si>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</si>
  <si>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</si>
  <si>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</si>
  <si>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</si>
  <si>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</si>
  <si>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</si>
  <si>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</si>
  <si>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</si>
  <si>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</si>
  <si>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</si>
  <si>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</si>
  <si>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</si>
  <si>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</si>
  <si>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</si>
  <si>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</si>
  <si>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</si>
  <si>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</si>
  <si>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</si>
  <si>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</si>
  <si>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</si>
  <si>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</si>
  <si>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</si>
  <si>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</si>
  <si>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</si>
  <si>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</si>
  <si>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</si>
  <si>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</si>
  <si>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</si>
  <si>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</si>
  <si>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</si>
  <si>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</si>
  <si>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</si>
  <si>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</si>
  <si>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</si>
  <si>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</si>
  <si>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</si>
  <si>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</si>
  <si>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</si>
  <si>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</si>
  <si>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</si>
  <si>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</si>
  <si>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</si>
  <si>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</si>
  <si>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</si>
  <si>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</si>
  <si>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</si>
  <si>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</si>
  <si>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</si>
  <si>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</si>
  <si>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</si>
  <si>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</si>
  <si>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</si>
  <si>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</si>
  <si>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</si>
  <si>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</si>
  <si>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</si>
  <si>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</si>
  <si>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</si>
  <si>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</si>
  <si>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</si>
  <si>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</si>
  <si>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</si>
  <si>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</si>
  <si>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</si>
  <si>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</si>
  <si>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</si>
  <si>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</si>
  <si>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</si>
  <si>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</si>
  <si>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</si>
  <si>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</si>
  <si>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</si>
  <si>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</si>
  <si>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</si>
  <si>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</si>
  <si>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</si>
  <si>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</si>
  <si>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</si>
  <si>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</si>
  <si>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</si>
  <si>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</si>
  <si>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</si>
  <si>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</si>
  <si>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</si>
  <si>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</si>
  <si>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</si>
  <si>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</si>
  <si>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</si>
  <si>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</si>
  <si>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</si>
  <si>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</si>
  <si>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</si>
  <si>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</si>
  <si>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</si>
  <si>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</si>
  <si>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</si>
  <si>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</si>
  <si>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</si>
  <si>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</si>
  <si>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</si>
  <si>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</si>
  <si>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</si>
  <si>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</si>
  <si>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</si>
  <si>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</si>
  <si>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</si>
  <si>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</si>
  <si>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</si>
  <si>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</si>
  <si>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</si>
  <si>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</si>
  <si>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</si>
  <si>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</si>
  <si>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</si>
  <si>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</si>
  <si>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</si>
  <si>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</si>
  <si>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</si>
  <si>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</si>
  <si>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</si>
  <si>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</si>
  <si>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</si>
  <si>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</si>
  <si>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</si>
  <si>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</si>
  <si>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</si>
  <si>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</si>
  <si>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</si>
  <si>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</si>
  <si>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</si>
  <si>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</si>
  <si>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</si>
  <si>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</si>
  <si>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</si>
  <si>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</si>
  <si>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</si>
  <si>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</si>
  <si>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</si>
  <si>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</si>
  <si>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</si>
  <si>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</si>
  <si>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</si>
  <si>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</si>
  <si>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</si>
  <si>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</si>
  <si>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</si>
  <si>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</si>
  <si>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</si>
  <si>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</si>
  <si>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</si>
  <si>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</si>
  <si>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</si>
  <si>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</si>
  <si>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</si>
  <si>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</si>
  <si>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</si>
  <si>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</si>
  <si>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</si>
  <si>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</si>
  <si>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</si>
  <si>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</si>
  <si>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</si>
  <si>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</si>
  <si>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</si>
  <si>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</si>
  <si>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</si>
  <si>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</si>
  <si>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</si>
  <si>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</si>
  <si>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</si>
  <si>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</si>
  <si>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</si>
  <si>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</si>
  <si>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</si>
  <si>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</si>
  <si>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</si>
  <si>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</si>
  <si>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</si>
  <si>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</si>
  <si>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</si>
  <si>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</si>
  <si>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</si>
  <si>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</si>
  <si>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</si>
  <si>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</si>
  <si>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</si>
  <si>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</si>
  <si>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</si>
  <si>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</si>
  <si>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</si>
  <si>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</si>
  <si>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</si>
  <si>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</si>
  <si>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</si>
  <si>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</si>
  <si>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</si>
  <si>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</si>
  <si>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</si>
  <si>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</si>
  <si>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</si>
  <si>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</si>
  <si>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</si>
  <si>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</si>
  <si>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</si>
  <si>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</si>
  <si>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</si>
  <si>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</si>
  <si>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</si>
  <si>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</si>
  <si>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</si>
  <si>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</si>
  <si>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</si>
  <si>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</si>
  <si>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</si>
  <si>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</si>
  <si>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</si>
  <si>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</si>
  <si>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</si>
  <si>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</si>
  <si>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</si>
  <si>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</si>
  <si>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</si>
  <si>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</si>
  <si>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</si>
  <si>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</si>
  <si>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</si>
  <si>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</si>
  <si>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</si>
  <si>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</si>
  <si>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</si>
  <si>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</si>
  <si>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</si>
  <si>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</si>
  <si>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</si>
  <si>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</si>
  <si>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</si>
  <si>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</si>
  <si>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</si>
  <si>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</si>
  <si>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</si>
  <si>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</si>
  <si>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</si>
  <si>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</si>
  <si>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</si>
  <si>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</si>
  <si>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</si>
  <si>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</si>
  <si>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</si>
  <si>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</si>
  <si>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</si>
  <si>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</si>
  <si>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</si>
  <si>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</si>
  <si>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</si>
  <si>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</si>
  <si>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</si>
  <si>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</si>
  <si>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</si>
  <si>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</si>
  <si>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</si>
  <si>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</si>
  <si>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</si>
  <si>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</si>
  <si>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</si>
  <si>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</si>
  <si>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</si>
  <si>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</si>
  <si>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</si>
  <si>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</si>
  <si>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</si>
  <si>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</si>
  <si>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</si>
  <si>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</si>
  <si>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</si>
  <si>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</si>
  <si>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</si>
  <si>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</si>
  <si>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</si>
  <si>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</si>
  <si>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</si>
  <si>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</si>
  <si>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</si>
  <si>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</si>
  <si>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</si>
  <si>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</si>
  <si>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</si>
  <si>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</si>
  <si>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</si>
  <si>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</si>
  <si>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</si>
  <si>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</si>
  <si>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</si>
  <si>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</si>
  <si>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</si>
  <si>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</si>
  <si>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</si>
  <si>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</si>
  <si>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</si>
  <si>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</si>
  <si>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</si>
  <si>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</si>
  <si>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</si>
  <si>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</si>
  <si>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</si>
  <si>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</si>
  <si>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</si>
  <si>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</si>
  <si>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</si>
  <si>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</si>
  <si>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</si>
  <si>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</si>
  <si>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</si>
  <si>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</si>
  <si>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</si>
  <si>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</si>
  <si>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</si>
  <si>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</si>
  <si>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</si>
  <si>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</si>
  <si>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</si>
  <si>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</si>
  <si>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</si>
  <si>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</si>
  <si>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</si>
  <si>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</si>
  <si>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</si>
  <si>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</si>
  <si>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</si>
  <si>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</si>
  <si>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</si>
  <si>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</si>
  <si>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</si>
  <si>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</si>
  <si>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</si>
  <si>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</si>
  <si>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</si>
  <si>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</si>
  <si>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</si>
  <si>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</si>
  <si>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</si>
  <si>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</si>
  <si>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</si>
  <si>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</si>
  <si>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</si>
  <si>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</si>
  <si>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</si>
  <si>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</si>
  <si>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</si>
  <si>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</si>
  <si>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</si>
  <si>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</si>
  <si>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</si>
  <si>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</si>
  <si>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</si>
  <si>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</si>
  <si>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</si>
  <si>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</si>
  <si>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</si>
  <si>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</si>
  <si>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</si>
  <si>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</si>
  <si>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</si>
  <si>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</si>
  <si>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</si>
  <si>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</si>
  <si>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</si>
  <si>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</si>
  <si>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</si>
  <si>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</si>
  <si>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</si>
  <si>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</si>
  <si>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</si>
  <si>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</si>
  <si>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</si>
  <si>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</si>
  <si>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</si>
  <si>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</si>
  <si>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</si>
  <si>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</si>
  <si>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</si>
  <si>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</si>
  <si>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</si>
  <si>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</si>
  <si>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</si>
  <si>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</si>
  <si>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</si>
  <si>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</si>
  <si>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</si>
  <si>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</si>
  <si>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</si>
  <si>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</si>
  <si>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</si>
  <si>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</si>
  <si>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</si>
  <si>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</si>
  <si>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</si>
  <si>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</si>
  <si>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</si>
  <si>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</si>
  <si>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</si>
  <si>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</si>
  <si>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</si>
  <si>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</si>
  <si>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</si>
  <si>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</si>
  <si>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</si>
  <si>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</si>
  <si>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</si>
  <si>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</si>
  <si>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</si>
  <si>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</si>
  <si>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</si>
  <si>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</si>
  <si>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</si>
  <si>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</si>
  <si>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</si>
  <si>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</si>
  <si>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</si>
  <si>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</si>
  <si>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</si>
  <si>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</si>
  <si>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</si>
  <si>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</si>
  <si>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</si>
  <si>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</si>
  <si>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</si>
  <si>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</si>
  <si>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</si>
  <si>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</si>
  <si>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</si>
  <si>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</si>
  <si>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</si>
  <si>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</si>
  <si>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</si>
  <si>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</si>
  <si>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</si>
  <si>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</si>
  <si>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</si>
  <si>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</si>
  <si>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</si>
  <si>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</si>
  <si>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</si>
  <si>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</si>
  <si>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</si>
  <si>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</si>
  <si>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</si>
  <si>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</si>
  <si>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</si>
  <si>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</si>
  <si>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</si>
  <si>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</si>
  <si>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</si>
  <si>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</si>
  <si>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</si>
  <si>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</si>
  <si>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</si>
  <si>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</si>
  <si>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</si>
  <si>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</si>
  <si>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</si>
  <si>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</si>
  <si>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</si>
  <si>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</si>
  <si>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</si>
  <si>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</si>
  <si>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</si>
  <si>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</si>
  <si>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</si>
  <si>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</si>
  <si>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</si>
  <si>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</si>
  <si>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</si>
  <si>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</si>
  <si>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</si>
  <si>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</si>
  <si>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</si>
  <si>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</si>
  <si>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</si>
  <si>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</si>
  <si>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</si>
  <si>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</si>
  <si>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</si>
  <si>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</si>
  <si>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</si>
  <si>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</si>
  <si>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</si>
  <si>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</si>
  <si>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</si>
  <si>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</si>
  <si>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</si>
  <si>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</si>
  <si>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</si>
  <si>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</si>
  <si>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</si>
  <si>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</si>
  <si>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</si>
  <si>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</si>
  <si>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</si>
  <si>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</si>
  <si>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</si>
  <si>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</si>
  <si>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</si>
  <si>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</si>
  <si>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</si>
  <si>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</si>
  <si>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</si>
  <si>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</si>
  <si>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</si>
  <si>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</si>
  <si>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</si>
  <si>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</si>
  <si>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</si>
  <si>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</si>
  <si>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</si>
  <si>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</si>
  <si>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</si>
  <si>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</si>
  <si>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</si>
  <si>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</si>
  <si>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</si>
  <si>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</si>
  <si>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</si>
  <si>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</si>
  <si>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</si>
  <si>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</si>
  <si>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</si>
  <si>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</si>
  <si>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</si>
  <si>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</si>
  <si>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</si>
  <si>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</si>
  <si>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</si>
  <si>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</si>
  <si>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</si>
  <si>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</si>
  <si>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</si>
  <si>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</si>
  <si>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</si>
  <si>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</si>
  <si>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</si>
  <si>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</si>
  <si>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</si>
  <si>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</si>
  <si>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</si>
  <si>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</si>
  <si>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</si>
  <si>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</si>
  <si>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</si>
  <si>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</si>
  <si>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</si>
  <si>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</si>
  <si>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</si>
  <si>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</si>
  <si>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</si>
  <si>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</si>
  <si>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</si>
  <si>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</si>
  <si>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</si>
  <si>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</si>
  <si>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</si>
  <si>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</si>
  <si>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</si>
  <si>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</si>
  <si>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</si>
  <si>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</si>
  <si>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</si>
  <si>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</si>
  <si>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</si>
  <si>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</si>
  <si>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</si>
  <si>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</si>
  <si>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</si>
  <si>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</si>
  <si>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</si>
  <si>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</si>
  <si>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</si>
  <si>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</si>
  <si>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</si>
  <si>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</si>
  <si>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</si>
  <si>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</si>
  <si>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</si>
  <si>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</si>
  <si>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</si>
  <si>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</si>
  <si>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</si>
  <si>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</si>
  <si>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</si>
  <si>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</si>
  <si>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</si>
  <si>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</si>
  <si>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</si>
  <si>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</si>
  <si>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</si>
  <si>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</si>
  <si>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</si>
  <si>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</si>
  <si>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</si>
  <si>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</si>
  <si>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</si>
  <si>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</si>
  <si>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</si>
  <si>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</si>
  <si>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</si>
  <si>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</si>
  <si>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</si>
  <si>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</si>
  <si>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</si>
  <si>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</si>
  <si>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</si>
  <si>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</si>
  <si>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</si>
  <si>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</si>
  <si>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</si>
  <si>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</si>
  <si>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</si>
  <si>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</si>
  <si>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</si>
  <si>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</si>
  <si>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</si>
  <si>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</si>
  <si>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</si>
  <si>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</si>
  <si>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</si>
  <si>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</si>
  <si>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</si>
  <si>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</si>
  <si>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</si>
  <si>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</si>
  <si>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</si>
  <si>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</si>
  <si>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</si>
  <si>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</si>
  <si>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</si>
  <si>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</si>
  <si>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</si>
  <si>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</si>
  <si>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</si>
  <si>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</si>
  <si>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</si>
  <si>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</si>
  <si>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</si>
  <si>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</si>
  <si>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</si>
  <si>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</si>
  <si>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</si>
  <si>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</si>
  <si>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</si>
  <si>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</si>
  <si>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</si>
  <si>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</si>
  <si>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</si>
  <si>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</si>
  <si>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</si>
  <si>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</si>
  <si>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</si>
  <si>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</si>
  <si>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</si>
  <si>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</si>
  <si>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</si>
  <si>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</si>
  <si>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</si>
  <si>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</si>
  <si>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</si>
  <si>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</si>
  <si>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</si>
  <si>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</si>
  <si>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</si>
  <si>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</si>
  <si>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</si>
  <si>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</si>
  <si>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</si>
  <si>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</si>
  <si>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</si>
  <si>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</si>
  <si>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</si>
  <si>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</si>
  <si>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</si>
  <si>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</si>
  <si>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</si>
  <si>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</si>
  <si>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</si>
  <si>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</si>
  <si>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</si>
  <si>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</si>
  <si>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</si>
  <si>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</si>
  <si>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</si>
  <si>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</si>
  <si>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</si>
  <si>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</si>
  <si>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</si>
  <si>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</si>
  <si>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</si>
  <si>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</si>
  <si>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</si>
  <si>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</si>
  <si>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</si>
  <si>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</si>
  <si>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</si>
  <si>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</si>
  <si>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</si>
  <si>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</si>
  <si>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</si>
  <si>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</si>
  <si>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</si>
  <si>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</si>
  <si>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</si>
  <si>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</si>
  <si>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</si>
  <si>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</si>
  <si>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</si>
  <si>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</si>
  <si>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</si>
  <si>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</si>
  <si>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</si>
  <si>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</si>
  <si>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</si>
  <si>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</si>
  <si>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</si>
  <si>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</si>
  <si>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</si>
  <si>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</si>
  <si>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</si>
  <si>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</si>
  <si>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</si>
  <si>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</si>
  <si>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</si>
  <si>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</si>
  <si>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</si>
  <si>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</si>
  <si>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</si>
  <si>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</si>
  <si>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</si>
  <si>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</si>
  <si>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</si>
  <si>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</si>
  <si>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</si>
  <si>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</si>
  <si>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</si>
  <si>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</si>
  <si>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</si>
  <si>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</si>
  <si>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</si>
  <si>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</si>
  <si>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</si>
  <si>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</si>
  <si>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</si>
  <si>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</si>
  <si>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</si>
  <si>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</si>
  <si>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</si>
  <si>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</si>
  <si>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</si>
  <si>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</si>
  <si>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</si>
  <si>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</si>
  <si>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</si>
  <si>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</si>
  <si>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</si>
  <si>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</si>
  <si>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</si>
  <si>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</si>
  <si>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</si>
  <si>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</si>
  <si>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</si>
  <si>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</si>
  <si>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</si>
  <si>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</si>
  <si>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</si>
  <si>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</si>
  <si>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</si>
  <si>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</si>
  <si>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</si>
  <si>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</si>
  <si>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</si>
  <si>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</si>
  <si>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</si>
  <si>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</si>
  <si>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</si>
  <si>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</si>
  <si>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</si>
  <si>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</si>
  <si>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</si>
  <si>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</si>
  <si>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</si>
  <si>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</si>
  <si>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</si>
  <si>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</si>
  <si>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</si>
  <si>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</si>
  <si>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</si>
  <si>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</si>
  <si>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</si>
  <si>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</si>
  <si>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</si>
  <si>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</si>
  <si>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</si>
  <si>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</si>
  <si>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</si>
  <si>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</si>
  <si>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</si>
  <si>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</si>
  <si>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</si>
  <si>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</si>
  <si>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</si>
  <si>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</si>
  <si>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</si>
  <si>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</si>
  <si>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</si>
  <si>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</si>
  <si>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</si>
  <si>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</si>
  <si>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</si>
  <si>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</si>
  <si>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</si>
  <si>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</si>
  <si>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</si>
  <si>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</si>
  <si>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</si>
  <si>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</si>
  <si>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</si>
  <si>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</si>
  <si>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</si>
  <si>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</si>
  <si>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</si>
  <si>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</si>
  <si>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</si>
  <si>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</si>
  <si>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</si>
  <si>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</si>
  <si>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</si>
  <si>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</si>
  <si>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</si>
  <si>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</si>
  <si>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</si>
  <si>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</si>
  <si>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</si>
  <si>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</si>
  <si>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</si>
  <si>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</si>
  <si>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</si>
  <si>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</si>
  <si>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</si>
  <si>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</si>
  <si>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</si>
  <si>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</si>
  <si>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</si>
  <si>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</si>
  <si>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</si>
  <si>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</si>
  <si>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</si>
  <si>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</si>
  <si>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</si>
  <si>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</si>
  <si>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</si>
  <si>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</si>
  <si>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</si>
  <si>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</si>
  <si>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</si>
  <si>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</si>
  <si>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</si>
  <si>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</si>
  <si>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</si>
  <si>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</si>
  <si>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</si>
  <si>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</si>
  <si>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</si>
  <si>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</si>
  <si>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</si>
  <si>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</si>
  <si>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</si>
  <si>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</si>
  <si>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</si>
  <si>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</si>
  <si>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</si>
  <si>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</si>
  <si>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</si>
  <si>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</si>
  <si>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</si>
  <si>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</si>
  <si>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</si>
  <si>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</si>
  <si>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</si>
  <si>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</si>
  <si>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</si>
  <si>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</si>
  <si>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</si>
  <si>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</si>
  <si>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</si>
  <si>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</si>
  <si>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</si>
  <si>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</si>
  <si>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</si>
  <si>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</si>
  <si>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</si>
  <si>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</si>
  <si>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</si>
  <si>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</si>
  <si>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</si>
  <si>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</si>
  <si>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</si>
  <si>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</si>
  <si>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</si>
  <si>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</si>
  <si>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</si>
  <si>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</si>
  <si>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</si>
  <si>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</si>
  <si>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</si>
  <si>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</si>
  <si>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</si>
  <si>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</si>
  <si>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</si>
  <si>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</si>
  <si>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</si>
  <si>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</si>
  <si>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</si>
  <si>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</si>
  <si>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</si>
  <si>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</si>
  <si>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</si>
  <si>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</si>
  <si>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</si>
  <si>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</si>
  <si>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</si>
  <si>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</si>
  <si>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</si>
  <si>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</si>
  <si>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</si>
  <si>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</si>
  <si>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</si>
  <si>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</si>
  <si>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</si>
  <si>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</si>
  <si>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</si>
  <si>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</si>
  <si>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</si>
  <si>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</si>
  <si>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</si>
  <si>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</si>
  <si>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</si>
  <si>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</si>
  <si>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</si>
  <si>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</si>
  <si>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</si>
  <si>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</si>
  <si>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</si>
  <si>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</si>
  <si>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</si>
  <si>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</si>
  <si>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</si>
  <si>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</si>
  <si>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</si>
  <si>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</si>
  <si>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</si>
  <si>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</si>
  <si>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</si>
  <si>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</si>
  <si>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</si>
  <si>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</si>
  <si>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</si>
  <si>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</si>
  <si>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</si>
  <si>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</si>
  <si>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</si>
  <si>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</si>
  <si>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</si>
  <si>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</si>
  <si>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</si>
  <si>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</si>
  <si>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</si>
  <si>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</si>
  <si>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</si>
  <si>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</si>
  <si>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</si>
  <si>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</si>
  <si>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</si>
  <si>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</si>
  <si>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</si>
  <si>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</si>
  <si>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</si>
  <si>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</si>
  <si>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</si>
  <si>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</si>
  <si>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</si>
  <si>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</si>
  <si>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</si>
  <si>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</si>
  <si>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</si>
  <si>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</si>
  <si>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</si>
  <si>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</si>
  <si>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</si>
  <si>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</si>
  <si>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</si>
  <si>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</si>
  <si>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</si>
  <si>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</si>
  <si>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</si>
  <si>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</si>
  <si>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</si>
  <si>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</si>
  <si>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</si>
  <si>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</si>
  <si>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</si>
  <si>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</si>
  <si>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</si>
  <si>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</si>
  <si>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</si>
  <si>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</si>
  <si>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</si>
  <si>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</si>
  <si>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</si>
  <si>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</si>
  <si>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</si>
  <si>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</si>
  <si>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</si>
  <si>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</si>
  <si>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</si>
  <si>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</si>
  <si>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</si>
  <si>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</si>
  <si>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</si>
  <si>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</si>
  <si>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</si>
  <si>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</si>
  <si>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</si>
  <si>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</si>
  <si>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</si>
  <si>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</si>
  <si>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</si>
  <si>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</si>
  <si>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</si>
  <si>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</si>
  <si>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</si>
  <si>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</si>
  <si>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</si>
  <si>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</si>
  <si>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</si>
  <si>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</si>
  <si>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</si>
  <si>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</si>
  <si>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</si>
  <si>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</si>
  <si>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</si>
  <si>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</si>
  <si>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</si>
  <si>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</si>
  <si>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</si>
  <si>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</si>
  <si>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</si>
  <si>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</si>
  <si>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</si>
  <si>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</si>
  <si>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</si>
  <si>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</si>
  <si>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</si>
  <si>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</si>
  <si>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</si>
  <si>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</si>
  <si>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</si>
  <si>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</si>
  <si>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</si>
  <si>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</si>
  <si>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</si>
  <si>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</si>
  <si>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</si>
  <si>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</si>
  <si>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</si>
  <si>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</si>
  <si>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</si>
  <si>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</si>
  <si>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</si>
  <si>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</si>
  <si>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</si>
  <si>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</si>
  <si>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</si>
  <si>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</si>
  <si>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</si>
  <si>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</si>
  <si>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</si>
  <si>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</si>
  <si>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</si>
  <si>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</si>
  <si>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</si>
  <si>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</si>
  <si>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</si>
  <si>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</si>
  <si>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</si>
  <si>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</si>
  <si>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</si>
  <si>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</si>
  <si>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</si>
  <si>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</si>
  <si>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</si>
  <si>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</si>
  <si>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</si>
  <si>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</si>
  <si>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</si>
  <si>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</si>
  <si>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</si>
  <si>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</si>
  <si>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</si>
  <si>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</si>
  <si>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</si>
  <si>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</si>
  <si>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</si>
  <si>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</si>
  <si>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</si>
  <si>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</si>
  <si>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</si>
  <si>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</si>
  <si>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</si>
  <si>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</si>
  <si>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</si>
  <si>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</si>
  <si>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</si>
  <si>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</si>
  <si>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</si>
  <si>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</si>
  <si>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</si>
  <si>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</si>
  <si>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</si>
  <si>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</si>
  <si>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</si>
  <si>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</si>
  <si>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</si>
  <si>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</si>
  <si>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</si>
  <si>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</si>
  <si>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</si>
  <si>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</si>
  <si>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</si>
  <si>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</si>
  <si>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</si>
  <si>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</si>
  <si>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</si>
  <si>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</si>
  <si>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</si>
  <si>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</si>
  <si>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</si>
  <si>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</si>
  <si>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</si>
  <si>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</si>
  <si>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</si>
  <si>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</si>
  <si>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</si>
  <si>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</si>
  <si>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</si>
  <si>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</si>
  <si>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</si>
  <si>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</si>
  <si>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</si>
  <si>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</si>
  <si>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</si>
  <si>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</si>
  <si>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</si>
  <si>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</si>
  <si>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</si>
  <si>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</si>
  <si>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</si>
  <si>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</si>
  <si>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</si>
  <si>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</si>
  <si>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</si>
  <si>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</si>
  <si>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</si>
  <si>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</si>
  <si>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</si>
  <si>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</si>
  <si>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</si>
  <si>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</si>
  <si>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</si>
  <si>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</si>
  <si>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</si>
  <si>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</si>
  <si>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</si>
  <si>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</si>
  <si>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</si>
  <si>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</si>
  <si>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</si>
  <si>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</si>
  <si>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</si>
  <si>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</si>
  <si>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</si>
  <si>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</si>
  <si>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</si>
  <si>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</si>
  <si>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</si>
  <si>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</si>
  <si>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</si>
  <si>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</si>
  <si>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</si>
  <si>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</si>
  <si>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</si>
  <si>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</si>
  <si>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</si>
  <si>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</si>
  <si>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</si>
  <si>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</si>
  <si>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</si>
  <si>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</si>
  <si>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</si>
  <si>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</si>
  <si>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</si>
  <si>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</si>
  <si>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</si>
  <si>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</si>
  <si>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</si>
  <si>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</si>
  <si>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</si>
  <si>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</si>
  <si>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</si>
  <si>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</si>
  <si>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</si>
  <si>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</si>
  <si>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</si>
  <si>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</si>
  <si>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</si>
  <si>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</si>
  <si>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</si>
  <si>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</si>
  <si>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</si>
  <si>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</si>
  <si>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</si>
  <si>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</si>
  <si>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</si>
  <si>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</si>
  <si>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</si>
  <si>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</si>
  <si>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</si>
  <si>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</si>
  <si>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</si>
  <si>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</si>
  <si>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</si>
  <si>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</si>
  <si>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</si>
  <si>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</si>
  <si>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</si>
  <si>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</si>
  <si>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</si>
  <si>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</si>
  <si>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</si>
  <si>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</si>
  <si>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</si>
  <si>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</si>
  <si>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</si>
  <si>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</si>
  <si>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</si>
  <si>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</si>
  <si>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</si>
  <si>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</si>
  <si>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</si>
  <si>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</si>
  <si>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</si>
  <si>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</si>
  <si>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</si>
  <si>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</si>
  <si>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</si>
  <si>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</si>
  <si>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</si>
  <si>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</si>
  <si>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</si>
  <si>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</si>
  <si>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</si>
  <si>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</si>
  <si>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</si>
  <si>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</si>
  <si>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</si>
  <si>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</si>
  <si>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</si>
  <si>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</si>
  <si>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</si>
  <si>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</si>
  <si>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</si>
  <si>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</si>
  <si>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</si>
  <si>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</si>
  <si>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</si>
  <si>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PT</t>
  </si>
  <si>
    <t>Portuguese Environment Agency, Climate Change Department</t>
  </si>
  <si>
    <t/>
  </si>
  <si>
    <t>Joana Veloso</t>
  </si>
  <si>
    <t>Head of Mitigation and Carbon Markets Unit</t>
  </si>
  <si>
    <t>Rua da Murgueira, 9/9A Zambujal Ap.7585 | 2610-124 Amadora | Portugal</t>
  </si>
  <si>
    <t xml:space="preserve"> +351 93 789 10 88</t>
  </si>
  <si>
    <t>joana.veloso@apambiente.pt</t>
  </si>
  <si>
    <t>Portuguese Environment Agency, Public Institute</t>
  </si>
  <si>
    <t>Regional Directorate of Environment and Climate Change - Azores</t>
  </si>
  <si>
    <t>Regional Directorate of Environment and Climate Change - Madeira</t>
  </si>
  <si>
    <t>Inspectorate-General of agriculture, of Sea, of Environment and Territorial Planning</t>
  </si>
  <si>
    <t>APA, I.P.</t>
  </si>
  <si>
    <t>DRAAC-Az</t>
  </si>
  <si>
    <t>DRAAC</t>
  </si>
  <si>
    <t>IGAMAOT</t>
  </si>
  <si>
    <t>1</t>
  </si>
  <si>
    <t>351937891088</t>
  </si>
  <si>
    <t>351292207300</t>
  </si>
  <si>
    <t>351291207350</t>
  </si>
  <si>
    <t>351213215500</t>
  </si>
  <si>
    <t>cele@apambiente.pt; joana.veloso@apambiente.pt</t>
  </si>
  <si>
    <t>info.draac@azores.gov.pt</t>
  </si>
  <si>
    <t>draac@madeira.gov.pt</t>
  </si>
  <si>
    <t>igamaot@igamaot.gov.pt</t>
  </si>
  <si>
    <t>http://www.apambiente.pt</t>
  </si>
  <si>
    <t>https://portal.azores.gov.pt/web/draac</t>
  </si>
  <si>
    <t>http://www.madeira.gov.pt/draac</t>
  </si>
  <si>
    <t>http://www.igamaot.gov.pt</t>
  </si>
  <si>
    <t>Instituto Português de Acreditação, I.P.</t>
  </si>
  <si>
    <t>IPAC I.P.</t>
  </si>
  <si>
    <t>351212948201</t>
  </si>
  <si>
    <t>acredita@ipac.pt</t>
  </si>
  <si>
    <t>www.ipac.pt</t>
  </si>
  <si>
    <t>APA I.P.</t>
  </si>
  <si>
    <t>351214728293</t>
  </si>
  <si>
    <t>admin@rple.pt</t>
  </si>
  <si>
    <t>https://ets-registry.webgate.ec.europa.eu/euregistry/PT/index.xhtml</t>
  </si>
  <si>
    <t>APA, DRAAC-Az , DRAAC</t>
  </si>
  <si>
    <t>APA</t>
  </si>
  <si>
    <t>APA,DRAAC-Az , DRAAC</t>
  </si>
  <si>
    <t xml:space="preserve">APA, DRAAC-Az </t>
  </si>
  <si>
    <t>Information to the public</t>
  </si>
  <si>
    <t>Portuguese Environment Agency, Public Institut</t>
  </si>
  <si>
    <t>When necessary there are meetings with the regional authorities to clarify new rules and procedures.</t>
  </si>
  <si>
    <t xml:space="preserve">When necessary </t>
  </si>
  <si>
    <t>The CA carries out internal coordination and has harmonized internal procedures with respect to permiting, monitoring rules aplication, review of the diferent reports</t>
  </si>
  <si>
    <t>In relation to the ETS permit procedure the CA also carries out coordination activities with the CA responsable for the permit under the integrated pollution prevention and control Directive.</t>
  </si>
  <si>
    <t>IPAC has established a Technical Comittee (CTaC) with regular meetings, with the presence of all accredited verifiers and the Competent Authority.
Where there are relevant issues for EU ETS verifiers they are discussed in these meetings.</t>
  </si>
  <si>
    <t>The EU ETS permit is an annex of the IED permit. However, the issuing of these documents is performed by different departments, both within APA.</t>
  </si>
  <si>
    <t>The approval of monitoring plans and assessment of emissions reports are carried by the Climate Change department. Information on the emission data reported under the ETS, after being aproved and reviewed by the ETS team is aldo shared with the colleagues responsable for the Pollutant Release and Transfer Register (PRTR).</t>
  </si>
  <si>
    <t>The inspection of the EU ETS activities is carried by a different entity: General Inspection of Agriculture, Sea, Environment and Territorial Planning (IGAMAOT).</t>
  </si>
  <si>
    <t>Under the national law the permit is withdrawn (Under article 9 (1) (2) of Decree-Law 12/2020, 06 April) when: the installation ceased operation, the industrial permit expired or was revoked, the installation went out of scope of the EU ETS or when the request for a permit under EID Directive was rejected, or the permit expired or was revoked.</t>
  </si>
  <si>
    <t>The permit is updated when the increase of capacity is associated with significant modifications of the monitoring plan according to the Commission Implementing Regulation (EU) 2018/2066 of 19 December 2018, amended and corrected by Commission Implementing Regulation (EU) 2020/2085 of 14 December 2020. For example the introduction of new source streams or emission sources.</t>
  </si>
  <si>
    <t>The permit is updated when the decrease of capacity is associated with significant modifications of the monitoring plan according to the Commission Implementing Regulation (EU) 2018/2066 of 19 December 2018, amended and corrected by Commission Implementing Regulation (EU) 2020/2085 of 14 December 2020. For example the removal of emission sources.</t>
  </si>
  <si>
    <t>The permit is updated when there are significant modifications of the monitoring plan according to the Commission Implementing Regulation (EU) 2018/2066 of 19 December 2018, amended and corrected by Commission Implementing Regulation (EU) 2020/2085 of 14 December 2020.</t>
  </si>
  <si>
    <t>Yes. Changes of the Tax number leads to permit update.</t>
  </si>
  <si>
    <t xml:space="preserve">Information reported is shared between the diferent regimes and there is good colaboration between the diferent teams (all belongin to APA) </t>
  </si>
  <si>
    <t>A few years ago it was created an IT platform that allows the submission of all the reports from stationary installation and aircraft operators through this system.</t>
  </si>
  <si>
    <t>waste tyres</t>
  </si>
  <si>
    <t>Vacuum Distillation Off Gas I</t>
  </si>
  <si>
    <t>Vacuum Distillation Off Gas II</t>
  </si>
  <si>
    <t>Tail Gas Sulfur Recovery I</t>
  </si>
  <si>
    <t>Tail Gas Sulfur Recovery II</t>
  </si>
  <si>
    <t>Acid Soluble Oil</t>
  </si>
  <si>
    <t>Acid gases</t>
  </si>
  <si>
    <t>Waste Gases</t>
  </si>
  <si>
    <t>Black liquor</t>
  </si>
  <si>
    <t>methanol</t>
  </si>
  <si>
    <t>gaseous effluent - CO stream</t>
  </si>
  <si>
    <t>gaseous effluent - HCl stream</t>
  </si>
  <si>
    <t>liquid effluent - 070103*</t>
  </si>
  <si>
    <t>liquid effluent - 070104*</t>
  </si>
  <si>
    <t>liquid effluent - 070107*</t>
  </si>
  <si>
    <t>gaseous effluent - R-1019/R-1035</t>
  </si>
  <si>
    <t>gaseous effluent - R-5004</t>
  </si>
  <si>
    <t>gaseous effluent - R-6010</t>
  </si>
  <si>
    <t>gaseous effluent - R-6012</t>
  </si>
  <si>
    <t>oxalic acid 10%</t>
  </si>
  <si>
    <t>n-propyl acetate</t>
  </si>
  <si>
    <t>Manganese acetate 5%</t>
  </si>
  <si>
    <t>Cobalt acetate 5%</t>
  </si>
  <si>
    <t>PTE</t>
  </si>
  <si>
    <t>PTF</t>
  </si>
  <si>
    <t>non EU ETS consumer</t>
  </si>
  <si>
    <t>PTB</t>
  </si>
  <si>
    <t>PTC</t>
  </si>
  <si>
    <t>PTD</t>
  </si>
  <si>
    <t>n.a. – as foreseen in COMMISSION IMPLEMENTING REGULATION (EU) 2022/388, of 8 March 2022, Member States may consider as fulfilled the sustainability and greenhouse gas emissions saving criteria from 1 January 2022 to 31 December 2022.</t>
  </si>
  <si>
    <t>The emissions reports were cross-checked against the 2021 activity data and emissions from the past years.</t>
  </si>
  <si>
    <t>All the emissions reports were analised in detail</t>
  </si>
  <si>
    <t>The reasons for rejecting the emissions reports were: errors in the activity data calculation based on the stock from the previous year; incorrect type of source stream selected; source strem calculation factor wrongly reported (and wrong emission factor units); missing of waste catalogue number; not using the same tiers of the monitoring plan</t>
  </si>
  <si>
    <t>Operators and verifiers to correct their reports to comply with the regulations 2020/2084 amending and correcting Implementing Regulation (EU) 2018/2067 and 2020/2085 amending and correcting Implementing Regulation (EU) 2018/2066, and to resubmit them for CA aproval</t>
  </si>
  <si>
    <t>Pandemic situation</t>
  </si>
  <si>
    <t>yes</t>
  </si>
  <si>
    <t>22689</t>
  </si>
  <si>
    <t>45516</t>
  </si>
  <si>
    <t>This operator has not
submitted AER, so the
Competent Authority has
estimated the emissions that
are twice the reduced scope
emissions available from
Eurocontrol's EU ETS Support
Facility, which holds air traffic
data from aircraft operators.</t>
  </si>
  <si>
    <t>The Aircraft operator
is subject to a
penalty and must
also surrender the
emission allowances
in an amount equal
to the verified
emissions.</t>
  </si>
  <si>
    <t>Eurocontrol AER and Annual Emissions Monitoring Plan</t>
  </si>
  <si>
    <t>Wrong States designation and lack of fulfillment of the offsetting requirements</t>
  </si>
  <si>
    <t>Aircraft Operators/verifiers were asked to make the necessary corrections to the ERA/VR for CA aproval.</t>
  </si>
  <si>
    <t>No actions were taken.</t>
  </si>
  <si>
    <t>Mostly issues related to the integrity tool, such as formula changes or differences in the values reported in the last ALC. But also other details such as errors in the values shown in the distribution of energy by uses (sheet E) among other small details.</t>
  </si>
  <si>
    <t>Operators were informed about the problems identified. The error has been explained in detail using as basis the relevant documentation (regulations, guidance documents, faqs) so that the mistake will not be repeated. The ETS auditor is always included in the information exchanges with the operator. Subsequent issues usually arise from these first interactions with the operator and meetings may be held to further clarify the situation. This leads to a resubmission of an updated annual activity level report by the operator and reassessment by the CA.</t>
  </si>
  <si>
    <t>These fines are for negligence. For fraud the fines are:Min=36 000  euros and Max=216 000 euros.</t>
  </si>
  <si>
    <t>Opening operator's account fee &lt; 25,000 tCO2</t>
  </si>
  <si>
    <t>Opening operator's account fee &gt; 25,000 tCO2</t>
  </si>
  <si>
    <t>Maintenance operator's account fee &lt; 25,000 tCO2</t>
  </si>
  <si>
    <t>Maintenance operator's account fee &gt; 25,000 tCO2</t>
  </si>
  <si>
    <t>no irregularities detected</t>
  </si>
  <si>
    <t>These fines are for neglicence. For fraud the fines are: Min=240 000 euros and Max=5 000 000 euros.</t>
  </si>
  <si>
    <t>These fines are for neglicence. For fraud the fines are: Min=6 000 euros and Max=36 000 euros.</t>
  </si>
  <si>
    <t>These fines are for neglicence. For fraud the fines are: Min=36 000 euros and Max=216 000 euros.</t>
  </si>
  <si>
    <t>Absence of na account in the Portuguese ETS Registry</t>
  </si>
  <si>
    <t>Failure to submit the annual activity level report by 31 March</t>
  </si>
  <si>
    <t>Decree-Law No. 12/2020 of 06 April 2020</t>
  </si>
  <si>
    <t>Decree-Law No. 93/2010, of 27 July amended and republished by Decree-Law No. 195/2015 of 14 September</t>
  </si>
  <si>
    <t>1 - Whenever the seriousness of the infraction justifies it, the competent authority may, simultaneously with the fine, determine the application of the accessory sanctions that prove to be appropriate, under the terms provided for in Law no. 50/2006, of 29 August, in its current wording.
2 - The competent authority may also, whenever necessary, determine the provisional seizure of goods and documents, under the terms provided for in article 42 of Law No. 50/2006, of 29 August, in its current wording.</t>
  </si>
  <si>
    <t>An allowance constitutes an intangible asset.</t>
  </si>
  <si>
    <t>The accounting treatment of emission allowances is regulated by the National Standard NCRF 26 – Matérias Ambientais published
in national legislation Aviso n.º 8256/2015 29th July 2015, particularly in paragraphs 5-12 that are transcribed below: “5 - An
entity shall recognize as intangible assets licenses emission of greenhouse effect whether they have been assigned free or they
were acquired in the market. 6 – In counterpart for recognition of licenses assigned free a grant will be recognized. 7 - The
emission of greenhouse effect should be recognized as an expense. 8 - In counterpart for recognition of emissions of greenhouse
gases the respective amortization of intangible assets must be recognized. 9 - Emissions of greenhouse gas effect above the
licenses held should be recognized as a liability under NCRF 21. 10 - On initial recognition, the gas emission allowances
greenhouse or allocated free of charge or acquired for consideration must be measured at fair value, which is presumed to
coincide with the acquisition cost when acquired for consideration as recommended in paragraph 42 of NCRF 6 and in paragraph
22 of NCRF 22. 11 - The emission of greenhouse effect should be measured at cost of licenses held, according to the FIFO cost
formula. If the entity issues greenhouse gas effect without holding the related licenses, the measurement should be made by the
best estimate of the price for their production. 12 - Given the particular issue of greenhouse gas effect, the disclosures to be
made should be compiled in a note in the Annex.”</t>
  </si>
  <si>
    <t>VAT</t>
  </si>
  <si>
    <t>0.23</t>
  </si>
  <si>
    <t>EU regulation 1193/2011 of the Commission of 18 November, provides in Article 72 that the national administrator, directors and employees must cooperate with the FIU, including informing the FIU when they know or suspect activities related to ML / FT.</t>
  </si>
  <si>
    <t>Portuguese Judicial Police</t>
  </si>
  <si>
    <t xml:space="preserve">In the case of the commitment of ML offences the sanctions are between 2 and 12 years of imprisonment. Crimes of fraud related crimes between 2 and 8 years of imprisonment and crimes related to pollution up to 5 years of imprisonment. Non criminal sanctions are also applicable in Decree-Law 12/2020, fines up to 250 000 00 euros, accompanied by seizures and imposture of prohibitions. </t>
  </si>
  <si>
    <t>In CRF Category 1=1A2d and Category 2=2H1, This exercise does not account for the emissions associated with transferred CO2, so the total emissions accounted for here will be higher than the total value reported at the national level</t>
  </si>
  <si>
    <t>Waste Tyres - The default values used were obtained from two separate studies conducted at national level on the basis of laboratory analyses carried out on representative batches received in 2018/2019 (first study) and 2020 (second study). The competent authority intervened in the working group created for this purpose, validating the sampling and analysis methodology. The results of this study will be reviewed for the second period of phase IV.</t>
  </si>
  <si>
    <t>Estimated values based on the annual emissions reports</t>
  </si>
  <si>
    <t>Number of verifiers accredited by a national accreditation body in another Member State that carried out verification in your Member State -1 and the Member State of accreditation - ES</t>
  </si>
  <si>
    <t>Number of verifiers accredited by a national accreditation body in another Member State that carried out verification in your Member State -1 and the Member State of accreditation - NL</t>
  </si>
  <si>
    <t>Still to be confirmed if the installation was in operation during the reporting period.</t>
  </si>
  <si>
    <t>Permit issuance/ monitoring plan approval:
&lt;25 kt CO2 - 207,96 €
≥25 kt CO2 and &lt;50 kt CO2 - 363,92 €
&gt;50 kt CO2 and ≤500 kt CO2 - 727,85 €
&gt;500 kt CO2 - 1455,69 €
Permit update:
&lt;25 kt CO2 - 103,97 €
≥25 kt CO2 and &lt;50 kt CO2 - 207,96 €
&gt;50 kt CO2 and ≤500 kt CO2 - 415,91 €
&gt;500 kt CO2 - 987,79 €</t>
  </si>
  <si>
    <t xml:space="preserve">Approval of monitoring plan for emissions and Approval of monitoring plan for tonne-kilometre data:
&lt;25 kt CO2 - 279,14 €
≥25 kt CO2 - 1954,00 €
Approval of change to monitoring plan for emissions and Approval of change to monitoring plan for tonne-kilometre data:
&lt;25 kt CO2 - 139,57 €
≥25 kt CO2 - 1320,56 €
</t>
  </si>
  <si>
    <t>There are no specific arrangements in place to ensure that the competent authorities involved in the implementation of EU ETS are made aware of fraudulent activities.</t>
  </si>
  <si>
    <t>This Agency is not aware of any ongoing investigation, cases brought to court, or any convictions that have occurred.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</si>
</sst>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039"/>
  <sheetViews>
    <sheetView tabSelected="1" topLeftCell="A1017" workbookViewId="0">
      <selection activeCell="B1039" sqref="B1039"/>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"["&amp;$C11&amp;"]["&amp;$D11&amp;"]["&amp;$F11&amp;"]"</f>
        <v>[S02_CompetentAuthority][3][CAName]</v>
      </c>
    </row>
    <row r="12" spans="1:18" x14ac:dyDescent="0.3">
      <c r="A12" t="s">
        <v>2277</v>
      </c>
      <c r="B12" t="s">
        <v>1749</v>
      </c>
      <c r="C12" t="s">
        <v>1750</v>
      </c>
      <c r="D12">
        <v>4</v>
      </c>
      <c r="E12" t="s">
        <v>1447</v>
      </c>
      <c r="F12" t="s">
        <v>1751</v>
      </c>
      <c r="G12" t="s">
        <v>1741</v>
      </c>
      <c r="H12" t="s">
        <v>2288</v>
      </c>
      <c r="I12" t="s">
        <v>2279</v>
      </c>
      <c r="J12" t="s">
        <v>2279</v>
      </c>
      <c r="K12" t="s">
        <v>2279</v>
      </c>
      <c r="L12" t="s">
        <v>2279</v>
      </c>
      <c r="M12" t="s">
        <v>2279</v>
      </c>
      <c r="N12" t="s">
        <v>2279</v>
      </c>
      <c r="O12" s="190" t="str">
        <f>"["&amp;$C12&amp;"]["&amp;$D12&amp;"]["&amp;$F12&amp;"]"</f>
        <v>[S02_CompetentAuthority][4][CAName]</v>
      </c>
    </row>
    <row r="13" spans="1:18" x14ac:dyDescent="0.3">
      <c r="A13" t="s">
        <v>2277</v>
      </c>
      <c r="B13" t="s">
        <v>1749</v>
      </c>
      <c r="C13" t="s">
        <v>1750</v>
      </c>
      <c r="D13">
        <v>1</v>
      </c>
      <c r="E13" t="s">
        <v>1447</v>
      </c>
      <c r="F13" t="s">
        <v>1752</v>
      </c>
      <c r="G13" t="s">
        <v>1741</v>
      </c>
      <c r="H13" t="s">
        <v>2289</v>
      </c>
      <c r="I13" t="s">
        <v>2279</v>
      </c>
      <c r="J13" t="s">
        <v>2279</v>
      </c>
      <c r="K13" t="s">
        <v>2279</v>
      </c>
      <c r="L13" t="s">
        <v>2279</v>
      </c>
      <c r="M13" t="s">
        <v>2279</v>
      </c>
      <c r="N13" t="s">
        <v>2279</v>
      </c>
      <c r="O13" s="190" t="str">
        <f>"["&amp;$C13&amp;"]["&amp;$D13&amp;"]["&amp;$F13&amp;"]"</f>
        <v>[S02_CompetentAuthority][1][CAAbbreviation]</v>
      </c>
    </row>
    <row r="14" spans="1:18" x14ac:dyDescent="0.3">
      <c r="A14" t="s">
        <v>2277</v>
      </c>
      <c r="B14" t="s">
        <v>1749</v>
      </c>
      <c r="C14" t="s">
        <v>1750</v>
      </c>
      <c r="D14">
        <v>2</v>
      </c>
      <c r="E14" t="s">
        <v>1447</v>
      </c>
      <c r="F14" t="s">
        <v>1752</v>
      </c>
      <c r="G14" t="s">
        <v>1741</v>
      </c>
      <c r="H14" t="s">
        <v>2290</v>
      </c>
      <c r="I14" t="s">
        <v>2279</v>
      </c>
      <c r="J14" t="s">
        <v>2279</v>
      </c>
      <c r="K14" t="s">
        <v>2279</v>
      </c>
      <c r="L14" t="s">
        <v>2279</v>
      </c>
      <c r="M14" t="s">
        <v>2279</v>
      </c>
      <c r="N14" t="s">
        <v>2279</v>
      </c>
      <c r="O14" s="190" t="str">
        <f>"["&amp;$C14&amp;"]["&amp;$D14&amp;"]["&amp;$F14&amp;"]"</f>
        <v>[S02_CompetentAuthority][2][CAAbbreviation]</v>
      </c>
    </row>
    <row r="15" spans="1:18" x14ac:dyDescent="0.3">
      <c r="A15" t="s">
        <v>2277</v>
      </c>
      <c r="B15" t="s">
        <v>1749</v>
      </c>
      <c r="C15" t="s">
        <v>1750</v>
      </c>
      <c r="D15">
        <v>3</v>
      </c>
      <c r="E15" t="s">
        <v>1447</v>
      </c>
      <c r="F15" t="s">
        <v>1752</v>
      </c>
      <c r="G15" t="s">
        <v>1741</v>
      </c>
      <c r="H15" t="s">
        <v>2291</v>
      </c>
      <c r="I15" t="s">
        <v>2279</v>
      </c>
      <c r="J15" t="s">
        <v>2279</v>
      </c>
      <c r="K15" t="s">
        <v>2279</v>
      </c>
      <c r="L15" t="s">
        <v>2279</v>
      </c>
      <c r="M15" t="s">
        <v>2279</v>
      </c>
      <c r="N15" t="s">
        <v>2279</v>
      </c>
      <c r="O15" s="190" t="str">
        <f>"["&amp;$C15&amp;"]["&amp;$D15&amp;"]["&amp;$F15&amp;"]"</f>
        <v>[S02_CompetentAuthority][3][CAAbbreviation]</v>
      </c>
    </row>
    <row r="16" spans="1:18" x14ac:dyDescent="0.3">
      <c r="A16" t="s">
        <v>2277</v>
      </c>
      <c r="B16" t="s">
        <v>1749</v>
      </c>
      <c r="C16" t="s">
        <v>1750</v>
      </c>
      <c r="D16">
        <v>4</v>
      </c>
      <c r="E16" t="s">
        <v>1447</v>
      </c>
      <c r="F16" t="s">
        <v>1752</v>
      </c>
      <c r="G16" t="s">
        <v>1741</v>
      </c>
      <c r="H16" t="s">
        <v>2292</v>
      </c>
      <c r="I16" t="s">
        <v>2279</v>
      </c>
      <c r="J16" t="s">
        <v>2279</v>
      </c>
      <c r="K16" t="s">
        <v>2279</v>
      </c>
      <c r="L16" t="s">
        <v>2279</v>
      </c>
      <c r="M16" t="s">
        <v>2279</v>
      </c>
      <c r="N16" t="s">
        <v>2279</v>
      </c>
      <c r="O16" s="190" t="str">
        <f>"["&amp;$C16&amp;"]["&amp;$D16&amp;"]["&amp;$F16&amp;"]"</f>
        <v>[S02_CompetentAuthority][4][CAAbbreviation]</v>
      </c>
    </row>
    <row r="17" spans="1:15" x14ac:dyDescent="0.3">
      <c r="A17" t="s">
        <v>2277</v>
      </c>
      <c r="B17" t="s">
        <v>1749</v>
      </c>
      <c r="C17" t="s">
        <v>1750</v>
      </c>
      <c r="D17">
        <v>1</v>
      </c>
      <c r="E17" t="s">
        <v>1447</v>
      </c>
      <c r="F17" t="s">
        <v>1753</v>
      </c>
      <c r="G17" t="s">
        <v>1741</v>
      </c>
      <c r="H17" t="s">
        <v>1422</v>
      </c>
      <c r="I17" t="s">
        <v>2279</v>
      </c>
      <c r="J17" t="s">
        <v>2279</v>
      </c>
      <c r="K17" t="s">
        <v>2279</v>
      </c>
      <c r="L17" t="s">
        <v>2279</v>
      </c>
      <c r="M17" t="s">
        <v>2279</v>
      </c>
      <c r="N17" t="s">
        <v>2279</v>
      </c>
      <c r="O17" s="190" t="str">
        <f>"["&amp;$C17&amp;"]["&amp;$D17&amp;"]["&amp;$F17&amp;"]"</f>
        <v>[S02_CompetentAuthority][1][CAType]</v>
      </c>
    </row>
    <row r="18" spans="1:15" x14ac:dyDescent="0.3">
      <c r="A18" t="s">
        <v>2277</v>
      </c>
      <c r="B18" t="s">
        <v>1749</v>
      </c>
      <c r="C18" t="s">
        <v>1750</v>
      </c>
      <c r="D18">
        <v>2</v>
      </c>
      <c r="E18" t="s">
        <v>1447</v>
      </c>
      <c r="F18" t="s">
        <v>1753</v>
      </c>
      <c r="G18" t="s">
        <v>1741</v>
      </c>
      <c r="H18" t="s">
        <v>1450</v>
      </c>
      <c r="I18" t="s">
        <v>2279</v>
      </c>
      <c r="J18" t="s">
        <v>2279</v>
      </c>
      <c r="K18" t="s">
        <v>2279</v>
      </c>
      <c r="L18" t="s">
        <v>2279</v>
      </c>
      <c r="M18" t="s">
        <v>2279</v>
      </c>
      <c r="N18" t="s">
        <v>2279</v>
      </c>
      <c r="O18" s="190" t="str">
        <f>"["&amp;$C18&amp;"]["&amp;$D18&amp;"]["&amp;$F18&amp;"]"</f>
        <v>[S02_CompetentAuthority][2][CAType]</v>
      </c>
    </row>
    <row r="19" spans="1:15" x14ac:dyDescent="0.3">
      <c r="A19" t="s">
        <v>2277</v>
      </c>
      <c r="B19" t="s">
        <v>1749</v>
      </c>
      <c r="C19" t="s">
        <v>1750</v>
      </c>
      <c r="D19">
        <v>3</v>
      </c>
      <c r="E19" t="s">
        <v>1447</v>
      </c>
      <c r="F19" t="s">
        <v>1753</v>
      </c>
      <c r="G19" t="s">
        <v>1741</v>
      </c>
      <c r="H19" t="s">
        <v>1450</v>
      </c>
      <c r="I19" t="s">
        <v>2279</v>
      </c>
      <c r="J19" t="s">
        <v>2279</v>
      </c>
      <c r="K19" t="s">
        <v>2279</v>
      </c>
      <c r="L19" t="s">
        <v>2279</v>
      </c>
      <c r="M19" t="s">
        <v>2279</v>
      </c>
      <c r="N19" t="s">
        <v>2279</v>
      </c>
      <c r="O19" s="190" t="str">
        <f>"["&amp;$C19&amp;"]["&amp;$D19&amp;"]["&amp;$F19&amp;"]"</f>
        <v>[S02_CompetentAuthority][3][CAType]</v>
      </c>
    </row>
    <row r="20" spans="1:15" x14ac:dyDescent="0.3">
      <c r="A20" t="s">
        <v>2277</v>
      </c>
      <c r="B20" t="s">
        <v>1749</v>
      </c>
      <c r="C20" t="s">
        <v>1750</v>
      </c>
      <c r="D20">
        <v>4</v>
      </c>
      <c r="E20" t="s">
        <v>1447</v>
      </c>
      <c r="F20" t="s">
        <v>1753</v>
      </c>
      <c r="G20" t="s">
        <v>1741</v>
      </c>
      <c r="H20" t="s">
        <v>1227</v>
      </c>
      <c r="I20" t="s">
        <v>2279</v>
      </c>
      <c r="J20" t="s">
        <v>2279</v>
      </c>
      <c r="K20" t="s">
        <v>2279</v>
      </c>
      <c r="L20" t="s">
        <v>2279</v>
      </c>
      <c r="M20" t="s">
        <v>2279</v>
      </c>
      <c r="N20" t="s">
        <v>2279</v>
      </c>
      <c r="O20" s="190" t="str">
        <f>"["&amp;$C20&amp;"]["&amp;$D20&amp;"]["&amp;$F20&amp;"]"</f>
        <v>[S02_CompetentAuthority][4][CAType]</v>
      </c>
    </row>
    <row r="21" spans="1:15" x14ac:dyDescent="0.3">
      <c r="A21" t="s">
        <v>2277</v>
      </c>
      <c r="B21" t="s">
        <v>1749</v>
      </c>
      <c r="C21" t="s">
        <v>1750</v>
      </c>
      <c r="D21">
        <v>2</v>
      </c>
      <c r="E21" t="s">
        <v>1447</v>
      </c>
      <c r="F21" t="s">
        <v>1754</v>
      </c>
      <c r="G21" t="s">
        <v>1741</v>
      </c>
      <c r="H21" t="s">
        <v>2293</v>
      </c>
      <c r="I21" t="s">
        <v>2279</v>
      </c>
      <c r="J21" t="s">
        <v>2279</v>
      </c>
      <c r="K21" t="s">
        <v>2279</v>
      </c>
      <c r="L21" t="s">
        <v>2279</v>
      </c>
      <c r="M21" t="s">
        <v>2279</v>
      </c>
      <c r="N21" t="s">
        <v>2279</v>
      </c>
      <c r="O21" s="190" t="str">
        <f>"["&amp;$C21&amp;"]["&amp;$D21&amp;"]["&amp;$F21&amp;"]"</f>
        <v>[S02_CompetentAuthority][2][CANumber]</v>
      </c>
    </row>
    <row r="22" spans="1:15" x14ac:dyDescent="0.3">
      <c r="A22" t="s">
        <v>2277</v>
      </c>
      <c r="B22" t="s">
        <v>1749</v>
      </c>
      <c r="C22" t="s">
        <v>1750</v>
      </c>
      <c r="D22">
        <v>3</v>
      </c>
      <c r="E22" t="s">
        <v>1447</v>
      </c>
      <c r="F22" t="s">
        <v>1754</v>
      </c>
      <c r="G22" t="s">
        <v>1741</v>
      </c>
      <c r="H22" t="s">
        <v>2293</v>
      </c>
      <c r="I22" t="s">
        <v>2279</v>
      </c>
      <c r="J22" t="s">
        <v>2279</v>
      </c>
      <c r="K22" t="s">
        <v>2279</v>
      </c>
      <c r="L22" t="s">
        <v>2279</v>
      </c>
      <c r="M22" t="s">
        <v>2279</v>
      </c>
      <c r="N22" t="s">
        <v>2279</v>
      </c>
      <c r="O22" s="190" t="str">
        <f>"["&amp;$C22&amp;"]["&amp;$D22&amp;"]["&amp;$F22&amp;"]"</f>
        <v>[S02_CompetentAuthority][3][CANumber]</v>
      </c>
    </row>
    <row r="23" spans="1:15" x14ac:dyDescent="0.3">
      <c r="A23" t="s">
        <v>2277</v>
      </c>
      <c r="B23" t="s">
        <v>1749</v>
      </c>
      <c r="C23" t="s">
        <v>1750</v>
      </c>
      <c r="D23">
        <v>1</v>
      </c>
      <c r="E23" t="s">
        <v>1447</v>
      </c>
      <c r="F23" t="s">
        <v>1755</v>
      </c>
      <c r="G23" t="s">
        <v>1741</v>
      </c>
      <c r="H23" t="s">
        <v>2294</v>
      </c>
      <c r="I23" t="s">
        <v>2279</v>
      </c>
      <c r="J23" t="s">
        <v>2279</v>
      </c>
      <c r="K23" t="s">
        <v>2279</v>
      </c>
      <c r="L23" t="s">
        <v>2279</v>
      </c>
      <c r="M23" t="s">
        <v>2279</v>
      </c>
      <c r="N23" t="s">
        <v>2279</v>
      </c>
      <c r="O23" s="190" t="str">
        <f>"["&amp;$C23&amp;"]["&amp;$D23&amp;"]["&amp;$F23&amp;"]"</f>
        <v>[S02_CompetentAuthority][1][CATelephone]</v>
      </c>
    </row>
    <row r="24" spans="1:15" x14ac:dyDescent="0.3">
      <c r="A24" t="s">
        <v>2277</v>
      </c>
      <c r="B24" t="s">
        <v>1749</v>
      </c>
      <c r="C24" t="s">
        <v>1750</v>
      </c>
      <c r="D24">
        <v>2</v>
      </c>
      <c r="E24" t="s">
        <v>1447</v>
      </c>
      <c r="F24" t="s">
        <v>1755</v>
      </c>
      <c r="G24" t="s">
        <v>1741</v>
      </c>
      <c r="H24" t="s">
        <v>2295</v>
      </c>
      <c r="I24" t="s">
        <v>2279</v>
      </c>
      <c r="J24" t="s">
        <v>2279</v>
      </c>
      <c r="K24" t="s">
        <v>2279</v>
      </c>
      <c r="L24" t="s">
        <v>2279</v>
      </c>
      <c r="M24" t="s">
        <v>2279</v>
      </c>
      <c r="N24" t="s">
        <v>2279</v>
      </c>
      <c r="O24" s="190" t="str">
        <f>"["&amp;$C24&amp;"]["&amp;$D24&amp;"]["&amp;$F24&amp;"]"</f>
        <v>[S02_CompetentAuthority][2][CATelephone]</v>
      </c>
    </row>
    <row r="25" spans="1:15" x14ac:dyDescent="0.3">
      <c r="A25" t="s">
        <v>2277</v>
      </c>
      <c r="B25" t="s">
        <v>1749</v>
      </c>
      <c r="C25" t="s">
        <v>1750</v>
      </c>
      <c r="D25">
        <v>3</v>
      </c>
      <c r="E25" t="s">
        <v>1447</v>
      </c>
      <c r="F25" t="s">
        <v>1755</v>
      </c>
      <c r="G25" t="s">
        <v>1741</v>
      </c>
      <c r="H25" t="s">
        <v>2296</v>
      </c>
      <c r="I25" t="s">
        <v>2279</v>
      </c>
      <c r="J25" t="s">
        <v>2279</v>
      </c>
      <c r="K25" t="s">
        <v>2279</v>
      </c>
      <c r="L25" t="s">
        <v>2279</v>
      </c>
      <c r="M25" t="s">
        <v>2279</v>
      </c>
      <c r="N25" t="s">
        <v>2279</v>
      </c>
      <c r="O25" s="190" t="str">
        <f>"["&amp;$C25&amp;"]["&amp;$D25&amp;"]["&amp;$F25&amp;"]"</f>
        <v>[S02_CompetentAuthority][3][CATelephone]</v>
      </c>
    </row>
    <row r="26" spans="1:15" x14ac:dyDescent="0.3">
      <c r="A26" t="s">
        <v>2277</v>
      </c>
      <c r="B26" t="s">
        <v>1749</v>
      </c>
      <c r="C26" t="s">
        <v>1750</v>
      </c>
      <c r="D26">
        <v>4</v>
      </c>
      <c r="E26" t="s">
        <v>1447</v>
      </c>
      <c r="F26" t="s">
        <v>1755</v>
      </c>
      <c r="G26" t="s">
        <v>1741</v>
      </c>
      <c r="H26" t="s">
        <v>2297</v>
      </c>
      <c r="I26" t="s">
        <v>2279</v>
      </c>
      <c r="J26" t="s">
        <v>2279</v>
      </c>
      <c r="K26" t="s">
        <v>2279</v>
      </c>
      <c r="L26" t="s">
        <v>2279</v>
      </c>
      <c r="M26" t="s">
        <v>2279</v>
      </c>
      <c r="N26" t="s">
        <v>2279</v>
      </c>
      <c r="O26" s="190" t="str">
        <f>"["&amp;$C26&amp;"]["&amp;$D26&amp;"]["&amp;$F26&amp;"]"</f>
        <v>[S02_CompetentAuthority][4][CATelephone]</v>
      </c>
    </row>
    <row r="27" spans="1:15" x14ac:dyDescent="0.3">
      <c r="A27" t="s">
        <v>2277</v>
      </c>
      <c r="B27" t="s">
        <v>1749</v>
      </c>
      <c r="C27" t="s">
        <v>1750</v>
      </c>
      <c r="D27">
        <v>1</v>
      </c>
      <c r="E27" t="s">
        <v>1447</v>
      </c>
      <c r="F27" t="s">
        <v>1756</v>
      </c>
      <c r="G27" t="s">
        <v>1741</v>
      </c>
      <c r="H27" t="s">
        <v>2298</v>
      </c>
      <c r="I27" t="s">
        <v>2279</v>
      </c>
      <c r="J27" t="s">
        <v>2279</v>
      </c>
      <c r="K27" t="s">
        <v>2279</v>
      </c>
      <c r="L27" t="s">
        <v>2279</v>
      </c>
      <c r="M27" t="s">
        <v>2279</v>
      </c>
      <c r="N27" t="s">
        <v>2279</v>
      </c>
      <c r="O27" s="190" t="str">
        <f>"["&amp;$C27&amp;"]["&amp;$D27&amp;"]["&amp;$F27&amp;"]"</f>
        <v>[S02_CompetentAuthority][1][CAEmail]</v>
      </c>
    </row>
    <row r="28" spans="1:15" x14ac:dyDescent="0.3">
      <c r="A28" t="s">
        <v>2277</v>
      </c>
      <c r="B28" t="s">
        <v>1749</v>
      </c>
      <c r="C28" t="s">
        <v>1750</v>
      </c>
      <c r="D28">
        <v>2</v>
      </c>
      <c r="E28" t="s">
        <v>1447</v>
      </c>
      <c r="F28" t="s">
        <v>1756</v>
      </c>
      <c r="G28" t="s">
        <v>1741</v>
      </c>
      <c r="H28" t="s">
        <v>2299</v>
      </c>
      <c r="I28" t="s">
        <v>2279</v>
      </c>
      <c r="J28" t="s">
        <v>2279</v>
      </c>
      <c r="K28" t="s">
        <v>2279</v>
      </c>
      <c r="L28" t="s">
        <v>2279</v>
      </c>
      <c r="M28" t="s">
        <v>2279</v>
      </c>
      <c r="N28" t="s">
        <v>2279</v>
      </c>
      <c r="O28" s="190" t="str">
        <f>"["&amp;$C28&amp;"]["&amp;$D28&amp;"]["&amp;$F28&amp;"]"</f>
        <v>[S02_CompetentAuthority][2][CAEmail]</v>
      </c>
    </row>
    <row r="29" spans="1:15" x14ac:dyDescent="0.3">
      <c r="A29" t="s">
        <v>2277</v>
      </c>
      <c r="B29" t="s">
        <v>1749</v>
      </c>
      <c r="C29" t="s">
        <v>1750</v>
      </c>
      <c r="D29">
        <v>3</v>
      </c>
      <c r="E29" t="s">
        <v>1447</v>
      </c>
      <c r="F29" t="s">
        <v>1756</v>
      </c>
      <c r="G29" t="s">
        <v>1741</v>
      </c>
      <c r="H29" t="s">
        <v>2300</v>
      </c>
      <c r="I29" t="s">
        <v>2279</v>
      </c>
      <c r="J29" t="s">
        <v>2279</v>
      </c>
      <c r="K29" t="s">
        <v>2279</v>
      </c>
      <c r="L29" t="s">
        <v>2279</v>
      </c>
      <c r="M29" t="s">
        <v>2279</v>
      </c>
      <c r="N29" t="s">
        <v>2279</v>
      </c>
      <c r="O29" s="190" t="str">
        <f>"["&amp;$C29&amp;"]["&amp;$D29&amp;"]["&amp;$F29&amp;"]"</f>
        <v>[S02_CompetentAuthority][3][CAEmail]</v>
      </c>
    </row>
    <row r="30" spans="1:15" x14ac:dyDescent="0.3">
      <c r="A30" t="s">
        <v>2277</v>
      </c>
      <c r="B30" t="s">
        <v>1749</v>
      </c>
      <c r="C30" t="s">
        <v>1750</v>
      </c>
      <c r="D30">
        <v>4</v>
      </c>
      <c r="E30" t="s">
        <v>1447</v>
      </c>
      <c r="F30" t="s">
        <v>1756</v>
      </c>
      <c r="G30" t="s">
        <v>1741</v>
      </c>
      <c r="H30" t="s">
        <v>2301</v>
      </c>
      <c r="I30" t="s">
        <v>2279</v>
      </c>
      <c r="J30" t="s">
        <v>2279</v>
      </c>
      <c r="K30" t="s">
        <v>2279</v>
      </c>
      <c r="L30" t="s">
        <v>2279</v>
      </c>
      <c r="M30" t="s">
        <v>2279</v>
      </c>
      <c r="N30" t="s">
        <v>2279</v>
      </c>
      <c r="O30" s="190" t="str">
        <f>"["&amp;$C30&amp;"]["&amp;$D30&amp;"]["&amp;$F30&amp;"]"</f>
        <v>[S02_CompetentAuthority][4][CAEmail]</v>
      </c>
    </row>
    <row r="31" spans="1:15" x14ac:dyDescent="0.3">
      <c r="A31" t="s">
        <v>2277</v>
      </c>
      <c r="B31" t="s">
        <v>1749</v>
      </c>
      <c r="C31" t="s">
        <v>1750</v>
      </c>
      <c r="D31">
        <v>1</v>
      </c>
      <c r="E31" t="s">
        <v>1447</v>
      </c>
      <c r="F31" t="s">
        <v>1757</v>
      </c>
      <c r="G31" t="s">
        <v>1741</v>
      </c>
      <c r="H31" t="s">
        <v>2302</v>
      </c>
      <c r="I31" t="s">
        <v>2279</v>
      </c>
      <c r="J31" t="s">
        <v>2279</v>
      </c>
      <c r="K31" t="s">
        <v>2279</v>
      </c>
      <c r="L31" t="s">
        <v>2279</v>
      </c>
      <c r="M31" t="s">
        <v>2279</v>
      </c>
      <c r="N31" t="s">
        <v>2279</v>
      </c>
      <c r="O31" s="190" t="str">
        <f>"["&amp;$C31&amp;"]["&amp;$D31&amp;"]["&amp;$F31&amp;"]"</f>
        <v>[S02_CompetentAuthority][1][CAWebsite]</v>
      </c>
    </row>
    <row r="32" spans="1:15" x14ac:dyDescent="0.3">
      <c r="A32" t="s">
        <v>2277</v>
      </c>
      <c r="B32" t="s">
        <v>1749</v>
      </c>
      <c r="C32" t="s">
        <v>1750</v>
      </c>
      <c r="D32">
        <v>2</v>
      </c>
      <c r="E32" t="s">
        <v>1447</v>
      </c>
      <c r="F32" t="s">
        <v>1757</v>
      </c>
      <c r="G32" t="s">
        <v>1741</v>
      </c>
      <c r="H32" t="s">
        <v>2303</v>
      </c>
      <c r="I32" t="s">
        <v>2279</v>
      </c>
      <c r="J32" t="s">
        <v>2279</v>
      </c>
      <c r="K32" t="s">
        <v>2279</v>
      </c>
      <c r="L32" t="s">
        <v>2279</v>
      </c>
      <c r="M32" t="s">
        <v>2279</v>
      </c>
      <c r="N32" t="s">
        <v>2279</v>
      </c>
      <c r="O32" s="190" t="str">
        <f>"["&amp;$C32&amp;"]["&amp;$D32&amp;"]["&amp;$F32&amp;"]"</f>
        <v>[S02_CompetentAuthority][2][CAWebsite]</v>
      </c>
    </row>
    <row r="33" spans="1:15" x14ac:dyDescent="0.3">
      <c r="A33" t="s">
        <v>2277</v>
      </c>
      <c r="B33" t="s">
        <v>1749</v>
      </c>
      <c r="C33" t="s">
        <v>1750</v>
      </c>
      <c r="D33">
        <v>3</v>
      </c>
      <c r="E33" t="s">
        <v>1447</v>
      </c>
      <c r="F33" t="s">
        <v>1757</v>
      </c>
      <c r="G33" t="s">
        <v>1741</v>
      </c>
      <c r="H33" t="s">
        <v>2304</v>
      </c>
      <c r="I33" t="s">
        <v>2279</v>
      </c>
      <c r="J33" t="s">
        <v>2279</v>
      </c>
      <c r="K33" t="s">
        <v>2279</v>
      </c>
      <c r="L33" t="s">
        <v>2279</v>
      </c>
      <c r="M33" t="s">
        <v>2279</v>
      </c>
      <c r="N33" t="s">
        <v>2279</v>
      </c>
      <c r="O33" s="190" t="str">
        <f>"["&amp;$C33&amp;"]["&amp;$D33&amp;"]["&amp;$F33&amp;"]"</f>
        <v>[S02_CompetentAuthority][3][CAWebsite]</v>
      </c>
    </row>
    <row r="34" spans="1:15" x14ac:dyDescent="0.3">
      <c r="A34" t="s">
        <v>2277</v>
      </c>
      <c r="B34" t="s">
        <v>1749</v>
      </c>
      <c r="C34" t="s">
        <v>1750</v>
      </c>
      <c r="D34">
        <v>4</v>
      </c>
      <c r="E34" t="s">
        <v>1447</v>
      </c>
      <c r="F34" t="s">
        <v>1757</v>
      </c>
      <c r="G34" t="s">
        <v>1741</v>
      </c>
      <c r="H34" t="s">
        <v>2305</v>
      </c>
      <c r="I34" t="s">
        <v>2279</v>
      </c>
      <c r="J34" t="s">
        <v>2279</v>
      </c>
      <c r="K34" t="s">
        <v>2279</v>
      </c>
      <c r="L34" t="s">
        <v>2279</v>
      </c>
      <c r="M34" t="s">
        <v>2279</v>
      </c>
      <c r="N34" t="s">
        <v>2279</v>
      </c>
      <c r="O34" s="190" t="str">
        <f>"["&amp;$C34&amp;"]["&amp;$D34&amp;"]["&amp;$F34&amp;"]"</f>
        <v>[S02_CompetentAuthority][4][CAWebsite]</v>
      </c>
    </row>
    <row r="35" spans="1:15" x14ac:dyDescent="0.3">
      <c r="A35" t="s">
        <v>2277</v>
      </c>
      <c r="B35" t="s">
        <v>1749</v>
      </c>
      <c r="C35" t="s">
        <v>1758</v>
      </c>
      <c r="D35">
        <v>0</v>
      </c>
      <c r="E35" t="s">
        <v>1447</v>
      </c>
      <c r="F35" t="s">
        <v>1758</v>
      </c>
      <c r="G35" t="s">
        <v>1759</v>
      </c>
      <c r="H35" t="s">
        <v>2279</v>
      </c>
      <c r="I35" t="s">
        <v>2279</v>
      </c>
      <c r="J35" t="s">
        <v>2279</v>
      </c>
      <c r="K35" t="s">
        <v>2279</v>
      </c>
      <c r="L35" t="s">
        <v>1419</v>
      </c>
      <c r="M35" t="s">
        <v>2279</v>
      </c>
      <c r="N35" t="s">
        <v>2279</v>
      </c>
      <c r="O35" s="190" t="str">
        <f>"["&amp;$C35&amp;"]["&amp;$D35&amp;"]["&amp;$F35&amp;"]"</f>
        <v>[S02_AccreditationBodyYesNo][0][S02_AccreditationBodyYesNo]</v>
      </c>
    </row>
    <row r="36" spans="1:15" x14ac:dyDescent="0.3">
      <c r="A36" t="s">
        <v>2277</v>
      </c>
      <c r="B36" t="s">
        <v>1749</v>
      </c>
      <c r="C36" t="s">
        <v>1760</v>
      </c>
      <c r="D36">
        <v>1</v>
      </c>
      <c r="E36" t="s">
        <v>1447</v>
      </c>
      <c r="F36" t="s">
        <v>1761</v>
      </c>
      <c r="G36" t="s">
        <v>1741</v>
      </c>
      <c r="H36" t="s">
        <v>2306</v>
      </c>
      <c r="I36" t="s">
        <v>2279</v>
      </c>
      <c r="J36" t="s">
        <v>2279</v>
      </c>
      <c r="K36" t="s">
        <v>2279</v>
      </c>
      <c r="L36" t="s">
        <v>2279</v>
      </c>
      <c r="M36" t="s">
        <v>2279</v>
      </c>
      <c r="N36" t="s">
        <v>2279</v>
      </c>
      <c r="O36" s="190" t="str">
        <f>"["&amp;$C36&amp;"]["&amp;$D36&amp;"]["&amp;$F36&amp;"]"</f>
        <v>[S02_AccreditationBody][1][AccBodyName]</v>
      </c>
    </row>
    <row r="37" spans="1:15" x14ac:dyDescent="0.3">
      <c r="A37" t="s">
        <v>2277</v>
      </c>
      <c r="B37" t="s">
        <v>1749</v>
      </c>
      <c r="C37" t="s">
        <v>1760</v>
      </c>
      <c r="D37">
        <v>1</v>
      </c>
      <c r="E37" t="s">
        <v>1447</v>
      </c>
      <c r="F37" t="s">
        <v>1762</v>
      </c>
      <c r="G37" t="s">
        <v>1741</v>
      </c>
      <c r="H37" t="s">
        <v>2307</v>
      </c>
      <c r="I37" t="s">
        <v>2279</v>
      </c>
      <c r="J37" t="s">
        <v>2279</v>
      </c>
      <c r="K37" t="s">
        <v>2279</v>
      </c>
      <c r="L37" t="s">
        <v>2279</v>
      </c>
      <c r="M37" t="s">
        <v>2279</v>
      </c>
      <c r="N37" t="s">
        <v>2279</v>
      </c>
      <c r="O37" s="190" t="str">
        <f>"["&amp;$C37&amp;"]["&amp;$D37&amp;"]["&amp;$F37&amp;"]"</f>
        <v>[S02_AccreditationBody][1][AccBodyAbbreviation]</v>
      </c>
    </row>
    <row r="38" spans="1:15" x14ac:dyDescent="0.3">
      <c r="A38" t="s">
        <v>2277</v>
      </c>
      <c r="B38" t="s">
        <v>1749</v>
      </c>
      <c r="C38" t="s">
        <v>1760</v>
      </c>
      <c r="D38">
        <v>1</v>
      </c>
      <c r="E38" t="s">
        <v>1447</v>
      </c>
      <c r="F38" t="s">
        <v>1763</v>
      </c>
      <c r="G38" t="s">
        <v>1741</v>
      </c>
      <c r="H38" t="s">
        <v>2308</v>
      </c>
      <c r="I38" t="s">
        <v>2279</v>
      </c>
      <c r="J38" t="s">
        <v>2279</v>
      </c>
      <c r="K38" t="s">
        <v>2279</v>
      </c>
      <c r="L38" t="s">
        <v>2279</v>
      </c>
      <c r="M38" t="s">
        <v>2279</v>
      </c>
      <c r="N38" t="s">
        <v>2279</v>
      </c>
      <c r="O38" s="190" t="str">
        <f>"["&amp;$C38&amp;"]["&amp;$D38&amp;"]["&amp;$F38&amp;"]"</f>
        <v>[S02_AccreditationBody][1][AccBodyTelephone]</v>
      </c>
    </row>
    <row r="39" spans="1:15" x14ac:dyDescent="0.3">
      <c r="A39" t="s">
        <v>2277</v>
      </c>
      <c r="B39" t="s">
        <v>1749</v>
      </c>
      <c r="C39" t="s">
        <v>1760</v>
      </c>
      <c r="D39">
        <v>1</v>
      </c>
      <c r="E39" t="s">
        <v>1447</v>
      </c>
      <c r="F39" t="s">
        <v>1764</v>
      </c>
      <c r="G39" t="s">
        <v>1741</v>
      </c>
      <c r="H39" t="s">
        <v>2309</v>
      </c>
      <c r="I39" t="s">
        <v>2279</v>
      </c>
      <c r="J39" t="s">
        <v>2279</v>
      </c>
      <c r="K39" t="s">
        <v>2279</v>
      </c>
      <c r="L39" t="s">
        <v>2279</v>
      </c>
      <c r="M39" t="s">
        <v>2279</v>
      </c>
      <c r="N39" t="s">
        <v>2279</v>
      </c>
      <c r="O39" s="190" t="str">
        <f>"["&amp;$C39&amp;"]["&amp;$D39&amp;"]["&amp;$F39&amp;"]"</f>
        <v>[S02_AccreditationBody][1][AccBodyEmail]</v>
      </c>
    </row>
    <row r="40" spans="1:15" x14ac:dyDescent="0.3">
      <c r="A40" t="s">
        <v>2277</v>
      </c>
      <c r="B40" t="s">
        <v>1749</v>
      </c>
      <c r="C40" t="s">
        <v>1760</v>
      </c>
      <c r="D40">
        <v>1</v>
      </c>
      <c r="E40" t="s">
        <v>1447</v>
      </c>
      <c r="F40" t="s">
        <v>1765</v>
      </c>
      <c r="G40" t="s">
        <v>1741</v>
      </c>
      <c r="H40" t="s">
        <v>2310</v>
      </c>
      <c r="I40" t="s">
        <v>2279</v>
      </c>
      <c r="J40" t="s">
        <v>2279</v>
      </c>
      <c r="K40" t="s">
        <v>2279</v>
      </c>
      <c r="L40" t="s">
        <v>2279</v>
      </c>
      <c r="M40" t="s">
        <v>2279</v>
      </c>
      <c r="N40" t="s">
        <v>2279</v>
      </c>
      <c r="O40" s="190" t="str">
        <f>"["&amp;$C40&amp;"]["&amp;$D40&amp;"]["&amp;$F40&amp;"]"</f>
        <v>[S02_AccreditationBody][1][AccBodyWebsite]</v>
      </c>
    </row>
    <row r="41" spans="1:15" x14ac:dyDescent="0.3">
      <c r="A41" t="s">
        <v>2277</v>
      </c>
      <c r="B41" t="s">
        <v>1749</v>
      </c>
      <c r="C41" t="s">
        <v>1766</v>
      </c>
      <c r="D41">
        <v>0</v>
      </c>
      <c r="E41" t="s">
        <v>1447</v>
      </c>
      <c r="F41" t="s">
        <v>1766</v>
      </c>
      <c r="G41" t="s">
        <v>1759</v>
      </c>
      <c r="H41" t="s">
        <v>2279</v>
      </c>
      <c r="I41" t="s">
        <v>2279</v>
      </c>
      <c r="J41" t="s">
        <v>2279</v>
      </c>
      <c r="K41" t="s">
        <v>2279</v>
      </c>
      <c r="L41" t="s">
        <v>1447</v>
      </c>
      <c r="M41" t="s">
        <v>2279</v>
      </c>
      <c r="N41" t="s">
        <v>2279</v>
      </c>
      <c r="O41" s="190" t="str">
        <f>"["&amp;$C41&amp;"]["&amp;$D41&amp;"]["&amp;$F41&amp;"]"</f>
        <v>[CertificationBodySetUp][0][CertificationBodySetUp]</v>
      </c>
    </row>
    <row r="42" spans="1:15" x14ac:dyDescent="0.3">
      <c r="A42" t="s">
        <v>2277</v>
      </c>
      <c r="B42" t="s">
        <v>1749</v>
      </c>
      <c r="C42" t="s">
        <v>1773</v>
      </c>
      <c r="D42">
        <v>1</v>
      </c>
      <c r="E42" t="s">
        <v>1447</v>
      </c>
      <c r="F42" t="s">
        <v>1774</v>
      </c>
      <c r="G42" t="s">
        <v>1741</v>
      </c>
      <c r="H42" t="s">
        <v>2285</v>
      </c>
      <c r="I42" t="s">
        <v>2279</v>
      </c>
      <c r="J42" t="s">
        <v>2279</v>
      </c>
      <c r="K42" t="s">
        <v>2279</v>
      </c>
      <c r="L42" t="s">
        <v>2279</v>
      </c>
      <c r="M42" t="s">
        <v>2279</v>
      </c>
      <c r="N42" t="s">
        <v>2279</v>
      </c>
      <c r="O42" s="190" t="str">
        <f>"["&amp;$C42&amp;"]["&amp;$D42&amp;"]["&amp;$F42&amp;"]"</f>
        <v>[S02_RegistryAdministrator][1][RegAdminName]</v>
      </c>
    </row>
    <row r="43" spans="1:15" x14ac:dyDescent="0.3">
      <c r="A43" t="s">
        <v>2277</v>
      </c>
      <c r="B43" t="s">
        <v>1749</v>
      </c>
      <c r="C43" t="s">
        <v>1773</v>
      </c>
      <c r="D43">
        <v>1</v>
      </c>
      <c r="E43" t="s">
        <v>1447</v>
      </c>
      <c r="F43" t="s">
        <v>1775</v>
      </c>
      <c r="G43" t="s">
        <v>1741</v>
      </c>
      <c r="H43" t="s">
        <v>2311</v>
      </c>
      <c r="I43" t="s">
        <v>2279</v>
      </c>
      <c r="J43" t="s">
        <v>2279</v>
      </c>
      <c r="K43" t="s">
        <v>2279</v>
      </c>
      <c r="L43" t="s">
        <v>2279</v>
      </c>
      <c r="M43" t="s">
        <v>2279</v>
      </c>
      <c r="N43" t="s">
        <v>2279</v>
      </c>
      <c r="O43" s="190" t="str">
        <f>"["&amp;$C43&amp;"]["&amp;$D43&amp;"]["&amp;$F43&amp;"]"</f>
        <v>[S02_RegistryAdministrator][1][RegAdminAbbreviation]</v>
      </c>
    </row>
    <row r="44" spans="1:15" x14ac:dyDescent="0.3">
      <c r="A44" t="s">
        <v>2277</v>
      </c>
      <c r="B44" t="s">
        <v>1749</v>
      </c>
      <c r="C44" t="s">
        <v>1773</v>
      </c>
      <c r="D44">
        <v>1</v>
      </c>
      <c r="E44" t="s">
        <v>1447</v>
      </c>
      <c r="F44" t="s">
        <v>1776</v>
      </c>
      <c r="G44" t="s">
        <v>1741</v>
      </c>
      <c r="H44" t="s">
        <v>2312</v>
      </c>
      <c r="I44" t="s">
        <v>2279</v>
      </c>
      <c r="J44" t="s">
        <v>2279</v>
      </c>
      <c r="K44" t="s">
        <v>2279</v>
      </c>
      <c r="L44" t="s">
        <v>2279</v>
      </c>
      <c r="M44" t="s">
        <v>2279</v>
      </c>
      <c r="N44" t="s">
        <v>2279</v>
      </c>
      <c r="O44" s="190" t="str">
        <f>"["&amp;$C44&amp;"]["&amp;$D44&amp;"]["&amp;$F44&amp;"]"</f>
        <v>[S02_RegistryAdministrator][1][RegAdminTelephone]</v>
      </c>
    </row>
    <row r="45" spans="1:15" x14ac:dyDescent="0.3">
      <c r="A45" t="s">
        <v>2277</v>
      </c>
      <c r="B45" t="s">
        <v>1749</v>
      </c>
      <c r="C45" t="s">
        <v>1773</v>
      </c>
      <c r="D45">
        <v>1</v>
      </c>
      <c r="E45" t="s">
        <v>1447</v>
      </c>
      <c r="F45" t="s">
        <v>1777</v>
      </c>
      <c r="G45" t="s">
        <v>1741</v>
      </c>
      <c r="H45" t="s">
        <v>2313</v>
      </c>
      <c r="I45" t="s">
        <v>2279</v>
      </c>
      <c r="J45" t="s">
        <v>2279</v>
      </c>
      <c r="K45" t="s">
        <v>2279</v>
      </c>
      <c r="L45" t="s">
        <v>2279</v>
      </c>
      <c r="M45" t="s">
        <v>2279</v>
      </c>
      <c r="N45" t="s">
        <v>2279</v>
      </c>
      <c r="O45" s="190" t="str">
        <f>"["&amp;$C45&amp;"]["&amp;$D45&amp;"]["&amp;$F45&amp;"]"</f>
        <v>[S02_RegistryAdministrator][1][RegAdminEmail]</v>
      </c>
    </row>
    <row r="46" spans="1:15" x14ac:dyDescent="0.3">
      <c r="A46" t="s">
        <v>2277</v>
      </c>
      <c r="B46" t="s">
        <v>1749</v>
      </c>
      <c r="C46" t="s">
        <v>1773</v>
      </c>
      <c r="D46">
        <v>1</v>
      </c>
      <c r="E46" t="s">
        <v>1447</v>
      </c>
      <c r="F46" t="s">
        <v>1778</v>
      </c>
      <c r="G46" t="s">
        <v>1741</v>
      </c>
      <c r="H46" t="s">
        <v>2314</v>
      </c>
      <c r="I46" t="s">
        <v>2279</v>
      </c>
      <c r="J46" t="s">
        <v>2279</v>
      </c>
      <c r="K46" t="s">
        <v>2279</v>
      </c>
      <c r="L46" t="s">
        <v>2279</v>
      </c>
      <c r="M46" t="s">
        <v>2279</v>
      </c>
      <c r="N46" t="s">
        <v>2279</v>
      </c>
      <c r="O46" s="190" t="str">
        <f>"["&amp;$C46&amp;"]["&amp;$D46&amp;"]["&amp;$F46&amp;"]"</f>
        <v>[S02_RegistryAdministrator][1][RegAdminWebsite]</v>
      </c>
    </row>
    <row r="47" spans="1:15" x14ac:dyDescent="0.3">
      <c r="A47" t="s">
        <v>2277</v>
      </c>
      <c r="B47" t="s">
        <v>1779</v>
      </c>
      <c r="C47" t="s">
        <v>1780</v>
      </c>
      <c r="D47">
        <v>1</v>
      </c>
      <c r="E47" t="s">
        <v>1447</v>
      </c>
      <c r="F47" t="s">
        <v>1781</v>
      </c>
      <c r="G47" t="s">
        <v>1741</v>
      </c>
      <c r="H47" t="s">
        <v>2315</v>
      </c>
      <c r="I47" t="s">
        <v>2279</v>
      </c>
      <c r="J47" t="s">
        <v>2279</v>
      </c>
      <c r="K47" t="s">
        <v>2279</v>
      </c>
      <c r="L47" t="s">
        <v>2279</v>
      </c>
      <c r="M47" t="s">
        <v>2279</v>
      </c>
      <c r="N47" t="s">
        <v>2279</v>
      </c>
      <c r="O47" s="190" t="str">
        <f>"["&amp;$C47&amp;"]["&amp;$D47&amp;"]["&amp;$F47&amp;"]"</f>
        <v>[S02_CompetentAuthorityRoles][1][CAForInstallationTask]</v>
      </c>
    </row>
    <row r="48" spans="1:15" x14ac:dyDescent="0.3">
      <c r="A48" t="s">
        <v>2277</v>
      </c>
      <c r="B48" t="s">
        <v>1779</v>
      </c>
      <c r="C48" t="s">
        <v>1780</v>
      </c>
      <c r="D48">
        <v>2</v>
      </c>
      <c r="E48" t="s">
        <v>1447</v>
      </c>
      <c r="F48" t="s">
        <v>1781</v>
      </c>
      <c r="G48" t="s">
        <v>1741</v>
      </c>
      <c r="H48" t="s">
        <v>2315</v>
      </c>
      <c r="I48" t="s">
        <v>2279</v>
      </c>
      <c r="J48" t="s">
        <v>2279</v>
      </c>
      <c r="K48" t="s">
        <v>2279</v>
      </c>
      <c r="L48" t="s">
        <v>2279</v>
      </c>
      <c r="M48" t="s">
        <v>2279</v>
      </c>
      <c r="N48" t="s">
        <v>2279</v>
      </c>
      <c r="O48" s="190" t="str">
        <f>"["&amp;$C48&amp;"]["&amp;$D48&amp;"]["&amp;$F48&amp;"]"</f>
        <v>[S02_CompetentAuthorityRoles][2][CAForInstallationTask]</v>
      </c>
    </row>
    <row r="49" spans="1:15" x14ac:dyDescent="0.3">
      <c r="A49" t="s">
        <v>2277</v>
      </c>
      <c r="B49" t="s">
        <v>1779</v>
      </c>
      <c r="C49" t="s">
        <v>1780</v>
      </c>
      <c r="D49">
        <v>3</v>
      </c>
      <c r="E49" t="s">
        <v>1447</v>
      </c>
      <c r="F49" t="s">
        <v>1781</v>
      </c>
      <c r="G49" t="s">
        <v>1741</v>
      </c>
      <c r="H49" t="s">
        <v>2316</v>
      </c>
      <c r="I49" t="s">
        <v>2279</v>
      </c>
      <c r="J49" t="s">
        <v>2279</v>
      </c>
      <c r="K49" t="s">
        <v>2279</v>
      </c>
      <c r="L49" t="s">
        <v>2279</v>
      </c>
      <c r="M49" t="s">
        <v>2279</v>
      </c>
      <c r="N49" t="s">
        <v>2279</v>
      </c>
      <c r="O49" s="190" t="str">
        <f>"["&amp;$C49&amp;"]["&amp;$D49&amp;"]["&amp;$F49&amp;"]"</f>
        <v>[S02_CompetentAuthorityRoles][3][CAForInstallationTask]</v>
      </c>
    </row>
    <row r="50" spans="1:15" x14ac:dyDescent="0.3">
      <c r="A50" t="s">
        <v>2277</v>
      </c>
      <c r="B50" t="s">
        <v>1779</v>
      </c>
      <c r="C50" t="s">
        <v>1780</v>
      </c>
      <c r="D50">
        <v>4</v>
      </c>
      <c r="E50" t="s">
        <v>1447</v>
      </c>
      <c r="F50" t="s">
        <v>1781</v>
      </c>
      <c r="G50" t="s">
        <v>1741</v>
      </c>
      <c r="H50" t="s">
        <v>2316</v>
      </c>
      <c r="I50" t="s">
        <v>2279</v>
      </c>
      <c r="J50" t="s">
        <v>2279</v>
      </c>
      <c r="K50" t="s">
        <v>2279</v>
      </c>
      <c r="L50" t="s">
        <v>2279</v>
      </c>
      <c r="M50" t="s">
        <v>2279</v>
      </c>
      <c r="N50" t="s">
        <v>2279</v>
      </c>
      <c r="O50" s="190" t="str">
        <f>"["&amp;$C50&amp;"]["&amp;$D50&amp;"]["&amp;$F50&amp;"]"</f>
        <v>[S02_CompetentAuthorityRoles][4][CAForInstallationTask]</v>
      </c>
    </row>
    <row r="51" spans="1:15" x14ac:dyDescent="0.3">
      <c r="A51" t="s">
        <v>2277</v>
      </c>
      <c r="B51" t="s">
        <v>1779</v>
      </c>
      <c r="C51" t="s">
        <v>1780</v>
      </c>
      <c r="D51">
        <v>6</v>
      </c>
      <c r="E51" t="s">
        <v>1447</v>
      </c>
      <c r="F51" t="s">
        <v>1781</v>
      </c>
      <c r="G51" t="s">
        <v>1741</v>
      </c>
      <c r="H51" t="s">
        <v>2316</v>
      </c>
      <c r="I51" t="s">
        <v>2279</v>
      </c>
      <c r="J51" t="s">
        <v>2279</v>
      </c>
      <c r="K51" t="s">
        <v>2279</v>
      </c>
      <c r="L51" t="s">
        <v>2279</v>
      </c>
      <c r="M51" t="s">
        <v>2279</v>
      </c>
      <c r="N51" t="s">
        <v>2279</v>
      </c>
      <c r="O51" s="190" t="str">
        <f>"["&amp;$C51&amp;"]["&amp;$D51&amp;"]["&amp;$F51&amp;"]"</f>
        <v>[S02_CompetentAuthorityRoles][6][CAForInstallationTask]</v>
      </c>
    </row>
    <row r="52" spans="1:15" x14ac:dyDescent="0.3">
      <c r="A52" t="s">
        <v>2277</v>
      </c>
      <c r="B52" t="s">
        <v>1779</v>
      </c>
      <c r="C52" t="s">
        <v>1780</v>
      </c>
      <c r="D52">
        <v>7</v>
      </c>
      <c r="E52" t="s">
        <v>1447</v>
      </c>
      <c r="F52" t="s">
        <v>1781</v>
      </c>
      <c r="G52" t="s">
        <v>1741</v>
      </c>
      <c r="H52" t="s">
        <v>2316</v>
      </c>
      <c r="I52" t="s">
        <v>2279</v>
      </c>
      <c r="J52" t="s">
        <v>2279</v>
      </c>
      <c r="K52" t="s">
        <v>2279</v>
      </c>
      <c r="L52" t="s">
        <v>2279</v>
      </c>
      <c r="M52" t="s">
        <v>2279</v>
      </c>
      <c r="N52" t="s">
        <v>2279</v>
      </c>
      <c r="O52" s="190" t="str">
        <f>"["&amp;$C52&amp;"]["&amp;$D52&amp;"]["&amp;$F52&amp;"]"</f>
        <v>[S02_CompetentAuthorityRoles][7][CAForInstallationTask]</v>
      </c>
    </row>
    <row r="53" spans="1:15" x14ac:dyDescent="0.3">
      <c r="A53" t="s">
        <v>2277</v>
      </c>
      <c r="B53" t="s">
        <v>1779</v>
      </c>
      <c r="C53" t="s">
        <v>1780</v>
      </c>
      <c r="D53">
        <v>8</v>
      </c>
      <c r="E53" t="s">
        <v>1447</v>
      </c>
      <c r="F53" t="s">
        <v>1781</v>
      </c>
      <c r="G53" t="s">
        <v>1741</v>
      </c>
      <c r="H53" t="s">
        <v>2317</v>
      </c>
      <c r="I53" t="s">
        <v>2279</v>
      </c>
      <c r="J53" t="s">
        <v>2279</v>
      </c>
      <c r="K53" t="s">
        <v>2279</v>
      </c>
      <c r="L53" t="s">
        <v>2279</v>
      </c>
      <c r="M53" t="s">
        <v>2279</v>
      </c>
      <c r="N53" t="s">
        <v>2279</v>
      </c>
      <c r="O53" s="190" t="str">
        <f>"["&amp;$C53&amp;"]["&amp;$D53&amp;"]["&amp;$F53&amp;"]"</f>
        <v>[S02_CompetentAuthorityRoles][8][CAForInstallationTask]</v>
      </c>
    </row>
    <row r="54" spans="1:15" x14ac:dyDescent="0.3">
      <c r="A54" t="s">
        <v>2277</v>
      </c>
      <c r="B54" t="s">
        <v>1779</v>
      </c>
      <c r="C54" t="s">
        <v>1780</v>
      </c>
      <c r="D54">
        <v>9</v>
      </c>
      <c r="E54" t="s">
        <v>1447</v>
      </c>
      <c r="F54" t="s">
        <v>1781</v>
      </c>
      <c r="G54" t="s">
        <v>1741</v>
      </c>
      <c r="H54" t="s">
        <v>2315</v>
      </c>
      <c r="I54" t="s">
        <v>2279</v>
      </c>
      <c r="J54" t="s">
        <v>2279</v>
      </c>
      <c r="K54" t="s">
        <v>2279</v>
      </c>
      <c r="L54" t="s">
        <v>2279</v>
      </c>
      <c r="M54" t="s">
        <v>2279</v>
      </c>
      <c r="N54" t="s">
        <v>2279</v>
      </c>
      <c r="O54" s="190" t="str">
        <f>"["&amp;$C54&amp;"]["&amp;$D54&amp;"]["&amp;$F54&amp;"]"</f>
        <v>[S02_CompetentAuthorityRoles][9][CAForInstallationTask]</v>
      </c>
    </row>
    <row r="55" spans="1:15" x14ac:dyDescent="0.3">
      <c r="A55" t="s">
        <v>2277</v>
      </c>
      <c r="B55" t="s">
        <v>1779</v>
      </c>
      <c r="C55" t="s">
        <v>1780</v>
      </c>
      <c r="D55">
        <v>10</v>
      </c>
      <c r="E55" t="s">
        <v>1447</v>
      </c>
      <c r="F55" t="s">
        <v>1781</v>
      </c>
      <c r="G55" t="s">
        <v>1741</v>
      </c>
      <c r="H55" t="s">
        <v>2315</v>
      </c>
      <c r="I55" t="s">
        <v>2279</v>
      </c>
      <c r="J55" t="s">
        <v>2279</v>
      </c>
      <c r="K55" t="s">
        <v>2279</v>
      </c>
      <c r="L55" t="s">
        <v>2279</v>
      </c>
      <c r="M55" t="s">
        <v>2279</v>
      </c>
      <c r="N55" t="s">
        <v>2279</v>
      </c>
      <c r="O55" s="190" t="str">
        <f>"["&amp;$C55&amp;"]["&amp;$D55&amp;"]["&amp;$F55&amp;"]"</f>
        <v>[S02_CompetentAuthorityRoles][10][CAForInstallationTask]</v>
      </c>
    </row>
    <row r="56" spans="1:15" x14ac:dyDescent="0.3">
      <c r="A56" t="s">
        <v>2277</v>
      </c>
      <c r="B56" t="s">
        <v>1779</v>
      </c>
      <c r="C56" t="s">
        <v>1780</v>
      </c>
      <c r="D56">
        <v>11</v>
      </c>
      <c r="E56" t="s">
        <v>1447</v>
      </c>
      <c r="F56" t="s">
        <v>1781</v>
      </c>
      <c r="G56" t="s">
        <v>1741</v>
      </c>
      <c r="H56" t="s">
        <v>2292</v>
      </c>
      <c r="I56" t="s">
        <v>2279</v>
      </c>
      <c r="J56" t="s">
        <v>2279</v>
      </c>
      <c r="K56" t="s">
        <v>2279</v>
      </c>
      <c r="L56" t="s">
        <v>2279</v>
      </c>
      <c r="M56" t="s">
        <v>2279</v>
      </c>
      <c r="N56" t="s">
        <v>2279</v>
      </c>
      <c r="O56" s="190" t="str">
        <f>"["&amp;$C56&amp;"]["&amp;$D56&amp;"]["&amp;$F56&amp;"]"</f>
        <v>[S02_CompetentAuthorityRoles][11][CAForInstallationTask]</v>
      </c>
    </row>
    <row r="57" spans="1:15" x14ac:dyDescent="0.3">
      <c r="A57" t="s">
        <v>2277</v>
      </c>
      <c r="B57" t="s">
        <v>1779</v>
      </c>
      <c r="C57" t="s">
        <v>1780</v>
      </c>
      <c r="D57">
        <v>12</v>
      </c>
      <c r="E57" t="s">
        <v>1447</v>
      </c>
      <c r="F57" t="s">
        <v>1781</v>
      </c>
      <c r="G57" t="s">
        <v>1741</v>
      </c>
      <c r="H57" t="s">
        <v>2316</v>
      </c>
      <c r="I57" t="s">
        <v>2279</v>
      </c>
      <c r="J57" t="s">
        <v>2279</v>
      </c>
      <c r="K57" t="s">
        <v>2279</v>
      </c>
      <c r="L57" t="s">
        <v>2279</v>
      </c>
      <c r="M57" t="s">
        <v>2279</v>
      </c>
      <c r="N57" t="s">
        <v>2279</v>
      </c>
      <c r="O57" s="190" t="str">
        <f>"["&amp;$C57&amp;"]["&amp;$D57&amp;"]["&amp;$F57&amp;"]"</f>
        <v>[S02_CompetentAuthorityRoles][12][CAForInstallationTask]</v>
      </c>
    </row>
    <row r="58" spans="1:15" x14ac:dyDescent="0.3">
      <c r="A58" t="s">
        <v>2277</v>
      </c>
      <c r="B58" t="s">
        <v>1779</v>
      </c>
      <c r="C58" t="s">
        <v>1780</v>
      </c>
      <c r="D58">
        <v>13</v>
      </c>
      <c r="E58" t="s">
        <v>1447</v>
      </c>
      <c r="F58" t="s">
        <v>1781</v>
      </c>
      <c r="G58" t="s">
        <v>1741</v>
      </c>
      <c r="H58" t="s">
        <v>2318</v>
      </c>
      <c r="I58" t="s">
        <v>2279</v>
      </c>
      <c r="J58" t="s">
        <v>2279</v>
      </c>
      <c r="K58" t="s">
        <v>2279</v>
      </c>
      <c r="L58" t="s">
        <v>2279</v>
      </c>
      <c r="M58" t="s">
        <v>2279</v>
      </c>
      <c r="N58" t="s">
        <v>2279</v>
      </c>
      <c r="O58" s="190" t="str">
        <f>"["&amp;$C58&amp;"]["&amp;$D58&amp;"]["&amp;$F58&amp;"]"</f>
        <v>[S02_CompetentAuthorityRoles][13][CAForInstallationTask]</v>
      </c>
    </row>
    <row r="59" spans="1:15" x14ac:dyDescent="0.3">
      <c r="A59" t="s">
        <v>2277</v>
      </c>
      <c r="B59" t="s">
        <v>1779</v>
      </c>
      <c r="C59" t="s">
        <v>1780</v>
      </c>
      <c r="D59">
        <v>14</v>
      </c>
      <c r="E59" t="s">
        <v>1419</v>
      </c>
      <c r="F59" t="s">
        <v>1781</v>
      </c>
      <c r="G59" t="s">
        <v>1741</v>
      </c>
      <c r="H59" t="s">
        <v>2316</v>
      </c>
      <c r="I59" t="s">
        <v>2279</v>
      </c>
      <c r="J59" t="s">
        <v>2279</v>
      </c>
      <c r="K59" t="s">
        <v>2279</v>
      </c>
      <c r="L59" t="s">
        <v>2279</v>
      </c>
      <c r="M59" t="s">
        <v>2279</v>
      </c>
      <c r="N59" t="s">
        <v>2279</v>
      </c>
      <c r="O59" s="190" t="str">
        <f>"["&amp;$C59&amp;"]["&amp;$D59&amp;"]["&amp;$F59&amp;"]"</f>
        <v>[S02_CompetentAuthorityRoles][14][CAForInstallationTask]</v>
      </c>
    </row>
    <row r="60" spans="1:15" x14ac:dyDescent="0.3">
      <c r="A60" t="s">
        <v>2277</v>
      </c>
      <c r="B60" t="s">
        <v>1779</v>
      </c>
      <c r="C60" t="s">
        <v>1780</v>
      </c>
      <c r="D60">
        <v>5</v>
      </c>
      <c r="E60" t="s">
        <v>1447</v>
      </c>
      <c r="F60" t="s">
        <v>1782</v>
      </c>
      <c r="G60" t="s">
        <v>1741</v>
      </c>
      <c r="H60" t="s">
        <v>2316</v>
      </c>
      <c r="I60" t="s">
        <v>2279</v>
      </c>
      <c r="J60" t="s">
        <v>2279</v>
      </c>
      <c r="K60" t="s">
        <v>2279</v>
      </c>
      <c r="L60" t="s">
        <v>2279</v>
      </c>
      <c r="M60" t="s">
        <v>2279</v>
      </c>
      <c r="N60" t="s">
        <v>2279</v>
      </c>
      <c r="O60" s="190" t="str">
        <f>"["&amp;$C60&amp;"]["&amp;$D60&amp;"]["&amp;$F60&amp;"]"</f>
        <v>[S02_CompetentAuthorityRoles][5][CAForAviationTask]</v>
      </c>
    </row>
    <row r="61" spans="1:15" x14ac:dyDescent="0.3">
      <c r="A61" t="s">
        <v>2277</v>
      </c>
      <c r="B61" t="s">
        <v>1779</v>
      </c>
      <c r="C61" t="s">
        <v>1780</v>
      </c>
      <c r="D61">
        <v>6</v>
      </c>
      <c r="E61" t="s">
        <v>1447</v>
      </c>
      <c r="F61" t="s">
        <v>1782</v>
      </c>
      <c r="G61" t="s">
        <v>1741</v>
      </c>
      <c r="H61" t="s">
        <v>2316</v>
      </c>
      <c r="I61" t="s">
        <v>2279</v>
      </c>
      <c r="J61" t="s">
        <v>2279</v>
      </c>
      <c r="K61" t="s">
        <v>2279</v>
      </c>
      <c r="L61" t="s">
        <v>2279</v>
      </c>
      <c r="M61" t="s">
        <v>2279</v>
      </c>
      <c r="N61" t="s">
        <v>2279</v>
      </c>
      <c r="O61" s="190" t="str">
        <f>"["&amp;$C61&amp;"]["&amp;$D61&amp;"]["&amp;$F61&amp;"]"</f>
        <v>[S02_CompetentAuthorityRoles][6][CAForAviationTask]</v>
      </c>
    </row>
    <row r="62" spans="1:15" x14ac:dyDescent="0.3">
      <c r="A62" t="s">
        <v>2277</v>
      </c>
      <c r="B62" t="s">
        <v>1779</v>
      </c>
      <c r="C62" t="s">
        <v>1780</v>
      </c>
      <c r="D62">
        <v>7</v>
      </c>
      <c r="E62" t="s">
        <v>1447</v>
      </c>
      <c r="F62" t="s">
        <v>1782</v>
      </c>
      <c r="G62" t="s">
        <v>1741</v>
      </c>
      <c r="H62" t="s">
        <v>2316</v>
      </c>
      <c r="I62" t="s">
        <v>2279</v>
      </c>
      <c r="J62" t="s">
        <v>2279</v>
      </c>
      <c r="K62" t="s">
        <v>2279</v>
      </c>
      <c r="L62" t="s">
        <v>2279</v>
      </c>
      <c r="M62" t="s">
        <v>2279</v>
      </c>
      <c r="N62" t="s">
        <v>2279</v>
      </c>
      <c r="O62" s="190" t="str">
        <f>"["&amp;$C62&amp;"]["&amp;$D62&amp;"]["&amp;$F62&amp;"]"</f>
        <v>[S02_CompetentAuthorityRoles][7][CAForAviationTask]</v>
      </c>
    </row>
    <row r="63" spans="1:15" x14ac:dyDescent="0.3">
      <c r="A63" t="s">
        <v>2277</v>
      </c>
      <c r="B63" t="s">
        <v>1779</v>
      </c>
      <c r="C63" t="s">
        <v>1780</v>
      </c>
      <c r="D63">
        <v>8</v>
      </c>
      <c r="E63" t="s">
        <v>1447</v>
      </c>
      <c r="F63" t="s">
        <v>1782</v>
      </c>
      <c r="G63" t="s">
        <v>1741</v>
      </c>
      <c r="H63" t="s">
        <v>2316</v>
      </c>
      <c r="I63" t="s">
        <v>2279</v>
      </c>
      <c r="J63" t="s">
        <v>2279</v>
      </c>
      <c r="K63" t="s">
        <v>2279</v>
      </c>
      <c r="L63" t="s">
        <v>2279</v>
      </c>
      <c r="M63" t="s">
        <v>2279</v>
      </c>
      <c r="N63" t="s">
        <v>2279</v>
      </c>
      <c r="O63" s="190" t="str">
        <f>"["&amp;$C63&amp;"]["&amp;$D63&amp;"]["&amp;$F63&amp;"]"</f>
        <v>[S02_CompetentAuthorityRoles][8][CAForAviationTask]</v>
      </c>
    </row>
    <row r="64" spans="1:15" x14ac:dyDescent="0.3">
      <c r="A64" t="s">
        <v>2277</v>
      </c>
      <c r="B64" t="s">
        <v>1779</v>
      </c>
      <c r="C64" t="s">
        <v>1780</v>
      </c>
      <c r="D64">
        <v>9</v>
      </c>
      <c r="E64" t="s">
        <v>1447</v>
      </c>
      <c r="F64" t="s">
        <v>1782</v>
      </c>
      <c r="G64" t="s">
        <v>1741</v>
      </c>
      <c r="H64" t="s">
        <v>2316</v>
      </c>
      <c r="I64" t="s">
        <v>2279</v>
      </c>
      <c r="J64" t="s">
        <v>2279</v>
      </c>
      <c r="K64" t="s">
        <v>2279</v>
      </c>
      <c r="L64" t="s">
        <v>2279</v>
      </c>
      <c r="M64" t="s">
        <v>2279</v>
      </c>
      <c r="N64" t="s">
        <v>2279</v>
      </c>
      <c r="O64" s="190" t="str">
        <f>"["&amp;$C64&amp;"]["&amp;$D64&amp;"]["&amp;$F64&amp;"]"</f>
        <v>[S02_CompetentAuthorityRoles][9][CAForAviationTask]</v>
      </c>
    </row>
    <row r="65" spans="1:15" x14ac:dyDescent="0.3">
      <c r="A65" t="s">
        <v>2277</v>
      </c>
      <c r="B65" t="s">
        <v>1779</v>
      </c>
      <c r="C65" t="s">
        <v>1780</v>
      </c>
      <c r="D65">
        <v>10</v>
      </c>
      <c r="E65" t="s">
        <v>1447</v>
      </c>
      <c r="F65" t="s">
        <v>1782</v>
      </c>
      <c r="G65" t="s">
        <v>1741</v>
      </c>
      <c r="H65" t="s">
        <v>2316</v>
      </c>
      <c r="I65" t="s">
        <v>2279</v>
      </c>
      <c r="J65" t="s">
        <v>2279</v>
      </c>
      <c r="K65" t="s">
        <v>2279</v>
      </c>
      <c r="L65" t="s">
        <v>2279</v>
      </c>
      <c r="M65" t="s">
        <v>2279</v>
      </c>
      <c r="N65" t="s">
        <v>2279</v>
      </c>
      <c r="O65" s="190" t="str">
        <f>"["&amp;$C65&amp;"]["&amp;$D65&amp;"]["&amp;$F65&amp;"]"</f>
        <v>[S02_CompetentAuthorityRoles][10][CAForAviationTask]</v>
      </c>
    </row>
    <row r="66" spans="1:15" x14ac:dyDescent="0.3">
      <c r="A66" t="s">
        <v>2277</v>
      </c>
      <c r="B66" t="s">
        <v>1779</v>
      </c>
      <c r="C66" t="s">
        <v>1780</v>
      </c>
      <c r="D66">
        <v>11</v>
      </c>
      <c r="E66" t="s">
        <v>1447</v>
      </c>
      <c r="F66" t="s">
        <v>1782</v>
      </c>
      <c r="G66" t="s">
        <v>1741</v>
      </c>
      <c r="H66" t="s">
        <v>2292</v>
      </c>
      <c r="I66" t="s">
        <v>2279</v>
      </c>
      <c r="J66" t="s">
        <v>2279</v>
      </c>
      <c r="K66" t="s">
        <v>2279</v>
      </c>
      <c r="L66" t="s">
        <v>2279</v>
      </c>
      <c r="M66" t="s">
        <v>2279</v>
      </c>
      <c r="N66" t="s">
        <v>2279</v>
      </c>
      <c r="O66" s="190" t="str">
        <f>"["&amp;$C66&amp;"]["&amp;$D66&amp;"]["&amp;$F66&amp;"]"</f>
        <v>[S02_CompetentAuthorityRoles][11][CAForAviationTask]</v>
      </c>
    </row>
    <row r="67" spans="1:15" x14ac:dyDescent="0.3">
      <c r="A67" t="s">
        <v>2277</v>
      </c>
      <c r="B67" t="s">
        <v>1779</v>
      </c>
      <c r="C67" t="s">
        <v>1780</v>
      </c>
      <c r="D67">
        <v>14</v>
      </c>
      <c r="E67" t="s">
        <v>1419</v>
      </c>
      <c r="F67" t="s">
        <v>1782</v>
      </c>
      <c r="G67" t="s">
        <v>1741</v>
      </c>
      <c r="H67" t="s">
        <v>2316</v>
      </c>
      <c r="I67" t="s">
        <v>2279</v>
      </c>
      <c r="J67" t="s">
        <v>2279</v>
      </c>
      <c r="K67" t="s">
        <v>2279</v>
      </c>
      <c r="L67" t="s">
        <v>2279</v>
      </c>
      <c r="M67" t="s">
        <v>2279</v>
      </c>
      <c r="N67" t="s">
        <v>2279</v>
      </c>
      <c r="O67" s="190" t="str">
        <f>"["&amp;$C67&amp;"]["&amp;$D67&amp;"]["&amp;$F67&amp;"]"</f>
        <v>[S02_CompetentAuthorityRoles][14][CAForAviationTask]</v>
      </c>
    </row>
    <row r="68" spans="1:15" x14ac:dyDescent="0.3">
      <c r="A68" t="s">
        <v>2277</v>
      </c>
      <c r="B68" t="s">
        <v>1779</v>
      </c>
      <c r="C68" t="s">
        <v>1780</v>
      </c>
      <c r="D68">
        <v>14</v>
      </c>
      <c r="E68" t="s">
        <v>1419</v>
      </c>
      <c r="F68" t="s">
        <v>1783</v>
      </c>
      <c r="G68" t="s">
        <v>1741</v>
      </c>
      <c r="H68" t="s">
        <v>2319</v>
      </c>
      <c r="I68" t="s">
        <v>2279</v>
      </c>
      <c r="J68" t="s">
        <v>2279</v>
      </c>
      <c r="K68" t="s">
        <v>2279</v>
      </c>
      <c r="L68" t="s">
        <v>2279</v>
      </c>
      <c r="M68" t="s">
        <v>2279</v>
      </c>
      <c r="N68" t="s">
        <v>2279</v>
      </c>
      <c r="O68" s="190" t="str">
        <f>"["&amp;$C68&amp;"]["&amp;$D68&amp;"]["&amp;$F68&amp;"]"</f>
        <v>[S02_CompetentAuthorityRoles][14][OtherDescription]</v>
      </c>
    </row>
    <row r="69" spans="1:15" x14ac:dyDescent="0.3">
      <c r="A69" t="s">
        <v>2277</v>
      </c>
      <c r="B69" t="s">
        <v>1784</v>
      </c>
      <c r="C69" t="s">
        <v>1785</v>
      </c>
      <c r="D69">
        <v>0</v>
      </c>
      <c r="E69" t="s">
        <v>1447</v>
      </c>
      <c r="F69" t="s">
        <v>1786</v>
      </c>
      <c r="G69" t="s">
        <v>1741</v>
      </c>
      <c r="H69" t="s">
        <v>2320</v>
      </c>
      <c r="I69" t="s">
        <v>2279</v>
      </c>
      <c r="J69" t="s">
        <v>2279</v>
      </c>
      <c r="K69" t="s">
        <v>2279</v>
      </c>
      <c r="L69" t="s">
        <v>2279</v>
      </c>
      <c r="M69" t="s">
        <v>2279</v>
      </c>
      <c r="N69" t="s">
        <v>2279</v>
      </c>
      <c r="O69" s="190" t="str">
        <f>"["&amp;$C69&amp;"]["&amp;$D69&amp;"]["&amp;$F69&amp;"]"</f>
        <v>[S02_CAFocalPoint][0][CAArt70]</v>
      </c>
    </row>
    <row r="70" spans="1:15" x14ac:dyDescent="0.3">
      <c r="A70" t="s">
        <v>2277</v>
      </c>
      <c r="B70" t="s">
        <v>1784</v>
      </c>
      <c r="C70" t="s">
        <v>1785</v>
      </c>
      <c r="D70">
        <v>0</v>
      </c>
      <c r="E70" t="s">
        <v>1447</v>
      </c>
      <c r="F70" t="s">
        <v>1787</v>
      </c>
      <c r="G70" t="s">
        <v>1741</v>
      </c>
      <c r="H70" t="s">
        <v>2311</v>
      </c>
      <c r="I70" t="s">
        <v>2279</v>
      </c>
      <c r="J70" t="s">
        <v>2279</v>
      </c>
      <c r="K70" t="s">
        <v>2279</v>
      </c>
      <c r="L70" t="s">
        <v>2279</v>
      </c>
      <c r="M70" t="s">
        <v>2279</v>
      </c>
      <c r="N70" t="s">
        <v>2279</v>
      </c>
      <c r="O70" s="190" t="str">
        <f>"["&amp;$C70&amp;"]["&amp;$D70&amp;"]["&amp;$F70&amp;"]"</f>
        <v>[S02_CAFocalPoint][0][CAArt70Abbrev]</v>
      </c>
    </row>
    <row r="71" spans="1:15" x14ac:dyDescent="0.3">
      <c r="A71" t="s">
        <v>2277</v>
      </c>
      <c r="B71" t="s">
        <v>1784</v>
      </c>
      <c r="C71" t="s">
        <v>1788</v>
      </c>
      <c r="D71">
        <v>1</v>
      </c>
      <c r="E71" t="s">
        <v>1447</v>
      </c>
      <c r="F71" t="s">
        <v>1789</v>
      </c>
      <c r="G71" t="s">
        <v>1759</v>
      </c>
      <c r="H71" t="s">
        <v>2279</v>
      </c>
      <c r="I71" t="s">
        <v>2279</v>
      </c>
      <c r="J71" t="s">
        <v>2279</v>
      </c>
      <c r="K71" t="s">
        <v>2279</v>
      </c>
      <c r="L71" t="s">
        <v>1447</v>
      </c>
      <c r="M71" t="s">
        <v>2279</v>
      </c>
      <c r="N71" t="s">
        <v>2279</v>
      </c>
      <c r="O71" s="190" t="str">
        <f>"["&amp;$C71&amp;"]["&amp;$D71&amp;"]["&amp;$F71&amp;"]"</f>
        <v>[S02_CompetentAuthorityCoordination][1][CACoordinationYesNo]</v>
      </c>
    </row>
    <row r="72" spans="1:15" x14ac:dyDescent="0.3">
      <c r="A72" t="s">
        <v>2277</v>
      </c>
      <c r="B72" t="s">
        <v>1784</v>
      </c>
      <c r="C72" t="s">
        <v>1788</v>
      </c>
      <c r="D72">
        <v>2</v>
      </c>
      <c r="E72" t="s">
        <v>1447</v>
      </c>
      <c r="F72" t="s">
        <v>1789</v>
      </c>
      <c r="G72" t="s">
        <v>1759</v>
      </c>
      <c r="H72" t="s">
        <v>2279</v>
      </c>
      <c r="I72" t="s">
        <v>2279</v>
      </c>
      <c r="J72" t="s">
        <v>2279</v>
      </c>
      <c r="K72" t="s">
        <v>2279</v>
      </c>
      <c r="L72" t="s">
        <v>1419</v>
      </c>
      <c r="M72" t="s">
        <v>2279</v>
      </c>
      <c r="N72" t="s">
        <v>2279</v>
      </c>
      <c r="O72" s="190" t="str">
        <f>"["&amp;$C72&amp;"]["&amp;$D72&amp;"]["&amp;$F72&amp;"]"</f>
        <v>[S02_CompetentAuthorityCoordination][2][CACoordinationYesNo]</v>
      </c>
    </row>
    <row r="73" spans="1:15" x14ac:dyDescent="0.3">
      <c r="A73" t="s">
        <v>2277</v>
      </c>
      <c r="B73" t="s">
        <v>1784</v>
      </c>
      <c r="C73" t="s">
        <v>1788</v>
      </c>
      <c r="D73">
        <v>3</v>
      </c>
      <c r="E73" t="s">
        <v>1447</v>
      </c>
      <c r="F73" t="s">
        <v>1789</v>
      </c>
      <c r="G73" t="s">
        <v>1759</v>
      </c>
      <c r="H73" t="s">
        <v>2279</v>
      </c>
      <c r="I73" t="s">
        <v>2279</v>
      </c>
      <c r="J73" t="s">
        <v>2279</v>
      </c>
      <c r="K73" t="s">
        <v>2279</v>
      </c>
      <c r="L73" t="s">
        <v>1447</v>
      </c>
      <c r="M73" t="s">
        <v>2279</v>
      </c>
      <c r="N73" t="s">
        <v>2279</v>
      </c>
      <c r="O73" s="190" t="str">
        <f>"["&amp;$C73&amp;"]["&amp;$D73&amp;"]["&amp;$F73&amp;"]"</f>
        <v>[S02_CompetentAuthorityCoordination][3][CACoordinationYesNo]</v>
      </c>
    </row>
    <row r="74" spans="1:15" x14ac:dyDescent="0.3">
      <c r="A74" t="s">
        <v>2277</v>
      </c>
      <c r="B74" t="s">
        <v>1784</v>
      </c>
      <c r="C74" t="s">
        <v>1788</v>
      </c>
      <c r="D74">
        <v>4</v>
      </c>
      <c r="E74" t="s">
        <v>1447</v>
      </c>
      <c r="F74" t="s">
        <v>1789</v>
      </c>
      <c r="G74" t="s">
        <v>1759</v>
      </c>
      <c r="H74" t="s">
        <v>2279</v>
      </c>
      <c r="I74" t="s">
        <v>2279</v>
      </c>
      <c r="J74" t="s">
        <v>2279</v>
      </c>
      <c r="K74" t="s">
        <v>2279</v>
      </c>
      <c r="L74" t="s">
        <v>1419</v>
      </c>
      <c r="M74" t="s">
        <v>2279</v>
      </c>
      <c r="N74" t="s">
        <v>2279</v>
      </c>
      <c r="O74" s="190" t="str">
        <f>"["&amp;$C74&amp;"]["&amp;$D74&amp;"]["&amp;$F74&amp;"]"</f>
        <v>[S02_CompetentAuthorityCoordination][4][CACoordinationYesNo]</v>
      </c>
    </row>
    <row r="75" spans="1:15" x14ac:dyDescent="0.3">
      <c r="A75" t="s">
        <v>2277</v>
      </c>
      <c r="B75" t="s">
        <v>1784</v>
      </c>
      <c r="C75" t="s">
        <v>1788</v>
      </c>
      <c r="D75">
        <v>5</v>
      </c>
      <c r="E75" t="s">
        <v>1447</v>
      </c>
      <c r="F75" t="s">
        <v>1789</v>
      </c>
      <c r="G75" t="s">
        <v>1759</v>
      </c>
      <c r="H75" t="s">
        <v>2279</v>
      </c>
      <c r="I75" t="s">
        <v>2279</v>
      </c>
      <c r="J75" t="s">
        <v>2279</v>
      </c>
      <c r="K75" t="s">
        <v>2279</v>
      </c>
      <c r="L75" t="s">
        <v>1419</v>
      </c>
      <c r="M75" t="s">
        <v>2279</v>
      </c>
      <c r="N75" t="s">
        <v>2279</v>
      </c>
      <c r="O75" s="190" t="str">
        <f>"["&amp;$C75&amp;"]["&amp;$D75&amp;"]["&amp;$F75&amp;"]"</f>
        <v>[S02_CompetentAuthorityCoordination][5][CACoordinationYesNo]</v>
      </c>
    </row>
    <row r="76" spans="1:15" x14ac:dyDescent="0.3">
      <c r="A76" t="s">
        <v>2277</v>
      </c>
      <c r="B76" t="s">
        <v>1784</v>
      </c>
      <c r="C76" t="s">
        <v>1788</v>
      </c>
      <c r="D76">
        <v>6</v>
      </c>
      <c r="E76" t="s">
        <v>1447</v>
      </c>
      <c r="F76" t="s">
        <v>1789</v>
      </c>
      <c r="G76" t="s">
        <v>1759</v>
      </c>
      <c r="H76" t="s">
        <v>2279</v>
      </c>
      <c r="I76" t="s">
        <v>2279</v>
      </c>
      <c r="J76" t="s">
        <v>2279</v>
      </c>
      <c r="K76" t="s">
        <v>2279</v>
      </c>
      <c r="L76" t="s">
        <v>1419</v>
      </c>
      <c r="M76" t="s">
        <v>2279</v>
      </c>
      <c r="N76" t="s">
        <v>2279</v>
      </c>
      <c r="O76" s="190" t="str">
        <f>"["&amp;$C76&amp;"]["&amp;$D76&amp;"]["&amp;$F76&amp;"]"</f>
        <v>[S02_CompetentAuthorityCoordination][6][CACoordinationYesNo]</v>
      </c>
    </row>
    <row r="77" spans="1:15" x14ac:dyDescent="0.3">
      <c r="A77" t="s">
        <v>2277</v>
      </c>
      <c r="B77" t="s">
        <v>1784</v>
      </c>
      <c r="C77" t="s">
        <v>1788</v>
      </c>
      <c r="D77">
        <v>7</v>
      </c>
      <c r="E77" t="s">
        <v>1419</v>
      </c>
      <c r="F77" t="s">
        <v>1783</v>
      </c>
      <c r="G77" t="s">
        <v>1741</v>
      </c>
      <c r="H77" t="s">
        <v>1419</v>
      </c>
      <c r="I77" t="s">
        <v>2279</v>
      </c>
      <c r="J77" t="s">
        <v>2279</v>
      </c>
      <c r="K77" t="s">
        <v>2279</v>
      </c>
      <c r="L77" t="s">
        <v>2279</v>
      </c>
      <c r="M77" t="s">
        <v>2279</v>
      </c>
      <c r="N77" t="s">
        <v>2279</v>
      </c>
      <c r="O77" s="190" t="str">
        <f>"["&amp;$C77&amp;"]["&amp;$D77&amp;"]["&amp;$F77&amp;"]"</f>
        <v>[S02_CompetentAuthorityCoordination][7][OtherDescription]</v>
      </c>
    </row>
    <row r="78" spans="1:15" x14ac:dyDescent="0.3">
      <c r="A78" t="s">
        <v>2277</v>
      </c>
      <c r="B78" t="s">
        <v>1784</v>
      </c>
      <c r="C78" t="s">
        <v>1788</v>
      </c>
      <c r="D78">
        <v>2</v>
      </c>
      <c r="E78" t="s">
        <v>1447</v>
      </c>
      <c r="F78" t="s">
        <v>1790</v>
      </c>
      <c r="G78" t="s">
        <v>1791</v>
      </c>
      <c r="H78" t="s">
        <v>2279</v>
      </c>
      <c r="I78" t="s">
        <v>2279</v>
      </c>
      <c r="J78" t="s">
        <v>2279</v>
      </c>
      <c r="K78" t="s">
        <v>2321</v>
      </c>
      <c r="L78" t="s">
        <v>2279</v>
      </c>
      <c r="M78" t="s">
        <v>2279</v>
      </c>
      <c r="N78" t="s">
        <v>2279</v>
      </c>
      <c r="O78" s="190" t="str">
        <f>"["&amp;$C78&amp;"]["&amp;$D78&amp;"]["&amp;$F78&amp;"]"</f>
        <v>[S02_CompetentAuthorityCoordination][2][CACoordinationComment]</v>
      </c>
    </row>
    <row r="79" spans="1:15" x14ac:dyDescent="0.3">
      <c r="A79" t="s">
        <v>2277</v>
      </c>
      <c r="B79" t="s">
        <v>1784</v>
      </c>
      <c r="C79" t="s">
        <v>1788</v>
      </c>
      <c r="D79">
        <v>5</v>
      </c>
      <c r="E79" t="s">
        <v>1447</v>
      </c>
      <c r="F79" t="s">
        <v>1790</v>
      </c>
      <c r="G79" t="s">
        <v>1791</v>
      </c>
      <c r="H79" t="s">
        <v>2279</v>
      </c>
      <c r="I79" t="s">
        <v>2279</v>
      </c>
      <c r="J79" t="s">
        <v>2279</v>
      </c>
      <c r="K79" t="s">
        <v>2322</v>
      </c>
      <c r="L79" t="s">
        <v>2279</v>
      </c>
      <c r="M79" t="s">
        <v>2279</v>
      </c>
      <c r="N79" t="s">
        <v>2279</v>
      </c>
      <c r="O79" s="190" t="str">
        <f>"["&amp;$C79&amp;"]["&amp;$D79&amp;"]["&amp;$F79&amp;"]"</f>
        <v>[S02_CompetentAuthorityCoordination][5][CACoordinationComment]</v>
      </c>
    </row>
    <row r="80" spans="1:15" x14ac:dyDescent="0.3">
      <c r="A80" t="s">
        <v>2277</v>
      </c>
      <c r="B80" t="s">
        <v>1784</v>
      </c>
      <c r="C80" t="s">
        <v>1788</v>
      </c>
      <c r="D80">
        <v>6</v>
      </c>
      <c r="E80" t="s">
        <v>1447</v>
      </c>
      <c r="F80" t="s">
        <v>1790</v>
      </c>
      <c r="G80" t="s">
        <v>1791</v>
      </c>
      <c r="H80" t="s">
        <v>2279</v>
      </c>
      <c r="I80" t="s">
        <v>2279</v>
      </c>
      <c r="J80" t="s">
        <v>2279</v>
      </c>
      <c r="K80" t="s">
        <v>2323</v>
      </c>
      <c r="L80" t="s">
        <v>2279</v>
      </c>
      <c r="M80" t="s">
        <v>2279</v>
      </c>
      <c r="N80" t="s">
        <v>2279</v>
      </c>
      <c r="O80" s="190" t="str">
        <f>"["&amp;$C80&amp;"]["&amp;$D80&amp;"]["&amp;$F80&amp;"]"</f>
        <v>[S02_CompetentAuthorityCoordination][6][CACoordinationComment]</v>
      </c>
    </row>
    <row r="81" spans="1:15" x14ac:dyDescent="0.3">
      <c r="A81" t="s">
        <v>2277</v>
      </c>
      <c r="B81" t="s">
        <v>1784</v>
      </c>
      <c r="C81" t="s">
        <v>1788</v>
      </c>
      <c r="D81">
        <v>7</v>
      </c>
      <c r="E81" t="s">
        <v>1419</v>
      </c>
      <c r="F81" t="s">
        <v>1790</v>
      </c>
      <c r="G81" t="s">
        <v>1791</v>
      </c>
      <c r="H81" t="s">
        <v>2279</v>
      </c>
      <c r="I81" t="s">
        <v>2279</v>
      </c>
      <c r="J81" t="s">
        <v>2279</v>
      </c>
      <c r="K81" t="s">
        <v>2324</v>
      </c>
      <c r="L81" t="s">
        <v>2279</v>
      </c>
      <c r="M81" t="s">
        <v>2279</v>
      </c>
      <c r="N81" t="s">
        <v>2279</v>
      </c>
      <c r="O81" s="190" t="str">
        <f>"["&amp;$C81&amp;"]["&amp;$D81&amp;"]["&amp;$F81&amp;"]"</f>
        <v>[S02_CompetentAuthorityCoordination][7][CACoordinationComment]</v>
      </c>
    </row>
    <row r="82" spans="1:15" x14ac:dyDescent="0.3">
      <c r="A82" t="s">
        <v>2277</v>
      </c>
      <c r="B82" t="s">
        <v>1792</v>
      </c>
      <c r="C82" t="s">
        <v>1793</v>
      </c>
      <c r="D82">
        <v>1</v>
      </c>
      <c r="E82" t="s">
        <v>1447</v>
      </c>
      <c r="F82" t="s">
        <v>1794</v>
      </c>
      <c r="G82" t="s">
        <v>1759</v>
      </c>
      <c r="H82" t="s">
        <v>2279</v>
      </c>
      <c r="I82" t="s">
        <v>2279</v>
      </c>
      <c r="J82" t="s">
        <v>2279</v>
      </c>
      <c r="K82" t="s">
        <v>2279</v>
      </c>
      <c r="L82" t="s">
        <v>1419</v>
      </c>
      <c r="M82" t="s">
        <v>2279</v>
      </c>
      <c r="N82" t="s">
        <v>2279</v>
      </c>
      <c r="O82" s="190" t="str">
        <f>"["&amp;$C82&amp;"]["&amp;$D82&amp;"]["&amp;$F82&amp;"]"</f>
        <v>[S02_InformationExchangeAccBodyAndCA][1][InfoExchangeYesNo]</v>
      </c>
    </row>
    <row r="83" spans="1:15" x14ac:dyDescent="0.3">
      <c r="A83" t="s">
        <v>2277</v>
      </c>
      <c r="B83" t="s">
        <v>1792</v>
      </c>
      <c r="C83" t="s">
        <v>1793</v>
      </c>
      <c r="D83">
        <v>2</v>
      </c>
      <c r="E83" t="s">
        <v>1447</v>
      </c>
      <c r="F83" t="s">
        <v>1794</v>
      </c>
      <c r="G83" t="s">
        <v>1759</v>
      </c>
      <c r="H83" t="s">
        <v>2279</v>
      </c>
      <c r="I83" t="s">
        <v>2279</v>
      </c>
      <c r="J83" t="s">
        <v>2279</v>
      </c>
      <c r="K83" t="s">
        <v>2279</v>
      </c>
      <c r="L83" t="s">
        <v>1419</v>
      </c>
      <c r="M83" t="s">
        <v>2279</v>
      </c>
      <c r="N83" t="s">
        <v>2279</v>
      </c>
      <c r="O83" s="190" t="str">
        <f>"["&amp;$C83&amp;"]["&amp;$D83&amp;"]["&amp;$F83&amp;"]"</f>
        <v>[S02_InformationExchangeAccBodyAndCA][2][InfoExchangeYesNo]</v>
      </c>
    </row>
    <row r="84" spans="1:15" x14ac:dyDescent="0.3">
      <c r="A84" t="s">
        <v>2277</v>
      </c>
      <c r="B84" t="s">
        <v>1792</v>
      </c>
      <c r="C84" t="s">
        <v>1793</v>
      </c>
      <c r="D84">
        <v>3</v>
      </c>
      <c r="E84" t="s">
        <v>1447</v>
      </c>
      <c r="F84" t="s">
        <v>1794</v>
      </c>
      <c r="G84" t="s">
        <v>1759</v>
      </c>
      <c r="H84" t="s">
        <v>2279</v>
      </c>
      <c r="I84" t="s">
        <v>2279</v>
      </c>
      <c r="J84" t="s">
        <v>2279</v>
      </c>
      <c r="K84" t="s">
        <v>2279</v>
      </c>
      <c r="L84" t="s">
        <v>1419</v>
      </c>
      <c r="M84" t="s">
        <v>2279</v>
      </c>
      <c r="N84" t="s">
        <v>2279</v>
      </c>
      <c r="O84" s="190" t="str">
        <f>"["&amp;$C84&amp;"]["&amp;$D84&amp;"]["&amp;$F84&amp;"]"</f>
        <v>[S02_InformationExchangeAccBodyAndCA][3][InfoExchangeYesNo]</v>
      </c>
    </row>
    <row r="85" spans="1:15" x14ac:dyDescent="0.3">
      <c r="A85" t="s">
        <v>2277</v>
      </c>
      <c r="B85" t="s">
        <v>1792</v>
      </c>
      <c r="C85" t="s">
        <v>1793</v>
      </c>
      <c r="D85">
        <v>4</v>
      </c>
      <c r="E85" t="s">
        <v>1447</v>
      </c>
      <c r="F85" t="s">
        <v>1783</v>
      </c>
      <c r="G85" t="s">
        <v>1741</v>
      </c>
      <c r="H85" t="s">
        <v>1447</v>
      </c>
      <c r="I85" t="s">
        <v>2279</v>
      </c>
      <c r="J85" t="s">
        <v>2279</v>
      </c>
      <c r="K85" t="s">
        <v>2279</v>
      </c>
      <c r="L85" t="s">
        <v>2279</v>
      </c>
      <c r="M85" t="s">
        <v>2279</v>
      </c>
      <c r="N85" t="s">
        <v>2279</v>
      </c>
      <c r="O85" s="190" t="str">
        <f>"["&amp;$C85&amp;"]["&amp;$D85&amp;"]["&amp;$F85&amp;"]"</f>
        <v>[S02_InformationExchangeAccBodyAndCA][4][OtherDescription]</v>
      </c>
    </row>
    <row r="86" spans="1:15" x14ac:dyDescent="0.3">
      <c r="A86" t="s">
        <v>2277</v>
      </c>
      <c r="B86" t="s">
        <v>1792</v>
      </c>
      <c r="C86" t="s">
        <v>1793</v>
      </c>
      <c r="D86">
        <v>1</v>
      </c>
      <c r="E86" t="s">
        <v>1447</v>
      </c>
      <c r="F86" t="s">
        <v>1795</v>
      </c>
      <c r="G86" t="s">
        <v>1791</v>
      </c>
      <c r="H86" t="s">
        <v>2279</v>
      </c>
      <c r="I86" t="s">
        <v>2279</v>
      </c>
      <c r="J86" t="s">
        <v>2279</v>
      </c>
      <c r="K86" t="s">
        <v>2325</v>
      </c>
      <c r="L86" t="s">
        <v>2279</v>
      </c>
      <c r="M86" t="s">
        <v>2279</v>
      </c>
      <c r="N86" t="s">
        <v>2279</v>
      </c>
      <c r="O86" s="190" t="str">
        <f>"["&amp;$C86&amp;"]["&amp;$D86&amp;"]["&amp;$F86&amp;"]"</f>
        <v>[S02_InformationExchangeAccBodyAndCA][1][InfoExchangeComment]</v>
      </c>
    </row>
    <row r="87" spans="1:15" x14ac:dyDescent="0.3">
      <c r="A87" t="s">
        <v>2277</v>
      </c>
      <c r="B87" t="s">
        <v>1792</v>
      </c>
      <c r="C87" t="s">
        <v>1793</v>
      </c>
      <c r="D87">
        <v>2</v>
      </c>
      <c r="E87" t="s">
        <v>1447</v>
      </c>
      <c r="F87" t="s">
        <v>1795</v>
      </c>
      <c r="G87" t="s">
        <v>1791</v>
      </c>
      <c r="H87" t="s">
        <v>2279</v>
      </c>
      <c r="I87" t="s">
        <v>2279</v>
      </c>
      <c r="J87" t="s">
        <v>2279</v>
      </c>
      <c r="K87" t="s">
        <v>2325</v>
      </c>
      <c r="L87" t="s">
        <v>2279</v>
      </c>
      <c r="M87" t="s">
        <v>2279</v>
      </c>
      <c r="N87" t="s">
        <v>2279</v>
      </c>
      <c r="O87" s="190" t="str">
        <f>"["&amp;$C87&amp;"]["&amp;$D87&amp;"]["&amp;$F87&amp;"]"</f>
        <v>[S02_InformationExchangeAccBodyAndCA][2][InfoExchangeComment]</v>
      </c>
    </row>
    <row r="88" spans="1:15" x14ac:dyDescent="0.3">
      <c r="A88" t="s">
        <v>2277</v>
      </c>
      <c r="B88" t="s">
        <v>1796</v>
      </c>
      <c r="C88" t="s">
        <v>1797</v>
      </c>
      <c r="D88">
        <v>1</v>
      </c>
      <c r="E88" t="s">
        <v>1447</v>
      </c>
      <c r="F88" t="s">
        <v>1798</v>
      </c>
      <c r="G88" t="s">
        <v>1748</v>
      </c>
      <c r="H88" t="s">
        <v>2279</v>
      </c>
      <c r="I88">
        <v>142</v>
      </c>
      <c r="J88" t="s">
        <v>2279</v>
      </c>
      <c r="K88" t="s">
        <v>2279</v>
      </c>
      <c r="L88" t="s">
        <v>2279</v>
      </c>
      <c r="M88" t="s">
        <v>2279</v>
      </c>
      <c r="N88" t="s">
        <v>2279</v>
      </c>
      <c r="O88" s="190" t="str">
        <f>"["&amp;$C88&amp;"]["&amp;$D88&amp;"]["&amp;$F88&amp;"]"</f>
        <v>[S03_EmittingInstallations][1][NumberOfInstallations]</v>
      </c>
    </row>
    <row r="89" spans="1:15" x14ac:dyDescent="0.3">
      <c r="A89" t="s">
        <v>2277</v>
      </c>
      <c r="B89" t="s">
        <v>1796</v>
      </c>
      <c r="C89" t="s">
        <v>1797</v>
      </c>
      <c r="D89">
        <v>2</v>
      </c>
      <c r="E89" t="s">
        <v>1447</v>
      </c>
      <c r="F89" t="s">
        <v>1798</v>
      </c>
      <c r="G89" t="s">
        <v>1748</v>
      </c>
      <c r="H89" t="s">
        <v>2279</v>
      </c>
      <c r="I89">
        <v>100</v>
      </c>
      <c r="J89" t="s">
        <v>2279</v>
      </c>
      <c r="K89" t="s">
        <v>2279</v>
      </c>
      <c r="L89" t="s">
        <v>2279</v>
      </c>
      <c r="M89" t="s">
        <v>2279</v>
      </c>
      <c r="N89" t="s">
        <v>2279</v>
      </c>
      <c r="O89" s="190" t="str">
        <f>"["&amp;$C89&amp;"]["&amp;$D89&amp;"]["&amp;$F89&amp;"]"</f>
        <v>[S03_EmittingInstallations][2][NumberOfInstallations]</v>
      </c>
    </row>
    <row r="90" spans="1:15" x14ac:dyDescent="0.3">
      <c r="A90" t="s">
        <v>2277</v>
      </c>
      <c r="B90" t="s">
        <v>1796</v>
      </c>
      <c r="C90" t="s">
        <v>1797</v>
      </c>
      <c r="D90">
        <v>3</v>
      </c>
      <c r="E90" t="s">
        <v>1447</v>
      </c>
      <c r="F90" t="s">
        <v>1798</v>
      </c>
      <c r="G90" t="s">
        <v>1748</v>
      </c>
      <c r="H90" t="s">
        <v>2279</v>
      </c>
      <c r="I90">
        <v>30</v>
      </c>
      <c r="J90" t="s">
        <v>2279</v>
      </c>
      <c r="K90" t="s">
        <v>2279</v>
      </c>
      <c r="L90" t="s">
        <v>2279</v>
      </c>
      <c r="M90" t="s">
        <v>2279</v>
      </c>
      <c r="N90" t="s">
        <v>2279</v>
      </c>
      <c r="O90" s="190" t="str">
        <f>"["&amp;$C90&amp;"]["&amp;$D90&amp;"]["&amp;$F90&amp;"]"</f>
        <v>[S03_EmittingInstallations][3][NumberOfInstallations]</v>
      </c>
    </row>
    <row r="91" spans="1:15" x14ac:dyDescent="0.3">
      <c r="A91" t="s">
        <v>2277</v>
      </c>
      <c r="B91" t="s">
        <v>1796</v>
      </c>
      <c r="C91" t="s">
        <v>1797</v>
      </c>
      <c r="D91">
        <v>4</v>
      </c>
      <c r="E91" t="s">
        <v>1447</v>
      </c>
      <c r="F91" t="s">
        <v>1798</v>
      </c>
      <c r="G91" t="s">
        <v>1748</v>
      </c>
      <c r="H91" t="s">
        <v>2279</v>
      </c>
      <c r="I91">
        <v>12</v>
      </c>
      <c r="J91" t="s">
        <v>2279</v>
      </c>
      <c r="K91" t="s">
        <v>2279</v>
      </c>
      <c r="L91" t="s">
        <v>2279</v>
      </c>
      <c r="M91" t="s">
        <v>2279</v>
      </c>
      <c r="N91" t="s">
        <v>2279</v>
      </c>
      <c r="O91" s="190" t="str">
        <f>"["&amp;$C91&amp;"]["&amp;$D91&amp;"]["&amp;$F91&amp;"]"</f>
        <v>[S03_EmittingInstallations][4][NumberOfInstallations]</v>
      </c>
    </row>
    <row r="92" spans="1:15" x14ac:dyDescent="0.3">
      <c r="A92" t="s">
        <v>2277</v>
      </c>
      <c r="B92" t="s">
        <v>1796</v>
      </c>
      <c r="C92" t="s">
        <v>1797</v>
      </c>
      <c r="D92">
        <v>5</v>
      </c>
      <c r="E92" t="s">
        <v>1447</v>
      </c>
      <c r="F92" t="s">
        <v>1798</v>
      </c>
      <c r="G92" t="s">
        <v>1748</v>
      </c>
      <c r="H92" t="s">
        <v>2279</v>
      </c>
      <c r="I92">
        <v>73</v>
      </c>
      <c r="J92" t="s">
        <v>2279</v>
      </c>
      <c r="K92" t="s">
        <v>2279</v>
      </c>
      <c r="L92" t="s">
        <v>2279</v>
      </c>
      <c r="M92" t="s">
        <v>2279</v>
      </c>
      <c r="N92" t="s">
        <v>2279</v>
      </c>
      <c r="O92" s="190" t="str">
        <f>"["&amp;$C92&amp;"]["&amp;$D92&amp;"]["&amp;$F92&amp;"]"</f>
        <v>[S03_EmittingInstallations][5][NumberOfInstallations]</v>
      </c>
    </row>
    <row r="93" spans="1:15" x14ac:dyDescent="0.3">
      <c r="A93" t="s">
        <v>2277</v>
      </c>
      <c r="B93" t="s">
        <v>1796</v>
      </c>
      <c r="C93" t="s">
        <v>1799</v>
      </c>
      <c r="D93">
        <v>1</v>
      </c>
      <c r="E93" t="s">
        <v>1447</v>
      </c>
      <c r="F93" t="s">
        <v>1800</v>
      </c>
      <c r="G93" t="s">
        <v>1759</v>
      </c>
      <c r="H93" t="s">
        <v>2279</v>
      </c>
      <c r="I93" t="s">
        <v>2279</v>
      </c>
      <c r="J93" t="s">
        <v>2279</v>
      </c>
      <c r="K93" t="s">
        <v>2279</v>
      </c>
      <c r="L93" t="s">
        <v>1419</v>
      </c>
      <c r="M93" t="s">
        <v>2279</v>
      </c>
      <c r="N93" t="s">
        <v>2279</v>
      </c>
      <c r="O93" s="190" t="str">
        <f>"["&amp;$C93&amp;"]["&amp;$D93&amp;"]["&amp;$F93&amp;"]"</f>
        <v>[S03_ActivityPermits][1][ActivityPermitsIssued]</v>
      </c>
    </row>
    <row r="94" spans="1:15" x14ac:dyDescent="0.3">
      <c r="A94" t="s">
        <v>2277</v>
      </c>
      <c r="B94" t="s">
        <v>1796</v>
      </c>
      <c r="C94" t="s">
        <v>1799</v>
      </c>
      <c r="D94">
        <v>2</v>
      </c>
      <c r="E94" t="s">
        <v>1447</v>
      </c>
      <c r="F94" t="s">
        <v>1800</v>
      </c>
      <c r="G94" t="s">
        <v>1759</v>
      </c>
      <c r="H94" t="s">
        <v>2279</v>
      </c>
      <c r="I94" t="s">
        <v>2279</v>
      </c>
      <c r="J94" t="s">
        <v>2279</v>
      </c>
      <c r="K94" t="s">
        <v>2279</v>
      </c>
      <c r="L94" t="s">
        <v>1419</v>
      </c>
      <c r="M94" t="s">
        <v>2279</v>
      </c>
      <c r="N94" t="s">
        <v>2279</v>
      </c>
      <c r="O94" s="190" t="str">
        <f>"["&amp;$C94&amp;"]["&amp;$D94&amp;"]["&amp;$F94&amp;"]"</f>
        <v>[S03_ActivityPermits][2][ActivityPermitsIssued]</v>
      </c>
    </row>
    <row r="95" spans="1:15" x14ac:dyDescent="0.3">
      <c r="A95" t="s">
        <v>2277</v>
      </c>
      <c r="B95" t="s">
        <v>1796</v>
      </c>
      <c r="C95" t="s">
        <v>1799</v>
      </c>
      <c r="D95">
        <v>3</v>
      </c>
      <c r="E95" t="s">
        <v>1447</v>
      </c>
      <c r="F95" t="s">
        <v>1800</v>
      </c>
      <c r="G95" t="s">
        <v>1759</v>
      </c>
      <c r="H95" t="s">
        <v>2279</v>
      </c>
      <c r="I95" t="s">
        <v>2279</v>
      </c>
      <c r="J95" t="s">
        <v>2279</v>
      </c>
      <c r="K95" t="s">
        <v>2279</v>
      </c>
      <c r="L95" t="s">
        <v>1447</v>
      </c>
      <c r="M95" t="s">
        <v>2279</v>
      </c>
      <c r="N95" t="s">
        <v>2279</v>
      </c>
      <c r="O95" s="190" t="str">
        <f>"["&amp;$C95&amp;"]["&amp;$D95&amp;"]["&amp;$F95&amp;"]"</f>
        <v>[S03_ActivityPermits][3][ActivityPermitsIssued]</v>
      </c>
    </row>
    <row r="96" spans="1:15" x14ac:dyDescent="0.3">
      <c r="A96" t="s">
        <v>2277</v>
      </c>
      <c r="B96" t="s">
        <v>1796</v>
      </c>
      <c r="C96" t="s">
        <v>1799</v>
      </c>
      <c r="D96">
        <v>4</v>
      </c>
      <c r="E96" t="s">
        <v>1447</v>
      </c>
      <c r="F96" t="s">
        <v>1800</v>
      </c>
      <c r="G96" t="s">
        <v>1759</v>
      </c>
      <c r="H96" t="s">
        <v>2279</v>
      </c>
      <c r="I96" t="s">
        <v>2279</v>
      </c>
      <c r="J96" t="s">
        <v>2279</v>
      </c>
      <c r="K96" t="s">
        <v>2279</v>
      </c>
      <c r="L96" t="s">
        <v>1447</v>
      </c>
      <c r="M96" t="s">
        <v>2279</v>
      </c>
      <c r="N96" t="s">
        <v>2279</v>
      </c>
      <c r="O96" s="190" t="str">
        <f>"["&amp;$C96&amp;"]["&amp;$D96&amp;"]["&amp;$F96&amp;"]"</f>
        <v>[S03_ActivityPermits][4][ActivityPermitsIssued]</v>
      </c>
    </row>
    <row r="97" spans="1:15" x14ac:dyDescent="0.3">
      <c r="A97" t="s">
        <v>2277</v>
      </c>
      <c r="B97" t="s">
        <v>1796</v>
      </c>
      <c r="C97" t="s">
        <v>1799</v>
      </c>
      <c r="D97">
        <v>5</v>
      </c>
      <c r="E97" t="s">
        <v>1447</v>
      </c>
      <c r="F97" t="s">
        <v>1800</v>
      </c>
      <c r="G97" t="s">
        <v>1759</v>
      </c>
      <c r="H97" t="s">
        <v>2279</v>
      </c>
      <c r="I97" t="s">
        <v>2279</v>
      </c>
      <c r="J97" t="s">
        <v>2279</v>
      </c>
      <c r="K97" t="s">
        <v>2279</v>
      </c>
      <c r="L97" t="s">
        <v>1419</v>
      </c>
      <c r="M97" t="s">
        <v>2279</v>
      </c>
      <c r="N97" t="s">
        <v>2279</v>
      </c>
      <c r="O97" s="190" t="str">
        <f>"["&amp;$C97&amp;"]["&amp;$D97&amp;"]["&amp;$F97&amp;"]"</f>
        <v>[S03_ActivityPermits][5][ActivityPermitsIssued]</v>
      </c>
    </row>
    <row r="98" spans="1:15" x14ac:dyDescent="0.3">
      <c r="A98" t="s">
        <v>2277</v>
      </c>
      <c r="B98" t="s">
        <v>1796</v>
      </c>
      <c r="C98" t="s">
        <v>1799</v>
      </c>
      <c r="D98">
        <v>6</v>
      </c>
      <c r="E98" t="s">
        <v>1447</v>
      </c>
      <c r="F98" t="s">
        <v>1800</v>
      </c>
      <c r="G98" t="s">
        <v>1759</v>
      </c>
      <c r="H98" t="s">
        <v>2279</v>
      </c>
      <c r="I98" t="s">
        <v>2279</v>
      </c>
      <c r="J98" t="s">
        <v>2279</v>
      </c>
      <c r="K98" t="s">
        <v>2279</v>
      </c>
      <c r="L98" t="s">
        <v>1419</v>
      </c>
      <c r="M98" t="s">
        <v>2279</v>
      </c>
      <c r="N98" t="s">
        <v>2279</v>
      </c>
      <c r="O98" s="190" t="str">
        <f>"["&amp;$C98&amp;"]["&amp;$D98&amp;"]["&amp;$F98&amp;"]"</f>
        <v>[S03_ActivityPermits][6][ActivityPermitsIssued]</v>
      </c>
    </row>
    <row r="99" spans="1:15" x14ac:dyDescent="0.3">
      <c r="A99" t="s">
        <v>2277</v>
      </c>
      <c r="B99" t="s">
        <v>1796</v>
      </c>
      <c r="C99" t="s">
        <v>1799</v>
      </c>
      <c r="D99">
        <v>7</v>
      </c>
      <c r="E99" t="s">
        <v>1447</v>
      </c>
      <c r="F99" t="s">
        <v>1800</v>
      </c>
      <c r="G99" t="s">
        <v>1759</v>
      </c>
      <c r="H99" t="s">
        <v>2279</v>
      </c>
      <c r="I99" t="s">
        <v>2279</v>
      </c>
      <c r="J99" t="s">
        <v>2279</v>
      </c>
      <c r="K99" t="s">
        <v>2279</v>
      </c>
      <c r="L99" t="s">
        <v>1447</v>
      </c>
      <c r="M99" t="s">
        <v>2279</v>
      </c>
      <c r="N99" t="s">
        <v>2279</v>
      </c>
      <c r="O99" s="190" t="str">
        <f>"["&amp;$C99&amp;"]["&amp;$D99&amp;"]["&amp;$F99&amp;"]"</f>
        <v>[S03_ActivityPermits][7][ActivityPermitsIssued]</v>
      </c>
    </row>
    <row r="100" spans="1:15" x14ac:dyDescent="0.3">
      <c r="A100" t="s">
        <v>2277</v>
      </c>
      <c r="B100" t="s">
        <v>1796</v>
      </c>
      <c r="C100" t="s">
        <v>1799</v>
      </c>
      <c r="D100">
        <v>8</v>
      </c>
      <c r="E100" t="s">
        <v>1447</v>
      </c>
      <c r="F100" t="s">
        <v>1800</v>
      </c>
      <c r="G100" t="s">
        <v>1759</v>
      </c>
      <c r="H100" t="s">
        <v>2279</v>
      </c>
      <c r="I100" t="s">
        <v>2279</v>
      </c>
      <c r="J100" t="s">
        <v>2279</v>
      </c>
      <c r="K100" t="s">
        <v>2279</v>
      </c>
      <c r="L100" t="s">
        <v>1447</v>
      </c>
      <c r="M100" t="s">
        <v>2279</v>
      </c>
      <c r="N100" t="s">
        <v>2279</v>
      </c>
      <c r="O100" s="190" t="str">
        <f>"["&amp;$C100&amp;"]["&amp;$D100&amp;"]["&amp;$F100&amp;"]"</f>
        <v>[S03_ActivityPermits][8][ActivityPermitsIssued]</v>
      </c>
    </row>
    <row r="101" spans="1:15" x14ac:dyDescent="0.3">
      <c r="A101" t="s">
        <v>2277</v>
      </c>
      <c r="B101" t="s">
        <v>1796</v>
      </c>
      <c r="C101" t="s">
        <v>1799</v>
      </c>
      <c r="D101">
        <v>9</v>
      </c>
      <c r="E101" t="s">
        <v>1447</v>
      </c>
      <c r="F101" t="s">
        <v>1800</v>
      </c>
      <c r="G101" t="s">
        <v>1759</v>
      </c>
      <c r="H101" t="s">
        <v>2279</v>
      </c>
      <c r="I101" t="s">
        <v>2279</v>
      </c>
      <c r="J101" t="s">
        <v>2279</v>
      </c>
      <c r="K101" t="s">
        <v>2279</v>
      </c>
      <c r="L101" t="s">
        <v>1447</v>
      </c>
      <c r="M101" t="s">
        <v>2279</v>
      </c>
      <c r="N101" t="s">
        <v>2279</v>
      </c>
      <c r="O101" s="190" t="str">
        <f>"["&amp;$C101&amp;"]["&amp;$D101&amp;"]["&amp;$F101&amp;"]"</f>
        <v>[S03_ActivityPermits][9][ActivityPermitsIssued]</v>
      </c>
    </row>
    <row r="102" spans="1:15" x14ac:dyDescent="0.3">
      <c r="A102" t="s">
        <v>2277</v>
      </c>
      <c r="B102" t="s">
        <v>1796</v>
      </c>
      <c r="C102" t="s">
        <v>1799</v>
      </c>
      <c r="D102">
        <v>10</v>
      </c>
      <c r="E102" t="s">
        <v>1447</v>
      </c>
      <c r="F102" t="s">
        <v>1800</v>
      </c>
      <c r="G102" t="s">
        <v>1759</v>
      </c>
      <c r="H102" t="s">
        <v>2279</v>
      </c>
      <c r="I102" t="s">
        <v>2279</v>
      </c>
      <c r="J102" t="s">
        <v>2279</v>
      </c>
      <c r="K102" t="s">
        <v>2279</v>
      </c>
      <c r="L102" t="s">
        <v>1419</v>
      </c>
      <c r="M102" t="s">
        <v>2279</v>
      </c>
      <c r="N102" t="s">
        <v>2279</v>
      </c>
      <c r="O102" s="190" t="str">
        <f>"["&amp;$C102&amp;"]["&amp;$D102&amp;"]["&amp;$F102&amp;"]"</f>
        <v>[S03_ActivityPermits][10][ActivityPermitsIssued]</v>
      </c>
    </row>
    <row r="103" spans="1:15" x14ac:dyDescent="0.3">
      <c r="A103" t="s">
        <v>2277</v>
      </c>
      <c r="B103" t="s">
        <v>1796</v>
      </c>
      <c r="C103" t="s">
        <v>1799</v>
      </c>
      <c r="D103">
        <v>11</v>
      </c>
      <c r="E103" t="s">
        <v>1447</v>
      </c>
      <c r="F103" t="s">
        <v>1800</v>
      </c>
      <c r="G103" t="s">
        <v>1759</v>
      </c>
      <c r="H103" t="s">
        <v>2279</v>
      </c>
      <c r="I103" t="s">
        <v>2279</v>
      </c>
      <c r="J103" t="s">
        <v>2279</v>
      </c>
      <c r="K103" t="s">
        <v>2279</v>
      </c>
      <c r="L103" t="s">
        <v>1419</v>
      </c>
      <c r="M103" t="s">
        <v>2279</v>
      </c>
      <c r="N103" t="s">
        <v>2279</v>
      </c>
      <c r="O103" s="190" t="str">
        <f>"["&amp;$C103&amp;"]["&amp;$D103&amp;"]["&amp;$F103&amp;"]"</f>
        <v>[S03_ActivityPermits][11][ActivityPermitsIssued]</v>
      </c>
    </row>
    <row r="104" spans="1:15" x14ac:dyDescent="0.3">
      <c r="A104" t="s">
        <v>2277</v>
      </c>
      <c r="B104" t="s">
        <v>1796</v>
      </c>
      <c r="C104" t="s">
        <v>1799</v>
      </c>
      <c r="D104">
        <v>12</v>
      </c>
      <c r="E104" t="s">
        <v>1447</v>
      </c>
      <c r="F104" t="s">
        <v>1800</v>
      </c>
      <c r="G104" t="s">
        <v>1759</v>
      </c>
      <c r="H104" t="s">
        <v>2279</v>
      </c>
      <c r="I104" t="s">
        <v>2279</v>
      </c>
      <c r="J104" t="s">
        <v>2279</v>
      </c>
      <c r="K104" t="s">
        <v>2279</v>
      </c>
      <c r="L104" t="s">
        <v>1419</v>
      </c>
      <c r="M104" t="s">
        <v>2279</v>
      </c>
      <c r="N104" t="s">
        <v>2279</v>
      </c>
      <c r="O104" s="190" t="str">
        <f>"["&amp;$C104&amp;"]["&amp;$D104&amp;"]["&amp;$F104&amp;"]"</f>
        <v>[S03_ActivityPermits][12][ActivityPermitsIssued]</v>
      </c>
    </row>
    <row r="105" spans="1:15" x14ac:dyDescent="0.3">
      <c r="A105" t="s">
        <v>2277</v>
      </c>
      <c r="B105" t="s">
        <v>1796</v>
      </c>
      <c r="C105" t="s">
        <v>1799</v>
      </c>
      <c r="D105">
        <v>13</v>
      </c>
      <c r="E105" t="s">
        <v>1447</v>
      </c>
      <c r="F105" t="s">
        <v>1800</v>
      </c>
      <c r="G105" t="s">
        <v>1759</v>
      </c>
      <c r="H105" t="s">
        <v>2279</v>
      </c>
      <c r="I105" t="s">
        <v>2279</v>
      </c>
      <c r="J105" t="s">
        <v>2279</v>
      </c>
      <c r="K105" t="s">
        <v>2279</v>
      </c>
      <c r="L105" t="s">
        <v>1419</v>
      </c>
      <c r="M105" t="s">
        <v>2279</v>
      </c>
      <c r="N105" t="s">
        <v>2279</v>
      </c>
      <c r="O105" s="190" t="str">
        <f>"["&amp;$C105&amp;"]["&amp;$D105&amp;"]["&amp;$F105&amp;"]"</f>
        <v>[S03_ActivityPermits][13][ActivityPermitsIssued]</v>
      </c>
    </row>
    <row r="106" spans="1:15" x14ac:dyDescent="0.3">
      <c r="A106" t="s">
        <v>2277</v>
      </c>
      <c r="B106" t="s">
        <v>1796</v>
      </c>
      <c r="C106" t="s">
        <v>1799</v>
      </c>
      <c r="D106">
        <v>14</v>
      </c>
      <c r="E106" t="s">
        <v>1447</v>
      </c>
      <c r="F106" t="s">
        <v>1800</v>
      </c>
      <c r="G106" t="s">
        <v>1759</v>
      </c>
      <c r="H106" t="s">
        <v>2279</v>
      </c>
      <c r="I106" t="s">
        <v>2279</v>
      </c>
      <c r="J106" t="s">
        <v>2279</v>
      </c>
      <c r="K106" t="s">
        <v>2279</v>
      </c>
      <c r="L106" t="s">
        <v>1419</v>
      </c>
      <c r="M106" t="s">
        <v>2279</v>
      </c>
      <c r="N106" t="s">
        <v>2279</v>
      </c>
      <c r="O106" s="190" t="str">
        <f>"["&amp;$C106&amp;"]["&amp;$D106&amp;"]["&amp;$F106&amp;"]"</f>
        <v>[S03_ActivityPermits][14][ActivityPermitsIssued]</v>
      </c>
    </row>
    <row r="107" spans="1:15" x14ac:dyDescent="0.3">
      <c r="A107" t="s">
        <v>2277</v>
      </c>
      <c r="B107" t="s">
        <v>1796</v>
      </c>
      <c r="C107" t="s">
        <v>1799</v>
      </c>
      <c r="D107">
        <v>15</v>
      </c>
      <c r="E107" t="s">
        <v>1447</v>
      </c>
      <c r="F107" t="s">
        <v>1800</v>
      </c>
      <c r="G107" t="s">
        <v>1759</v>
      </c>
      <c r="H107" t="s">
        <v>2279</v>
      </c>
      <c r="I107" t="s">
        <v>2279</v>
      </c>
      <c r="J107" t="s">
        <v>2279</v>
      </c>
      <c r="K107" t="s">
        <v>2279</v>
      </c>
      <c r="L107" t="s">
        <v>1419</v>
      </c>
      <c r="M107" t="s">
        <v>2279</v>
      </c>
      <c r="N107" t="s">
        <v>2279</v>
      </c>
      <c r="O107" s="190" t="str">
        <f>"["&amp;$C107&amp;"]["&amp;$D107&amp;"]["&amp;$F107&amp;"]"</f>
        <v>[S03_ActivityPermits][15][ActivityPermitsIssued]</v>
      </c>
    </row>
    <row r="108" spans="1:15" x14ac:dyDescent="0.3">
      <c r="A108" t="s">
        <v>2277</v>
      </c>
      <c r="B108" t="s">
        <v>1796</v>
      </c>
      <c r="C108" t="s">
        <v>1799</v>
      </c>
      <c r="D108">
        <v>16</v>
      </c>
      <c r="E108" t="s">
        <v>1447</v>
      </c>
      <c r="F108" t="s">
        <v>1800</v>
      </c>
      <c r="G108" t="s">
        <v>1759</v>
      </c>
      <c r="H108" t="s">
        <v>2279</v>
      </c>
      <c r="I108" t="s">
        <v>2279</v>
      </c>
      <c r="J108" t="s">
        <v>2279</v>
      </c>
      <c r="K108" t="s">
        <v>2279</v>
      </c>
      <c r="L108" t="s">
        <v>1419</v>
      </c>
      <c r="M108" t="s">
        <v>2279</v>
      </c>
      <c r="N108" t="s">
        <v>2279</v>
      </c>
      <c r="O108" s="190" t="str">
        <f>"["&amp;$C108&amp;"]["&amp;$D108&amp;"]["&amp;$F108&amp;"]"</f>
        <v>[S03_ActivityPermits][16][ActivityPermitsIssued]</v>
      </c>
    </row>
    <row r="109" spans="1:15" x14ac:dyDescent="0.3">
      <c r="A109" t="s">
        <v>2277</v>
      </c>
      <c r="B109" t="s">
        <v>1796</v>
      </c>
      <c r="C109" t="s">
        <v>1799</v>
      </c>
      <c r="D109">
        <v>17</v>
      </c>
      <c r="E109" t="s">
        <v>1447</v>
      </c>
      <c r="F109" t="s">
        <v>1800</v>
      </c>
      <c r="G109" t="s">
        <v>1759</v>
      </c>
      <c r="H109" t="s">
        <v>2279</v>
      </c>
      <c r="I109" t="s">
        <v>2279</v>
      </c>
      <c r="J109" t="s">
        <v>2279</v>
      </c>
      <c r="K109" t="s">
        <v>2279</v>
      </c>
      <c r="L109" t="s">
        <v>1419</v>
      </c>
      <c r="M109" t="s">
        <v>2279</v>
      </c>
      <c r="N109" t="s">
        <v>2279</v>
      </c>
      <c r="O109" s="190" t="str">
        <f>"["&amp;$C109&amp;"]["&amp;$D109&amp;"]["&amp;$F109&amp;"]"</f>
        <v>[S03_ActivityPermits][17][ActivityPermitsIssued]</v>
      </c>
    </row>
    <row r="110" spans="1:15" x14ac:dyDescent="0.3">
      <c r="A110" t="s">
        <v>2277</v>
      </c>
      <c r="B110" t="s">
        <v>1796</v>
      </c>
      <c r="C110" t="s">
        <v>1799</v>
      </c>
      <c r="D110">
        <v>18</v>
      </c>
      <c r="E110" t="s">
        <v>1447</v>
      </c>
      <c r="F110" t="s">
        <v>1800</v>
      </c>
      <c r="G110" t="s">
        <v>1759</v>
      </c>
      <c r="H110" t="s">
        <v>2279</v>
      </c>
      <c r="I110" t="s">
        <v>2279</v>
      </c>
      <c r="J110" t="s">
        <v>2279</v>
      </c>
      <c r="K110" t="s">
        <v>2279</v>
      </c>
      <c r="L110" t="s">
        <v>1447</v>
      </c>
      <c r="M110" t="s">
        <v>2279</v>
      </c>
      <c r="N110" t="s">
        <v>2279</v>
      </c>
      <c r="O110" s="190" t="str">
        <f>"["&amp;$C110&amp;"]["&amp;$D110&amp;"]["&amp;$F110&amp;"]"</f>
        <v>[S03_ActivityPermits][18][ActivityPermitsIssued]</v>
      </c>
    </row>
    <row r="111" spans="1:15" x14ac:dyDescent="0.3">
      <c r="A111" t="s">
        <v>2277</v>
      </c>
      <c r="B111" t="s">
        <v>1796</v>
      </c>
      <c r="C111" t="s">
        <v>1799</v>
      </c>
      <c r="D111">
        <v>19</v>
      </c>
      <c r="E111" t="s">
        <v>1447</v>
      </c>
      <c r="F111" t="s">
        <v>1800</v>
      </c>
      <c r="G111" t="s">
        <v>1759</v>
      </c>
      <c r="H111" t="s">
        <v>2279</v>
      </c>
      <c r="I111" t="s">
        <v>2279</v>
      </c>
      <c r="J111" t="s">
        <v>2279</v>
      </c>
      <c r="K111" t="s">
        <v>2279</v>
      </c>
      <c r="L111" t="s">
        <v>1419</v>
      </c>
      <c r="M111" t="s">
        <v>2279</v>
      </c>
      <c r="N111" t="s">
        <v>2279</v>
      </c>
      <c r="O111" s="190" t="str">
        <f>"["&amp;$C111&amp;"]["&amp;$D111&amp;"]["&amp;$F111&amp;"]"</f>
        <v>[S03_ActivityPermits][19][ActivityPermitsIssued]</v>
      </c>
    </row>
    <row r="112" spans="1:15" x14ac:dyDescent="0.3">
      <c r="A112" t="s">
        <v>2277</v>
      </c>
      <c r="B112" t="s">
        <v>1796</v>
      </c>
      <c r="C112" t="s">
        <v>1799</v>
      </c>
      <c r="D112">
        <v>20</v>
      </c>
      <c r="E112" t="s">
        <v>1447</v>
      </c>
      <c r="F112" t="s">
        <v>1800</v>
      </c>
      <c r="G112" t="s">
        <v>1759</v>
      </c>
      <c r="H112" t="s">
        <v>2279</v>
      </c>
      <c r="I112" t="s">
        <v>2279</v>
      </c>
      <c r="J112" t="s">
        <v>2279</v>
      </c>
      <c r="K112" t="s">
        <v>2279</v>
      </c>
      <c r="L112" t="s">
        <v>1447</v>
      </c>
      <c r="M112" t="s">
        <v>2279</v>
      </c>
      <c r="N112" t="s">
        <v>2279</v>
      </c>
      <c r="O112" s="190" t="str">
        <f>"["&amp;$C112&amp;"]["&amp;$D112&amp;"]["&amp;$F112&amp;"]"</f>
        <v>[S03_ActivityPermits][20][ActivityPermitsIssued]</v>
      </c>
    </row>
    <row r="113" spans="1:15" x14ac:dyDescent="0.3">
      <c r="A113" t="s">
        <v>2277</v>
      </c>
      <c r="B113" t="s">
        <v>1796</v>
      </c>
      <c r="C113" t="s">
        <v>1799</v>
      </c>
      <c r="D113">
        <v>21</v>
      </c>
      <c r="E113" t="s">
        <v>1447</v>
      </c>
      <c r="F113" t="s">
        <v>1800</v>
      </c>
      <c r="G113" t="s">
        <v>1759</v>
      </c>
      <c r="H113" t="s">
        <v>2279</v>
      </c>
      <c r="I113" t="s">
        <v>2279</v>
      </c>
      <c r="J113" t="s">
        <v>2279</v>
      </c>
      <c r="K113" t="s">
        <v>2279</v>
      </c>
      <c r="L113" t="s">
        <v>1447</v>
      </c>
      <c r="M113" t="s">
        <v>2279</v>
      </c>
      <c r="N113" t="s">
        <v>2279</v>
      </c>
      <c r="O113" s="190" t="str">
        <f>"["&amp;$C113&amp;"]["&amp;$D113&amp;"]["&amp;$F113&amp;"]"</f>
        <v>[S03_ActivityPermits][21][ActivityPermitsIssued]</v>
      </c>
    </row>
    <row r="114" spans="1:15" x14ac:dyDescent="0.3">
      <c r="A114" t="s">
        <v>2277</v>
      </c>
      <c r="B114" t="s">
        <v>1796</v>
      </c>
      <c r="C114" t="s">
        <v>1799</v>
      </c>
      <c r="D114">
        <v>22</v>
      </c>
      <c r="E114" t="s">
        <v>1447</v>
      </c>
      <c r="F114" t="s">
        <v>1800</v>
      </c>
      <c r="G114" t="s">
        <v>1759</v>
      </c>
      <c r="H114" t="s">
        <v>2279</v>
      </c>
      <c r="I114" t="s">
        <v>2279</v>
      </c>
      <c r="J114" t="s">
        <v>2279</v>
      </c>
      <c r="K114" t="s">
        <v>2279</v>
      </c>
      <c r="L114" t="s">
        <v>1447</v>
      </c>
      <c r="M114" t="s">
        <v>2279</v>
      </c>
      <c r="N114" t="s">
        <v>2279</v>
      </c>
      <c r="O114" s="190" t="str">
        <f>"["&amp;$C114&amp;"]["&amp;$D114&amp;"]["&amp;$F114&amp;"]"</f>
        <v>[S03_ActivityPermits][22][ActivityPermitsIssued]</v>
      </c>
    </row>
    <row r="115" spans="1:15" x14ac:dyDescent="0.3">
      <c r="A115" t="s">
        <v>2277</v>
      </c>
      <c r="B115" t="s">
        <v>1796</v>
      </c>
      <c r="C115" t="s">
        <v>1799</v>
      </c>
      <c r="D115">
        <v>23</v>
      </c>
      <c r="E115" t="s">
        <v>1447</v>
      </c>
      <c r="F115" t="s">
        <v>1800</v>
      </c>
      <c r="G115" t="s">
        <v>1759</v>
      </c>
      <c r="H115" t="s">
        <v>2279</v>
      </c>
      <c r="I115" t="s">
        <v>2279</v>
      </c>
      <c r="J115" t="s">
        <v>2279</v>
      </c>
      <c r="K115" t="s">
        <v>2279</v>
      </c>
      <c r="L115" t="s">
        <v>1419</v>
      </c>
      <c r="M115" t="s">
        <v>2279</v>
      </c>
      <c r="N115" t="s">
        <v>2279</v>
      </c>
      <c r="O115" s="190" t="str">
        <f>"["&amp;$C115&amp;"]["&amp;$D115&amp;"]["&amp;$F115&amp;"]"</f>
        <v>[S03_ActivityPermits][23][ActivityPermitsIssued]</v>
      </c>
    </row>
    <row r="116" spans="1:15" x14ac:dyDescent="0.3">
      <c r="A116" t="s">
        <v>2277</v>
      </c>
      <c r="B116" t="s">
        <v>1796</v>
      </c>
      <c r="C116" t="s">
        <v>1799</v>
      </c>
      <c r="D116">
        <v>24</v>
      </c>
      <c r="E116" t="s">
        <v>1447</v>
      </c>
      <c r="F116" t="s">
        <v>1800</v>
      </c>
      <c r="G116" t="s">
        <v>1759</v>
      </c>
      <c r="H116" t="s">
        <v>2279</v>
      </c>
      <c r="I116" t="s">
        <v>2279</v>
      </c>
      <c r="J116" t="s">
        <v>2279</v>
      </c>
      <c r="K116" t="s">
        <v>2279</v>
      </c>
      <c r="L116" t="s">
        <v>1419</v>
      </c>
      <c r="M116" t="s">
        <v>2279</v>
      </c>
      <c r="N116" t="s">
        <v>2279</v>
      </c>
      <c r="O116" s="190" t="str">
        <f>"["&amp;$C116&amp;"]["&amp;$D116&amp;"]["&amp;$F116&amp;"]"</f>
        <v>[S03_ActivityPermits][24][ActivityPermitsIssued]</v>
      </c>
    </row>
    <row r="117" spans="1:15" x14ac:dyDescent="0.3">
      <c r="A117" t="s">
        <v>2277</v>
      </c>
      <c r="B117" t="s">
        <v>1796</v>
      </c>
      <c r="C117" t="s">
        <v>1799</v>
      </c>
      <c r="D117">
        <v>25</v>
      </c>
      <c r="E117" t="s">
        <v>1447</v>
      </c>
      <c r="F117" t="s">
        <v>1800</v>
      </c>
      <c r="G117" t="s">
        <v>1759</v>
      </c>
      <c r="H117" t="s">
        <v>2279</v>
      </c>
      <c r="I117" t="s">
        <v>2279</v>
      </c>
      <c r="J117" t="s">
        <v>2279</v>
      </c>
      <c r="K117" t="s">
        <v>2279</v>
      </c>
      <c r="L117" t="s">
        <v>1447</v>
      </c>
      <c r="M117" t="s">
        <v>2279</v>
      </c>
      <c r="N117" t="s">
        <v>2279</v>
      </c>
      <c r="O117" s="190" t="str">
        <f>"["&amp;$C117&amp;"]["&amp;$D117&amp;"]["&amp;$F117&amp;"]"</f>
        <v>[S03_ActivityPermits][25][ActivityPermitsIssued]</v>
      </c>
    </row>
    <row r="118" spans="1:15" x14ac:dyDescent="0.3">
      <c r="A118" t="s">
        <v>2277</v>
      </c>
      <c r="B118" t="s">
        <v>1796</v>
      </c>
      <c r="C118" t="s">
        <v>1799</v>
      </c>
      <c r="D118">
        <v>26</v>
      </c>
      <c r="E118" t="s">
        <v>1447</v>
      </c>
      <c r="F118" t="s">
        <v>1800</v>
      </c>
      <c r="G118" t="s">
        <v>1759</v>
      </c>
      <c r="H118" t="s">
        <v>2279</v>
      </c>
      <c r="I118" t="s">
        <v>2279</v>
      </c>
      <c r="J118" t="s">
        <v>2279</v>
      </c>
      <c r="K118" t="s">
        <v>2279</v>
      </c>
      <c r="L118" t="s">
        <v>1447</v>
      </c>
      <c r="M118" t="s">
        <v>2279</v>
      </c>
      <c r="N118" t="s">
        <v>2279</v>
      </c>
      <c r="O118" s="190" t="str">
        <f>"["&amp;$C118&amp;"]["&amp;$D118&amp;"]["&amp;$F118&amp;"]"</f>
        <v>[S03_ActivityPermits][26][ActivityPermitsIssued]</v>
      </c>
    </row>
    <row r="119" spans="1:15" x14ac:dyDescent="0.3">
      <c r="A119" t="s">
        <v>2277</v>
      </c>
      <c r="B119" t="s">
        <v>1796</v>
      </c>
      <c r="C119" t="s">
        <v>1799</v>
      </c>
      <c r="D119">
        <v>27</v>
      </c>
      <c r="E119" t="s">
        <v>1447</v>
      </c>
      <c r="F119" t="s">
        <v>1800</v>
      </c>
      <c r="G119" t="s">
        <v>1759</v>
      </c>
      <c r="H119" t="s">
        <v>2279</v>
      </c>
      <c r="I119" t="s">
        <v>2279</v>
      </c>
      <c r="J119" t="s">
        <v>2279</v>
      </c>
      <c r="K119" t="s">
        <v>2279</v>
      </c>
      <c r="L119" t="s">
        <v>1447</v>
      </c>
      <c r="M119" t="s">
        <v>2279</v>
      </c>
      <c r="N119" t="s">
        <v>2279</v>
      </c>
      <c r="O119" s="190" t="str">
        <f>"["&amp;$C119&amp;"]["&amp;$D119&amp;"]["&amp;$F119&amp;"]"</f>
        <v>[S03_ActivityPermits][27][ActivityPermitsIssued]</v>
      </c>
    </row>
    <row r="120" spans="1:15" x14ac:dyDescent="0.3">
      <c r="A120" t="s">
        <v>2277</v>
      </c>
      <c r="B120" t="s">
        <v>1796</v>
      </c>
      <c r="C120" t="s">
        <v>1799</v>
      </c>
      <c r="D120">
        <v>28</v>
      </c>
      <c r="E120" t="s">
        <v>1447</v>
      </c>
      <c r="F120" t="s">
        <v>1800</v>
      </c>
      <c r="G120" t="s">
        <v>1759</v>
      </c>
      <c r="H120" t="s">
        <v>2279</v>
      </c>
      <c r="I120" t="s">
        <v>2279</v>
      </c>
      <c r="J120" t="s">
        <v>2279</v>
      </c>
      <c r="K120" t="s">
        <v>2279</v>
      </c>
      <c r="L120" t="s">
        <v>1447</v>
      </c>
      <c r="M120" t="s">
        <v>2279</v>
      </c>
      <c r="N120" t="s">
        <v>2279</v>
      </c>
      <c r="O120" s="190" t="str">
        <f>"["&amp;$C120&amp;"]["&amp;$D120&amp;"]["&amp;$F120&amp;"]"</f>
        <v>[S03_ActivityPermits][28][ActivityPermitsIssued]</v>
      </c>
    </row>
    <row r="121" spans="1:15" x14ac:dyDescent="0.3">
      <c r="A121" t="s">
        <v>2277</v>
      </c>
      <c r="B121" t="s">
        <v>1801</v>
      </c>
      <c r="C121" t="s">
        <v>1802</v>
      </c>
      <c r="D121">
        <v>0</v>
      </c>
      <c r="E121" t="s">
        <v>1447</v>
      </c>
      <c r="F121" t="s">
        <v>1802</v>
      </c>
      <c r="G121" t="s">
        <v>1759</v>
      </c>
      <c r="H121" t="s">
        <v>2279</v>
      </c>
      <c r="I121" t="s">
        <v>2279</v>
      </c>
      <c r="J121" t="s">
        <v>2279</v>
      </c>
      <c r="K121" t="s">
        <v>2279</v>
      </c>
      <c r="L121" t="s">
        <v>1419</v>
      </c>
      <c r="M121" t="s">
        <v>2279</v>
      </c>
      <c r="N121" t="s">
        <v>2279</v>
      </c>
      <c r="O121" s="190" t="str">
        <f>"["&amp;$C121&amp;"]["&amp;$D121&amp;"]["&amp;$F121&amp;"]"</f>
        <v>[InstallationsExcludedArt27][0][InstallationsExcludedArt27]</v>
      </c>
    </row>
    <row r="122" spans="1:15" x14ac:dyDescent="0.3">
      <c r="A122" t="s">
        <v>2277</v>
      </c>
      <c r="B122" t="s">
        <v>1801</v>
      </c>
      <c r="C122" t="s">
        <v>1803</v>
      </c>
      <c r="D122">
        <v>1</v>
      </c>
      <c r="E122" t="s">
        <v>1447</v>
      </c>
      <c r="F122" t="s">
        <v>1804</v>
      </c>
      <c r="G122" t="s">
        <v>1737</v>
      </c>
      <c r="H122" t="s">
        <v>2279</v>
      </c>
      <c r="I122" t="s">
        <v>2279</v>
      </c>
      <c r="J122" t="s">
        <v>2279</v>
      </c>
      <c r="K122" t="s">
        <v>2279</v>
      </c>
      <c r="L122" t="s">
        <v>1423</v>
      </c>
      <c r="M122" t="s">
        <v>2279</v>
      </c>
      <c r="N122" t="s">
        <v>2279</v>
      </c>
      <c r="O122" s="190" t="str">
        <f>"["&amp;$C122&amp;"]["&amp;$D122&amp;"]["&amp;$F122&amp;"]"</f>
        <v>[S03_InstallationsExcludedArt27Detail][1][ExclusionArticle]</v>
      </c>
    </row>
    <row r="123" spans="1:15" x14ac:dyDescent="0.3">
      <c r="A123" t="s">
        <v>2277</v>
      </c>
      <c r="B123" t="s">
        <v>1801</v>
      </c>
      <c r="C123" t="s">
        <v>1803</v>
      </c>
      <c r="D123">
        <v>2</v>
      </c>
      <c r="E123" t="s">
        <v>1447</v>
      </c>
      <c r="F123" t="s">
        <v>1804</v>
      </c>
      <c r="G123" t="s">
        <v>1737</v>
      </c>
      <c r="H123" t="s">
        <v>2279</v>
      </c>
      <c r="I123" t="s">
        <v>2279</v>
      </c>
      <c r="J123" t="s">
        <v>2279</v>
      </c>
      <c r="K123" t="s">
        <v>2279</v>
      </c>
      <c r="L123" t="s">
        <v>1451</v>
      </c>
      <c r="M123" t="s">
        <v>2279</v>
      </c>
      <c r="N123" t="s">
        <v>2279</v>
      </c>
      <c r="O123" s="190" t="str">
        <f>"["&amp;$C123&amp;"]["&amp;$D123&amp;"]["&amp;$F123&amp;"]"</f>
        <v>[S03_InstallationsExcludedArt27Detail][2][ExclusionArticle]</v>
      </c>
    </row>
    <row r="124" spans="1:15" x14ac:dyDescent="0.3">
      <c r="A124" t="s">
        <v>2277</v>
      </c>
      <c r="B124" t="s">
        <v>1801</v>
      </c>
      <c r="C124" t="s">
        <v>1803</v>
      </c>
      <c r="D124">
        <v>1</v>
      </c>
      <c r="E124" t="s">
        <v>1447</v>
      </c>
      <c r="F124" t="s">
        <v>1805</v>
      </c>
      <c r="G124" t="s">
        <v>1806</v>
      </c>
      <c r="H124" t="s">
        <v>2279</v>
      </c>
      <c r="I124" t="s">
        <v>2279</v>
      </c>
      <c r="J124">
        <v>96399</v>
      </c>
      <c r="K124" t="s">
        <v>2279</v>
      </c>
      <c r="L124" t="s">
        <v>2279</v>
      </c>
      <c r="M124" t="s">
        <v>2279</v>
      </c>
      <c r="N124" t="s">
        <v>2279</v>
      </c>
      <c r="O124" s="190" t="str">
        <f>"["&amp;$C124&amp;"]["&amp;$D124&amp;"]["&amp;$F124&amp;"]"</f>
        <v>[S03_InstallationsExcludedArt27Detail][1][InstallationsExcludedEmissions]</v>
      </c>
    </row>
    <row r="125" spans="1:15" x14ac:dyDescent="0.3">
      <c r="A125" t="s">
        <v>2277</v>
      </c>
      <c r="B125" t="s">
        <v>1801</v>
      </c>
      <c r="C125" t="s">
        <v>1803</v>
      </c>
      <c r="D125">
        <v>2</v>
      </c>
      <c r="E125" t="s">
        <v>1447</v>
      </c>
      <c r="F125" t="s">
        <v>1805</v>
      </c>
      <c r="G125" t="s">
        <v>1806</v>
      </c>
      <c r="H125" t="s">
        <v>2279</v>
      </c>
      <c r="I125" t="s">
        <v>2279</v>
      </c>
      <c r="J125">
        <v>1839</v>
      </c>
      <c r="K125" t="s">
        <v>2279</v>
      </c>
      <c r="L125" t="s">
        <v>2279</v>
      </c>
      <c r="M125" t="s">
        <v>2279</v>
      </c>
      <c r="N125" t="s">
        <v>2279</v>
      </c>
      <c r="O125" s="190" t="str">
        <f>"["&amp;$C125&amp;"]["&amp;$D125&amp;"]["&amp;$F125&amp;"]"</f>
        <v>[S03_InstallationsExcludedArt27Detail][2][InstallationsExcludedEmissions]</v>
      </c>
    </row>
    <row r="126" spans="1:15" x14ac:dyDescent="0.3">
      <c r="A126" t="s">
        <v>2277</v>
      </c>
      <c r="B126" t="s">
        <v>1801</v>
      </c>
      <c r="C126" t="s">
        <v>1803</v>
      </c>
      <c r="D126">
        <v>1</v>
      </c>
      <c r="E126" t="s">
        <v>1447</v>
      </c>
      <c r="F126" t="s">
        <v>1807</v>
      </c>
      <c r="G126" t="s">
        <v>1748</v>
      </c>
      <c r="H126" t="s">
        <v>2279</v>
      </c>
      <c r="I126">
        <v>0</v>
      </c>
      <c r="J126" t="s">
        <v>2279</v>
      </c>
      <c r="K126" t="s">
        <v>2279</v>
      </c>
      <c r="L126" t="s">
        <v>2279</v>
      </c>
      <c r="M126" t="s">
        <v>2279</v>
      </c>
      <c r="N126" t="s">
        <v>2279</v>
      </c>
      <c r="O126" s="190" t="str">
        <f>"["&amp;$C126&amp;"]["&amp;$D126&amp;"]["&amp;$F126&amp;"]"</f>
        <v>[S03_InstallationsExcludedArt27Detail][1][InstallationsExceededThreshold]</v>
      </c>
    </row>
    <row r="127" spans="1:15" x14ac:dyDescent="0.3">
      <c r="A127" t="s">
        <v>2277</v>
      </c>
      <c r="B127" t="s">
        <v>1801</v>
      </c>
      <c r="C127" t="s">
        <v>1803</v>
      </c>
      <c r="D127">
        <v>2</v>
      </c>
      <c r="E127" t="s">
        <v>1447</v>
      </c>
      <c r="F127" t="s">
        <v>1807</v>
      </c>
      <c r="G127" t="s">
        <v>1748</v>
      </c>
      <c r="H127" t="s">
        <v>2279</v>
      </c>
      <c r="I127">
        <v>0</v>
      </c>
      <c r="J127" t="s">
        <v>2279</v>
      </c>
      <c r="K127" t="s">
        <v>2279</v>
      </c>
      <c r="L127" t="s">
        <v>2279</v>
      </c>
      <c r="M127" t="s">
        <v>2279</v>
      </c>
      <c r="N127" t="s">
        <v>2279</v>
      </c>
      <c r="O127" s="190" t="str">
        <f>"["&amp;$C127&amp;"]["&amp;$D127&amp;"]["&amp;$F127&amp;"]"</f>
        <v>[S03_InstallationsExcludedArt27Detail][2][InstallationsExceededThreshold]</v>
      </c>
    </row>
    <row r="128" spans="1:15" x14ac:dyDescent="0.3">
      <c r="A128" t="s">
        <v>2277</v>
      </c>
      <c r="B128" t="s">
        <v>1801</v>
      </c>
      <c r="C128" t="s">
        <v>1808</v>
      </c>
      <c r="D128">
        <v>0</v>
      </c>
      <c r="E128" t="s">
        <v>1447</v>
      </c>
      <c r="F128" t="s">
        <v>1809</v>
      </c>
      <c r="G128" t="s">
        <v>1748</v>
      </c>
      <c r="H128" t="s">
        <v>2279</v>
      </c>
      <c r="I128">
        <v>1</v>
      </c>
      <c r="J128" t="s">
        <v>2279</v>
      </c>
      <c r="K128" t="s">
        <v>2279</v>
      </c>
      <c r="L128" t="s">
        <v>2279</v>
      </c>
      <c r="M128" t="s">
        <v>2279</v>
      </c>
      <c r="N128" t="s">
        <v>2279</v>
      </c>
      <c r="O128" s="190" t="str">
        <f>"["&amp;$C128&amp;"]["&amp;$D128&amp;"]["&amp;$F128&amp;"]"</f>
        <v>[S03_InstallationsExcludedClosed][0][ClosedArt27]</v>
      </c>
    </row>
    <row r="129" spans="1:15" x14ac:dyDescent="0.3">
      <c r="A129" t="s">
        <v>2277</v>
      </c>
      <c r="B129" t="s">
        <v>1801</v>
      </c>
      <c r="C129" t="s">
        <v>1808</v>
      </c>
      <c r="D129">
        <v>0</v>
      </c>
      <c r="E129" t="s">
        <v>1447</v>
      </c>
      <c r="F129" t="s">
        <v>1810</v>
      </c>
      <c r="G129" t="s">
        <v>1748</v>
      </c>
      <c r="H129" t="s">
        <v>2279</v>
      </c>
      <c r="I129">
        <v>0</v>
      </c>
      <c r="J129" t="s">
        <v>2279</v>
      </c>
      <c r="K129" t="s">
        <v>2279</v>
      </c>
      <c r="L129" t="s">
        <v>2279</v>
      </c>
      <c r="M129" t="s">
        <v>2279</v>
      </c>
      <c r="N129" t="s">
        <v>2279</v>
      </c>
      <c r="O129" s="190" t="str">
        <f>"["&amp;$C129&amp;"]["&amp;$D129&amp;"]["&amp;$F129&amp;"]"</f>
        <v>[S03_InstallationsExcludedClosed][0][ClosedArt27a]</v>
      </c>
    </row>
    <row r="130" spans="1:15" x14ac:dyDescent="0.3">
      <c r="A130" t="s">
        <v>2277</v>
      </c>
      <c r="B130" t="s">
        <v>1811</v>
      </c>
      <c r="C130" t="s">
        <v>1812</v>
      </c>
      <c r="D130">
        <v>1</v>
      </c>
      <c r="E130" t="s">
        <v>1447</v>
      </c>
      <c r="F130" t="s">
        <v>1813</v>
      </c>
      <c r="G130" t="s">
        <v>1748</v>
      </c>
      <c r="H130" t="s">
        <v>2279</v>
      </c>
      <c r="I130">
        <v>3</v>
      </c>
      <c r="J130" t="s">
        <v>2279</v>
      </c>
      <c r="K130" t="s">
        <v>2279</v>
      </c>
      <c r="L130" t="s">
        <v>2279</v>
      </c>
      <c r="M130" t="s">
        <v>2279</v>
      </c>
      <c r="N130" t="s">
        <v>2279</v>
      </c>
      <c r="O130" s="190" t="str">
        <f>"["&amp;$C130&amp;"]["&amp;$D130&amp;"]["&amp;$F130&amp;"]"</f>
        <v>[S03_AircraftAnnex1Activities][1][NumberCommercialOperators]</v>
      </c>
    </row>
    <row r="131" spans="1:15" x14ac:dyDescent="0.3">
      <c r="A131" t="s">
        <v>2277</v>
      </c>
      <c r="B131" t="s">
        <v>1811</v>
      </c>
      <c r="C131" t="s">
        <v>1812</v>
      </c>
      <c r="D131">
        <v>2</v>
      </c>
      <c r="E131" t="s">
        <v>1447</v>
      </c>
      <c r="F131" t="s">
        <v>1813</v>
      </c>
      <c r="G131" t="s">
        <v>1748</v>
      </c>
      <c r="H131" t="s">
        <v>2279</v>
      </c>
      <c r="I131">
        <v>0</v>
      </c>
      <c r="J131" t="s">
        <v>2279</v>
      </c>
      <c r="K131" t="s">
        <v>2279</v>
      </c>
      <c r="L131" t="s">
        <v>2279</v>
      </c>
      <c r="M131" t="s">
        <v>2279</v>
      </c>
      <c r="N131" t="s">
        <v>2279</v>
      </c>
      <c r="O131" s="190" t="str">
        <f>"["&amp;$C131&amp;"]["&amp;$D131&amp;"]["&amp;$F131&amp;"]"</f>
        <v>[S03_AircraftAnnex1Activities][2][NumberCommercialOperators]</v>
      </c>
    </row>
    <row r="132" spans="1:15" x14ac:dyDescent="0.3">
      <c r="A132" t="s">
        <v>2277</v>
      </c>
      <c r="B132" t="s">
        <v>1811</v>
      </c>
      <c r="C132" t="s">
        <v>1812</v>
      </c>
      <c r="D132">
        <v>3</v>
      </c>
      <c r="E132" t="s">
        <v>1447</v>
      </c>
      <c r="F132" t="s">
        <v>1813</v>
      </c>
      <c r="G132" t="s">
        <v>1748</v>
      </c>
      <c r="H132" t="s">
        <v>2279</v>
      </c>
      <c r="I132">
        <v>3</v>
      </c>
      <c r="J132" t="s">
        <v>2279</v>
      </c>
      <c r="K132" t="s">
        <v>2279</v>
      </c>
      <c r="L132" t="s">
        <v>2279</v>
      </c>
      <c r="M132" t="s">
        <v>2279</v>
      </c>
      <c r="N132" t="s">
        <v>2279</v>
      </c>
      <c r="O132" s="190" t="str">
        <f>"["&amp;$C132&amp;"]["&amp;$D132&amp;"]["&amp;$F132&amp;"]"</f>
        <v>[S03_AircraftAnnex1Activities][3][NumberCommercialOperators]</v>
      </c>
    </row>
    <row r="133" spans="1:15" x14ac:dyDescent="0.3">
      <c r="A133" t="s">
        <v>2277</v>
      </c>
      <c r="B133" t="s">
        <v>1811</v>
      </c>
      <c r="C133" t="s">
        <v>1812</v>
      </c>
      <c r="D133">
        <v>1</v>
      </c>
      <c r="E133" t="s">
        <v>1447</v>
      </c>
      <c r="F133" t="s">
        <v>1814</v>
      </c>
      <c r="G133" t="s">
        <v>1748</v>
      </c>
      <c r="H133" t="s">
        <v>2279</v>
      </c>
      <c r="I133">
        <v>0</v>
      </c>
      <c r="J133" t="s">
        <v>2279</v>
      </c>
      <c r="K133" t="s">
        <v>2279</v>
      </c>
      <c r="L133" t="s">
        <v>2279</v>
      </c>
      <c r="M133" t="s">
        <v>2279</v>
      </c>
      <c r="N133" t="s">
        <v>2279</v>
      </c>
      <c r="O133" s="190" t="str">
        <f>"["&amp;$C133&amp;"]["&amp;$D133&amp;"]["&amp;$F133&amp;"]"</f>
        <v>[S03_AircraftAnnex1Activities][1][NumberNonCommercialOperators]</v>
      </c>
    </row>
    <row r="134" spans="1:15" x14ac:dyDescent="0.3">
      <c r="A134" t="s">
        <v>2277</v>
      </c>
      <c r="B134" t="s">
        <v>1811</v>
      </c>
      <c r="C134" t="s">
        <v>1812</v>
      </c>
      <c r="D134">
        <v>2</v>
      </c>
      <c r="E134" t="s">
        <v>1447</v>
      </c>
      <c r="F134" t="s">
        <v>1814</v>
      </c>
      <c r="G134" t="s">
        <v>1748</v>
      </c>
      <c r="H134" t="s">
        <v>2279</v>
      </c>
      <c r="I134">
        <v>1</v>
      </c>
      <c r="J134" t="s">
        <v>2279</v>
      </c>
      <c r="K134" t="s">
        <v>2279</v>
      </c>
      <c r="L134" t="s">
        <v>2279</v>
      </c>
      <c r="M134" t="s">
        <v>2279</v>
      </c>
      <c r="N134" t="s">
        <v>2279</v>
      </c>
      <c r="O134" s="190" t="str">
        <f>"["&amp;$C134&amp;"]["&amp;$D134&amp;"]["&amp;$F134&amp;"]"</f>
        <v>[S03_AircraftAnnex1Activities][2][NumberNonCommercialOperators]</v>
      </c>
    </row>
    <row r="135" spans="1:15" x14ac:dyDescent="0.3">
      <c r="A135" t="s">
        <v>2277</v>
      </c>
      <c r="B135" t="s">
        <v>1811</v>
      </c>
      <c r="C135" t="s">
        <v>1812</v>
      </c>
      <c r="D135">
        <v>3</v>
      </c>
      <c r="E135" t="s">
        <v>1447</v>
      </c>
      <c r="F135" t="s">
        <v>1814</v>
      </c>
      <c r="G135" t="s">
        <v>1748</v>
      </c>
      <c r="H135" t="s">
        <v>2279</v>
      </c>
      <c r="I135">
        <v>1</v>
      </c>
      <c r="J135" t="s">
        <v>2279</v>
      </c>
      <c r="K135" t="s">
        <v>2279</v>
      </c>
      <c r="L135" t="s">
        <v>2279</v>
      </c>
      <c r="M135" t="s">
        <v>2279</v>
      </c>
      <c r="N135" t="s">
        <v>2279</v>
      </c>
      <c r="O135" s="190" t="str">
        <f>"["&amp;$C135&amp;"]["&amp;$D135&amp;"]["&amp;$F135&amp;"]"</f>
        <v>[S03_AircraftAnnex1Activities][3][NumberNonCommercialOperators]</v>
      </c>
    </row>
    <row r="136" spans="1:15" x14ac:dyDescent="0.3">
      <c r="A136" t="s">
        <v>2277</v>
      </c>
      <c r="B136" t="s">
        <v>1811</v>
      </c>
      <c r="C136" t="s">
        <v>1812</v>
      </c>
      <c r="D136">
        <v>1</v>
      </c>
      <c r="E136" t="s">
        <v>1447</v>
      </c>
      <c r="F136" t="s">
        <v>1815</v>
      </c>
      <c r="G136" t="s">
        <v>1748</v>
      </c>
      <c r="H136" t="s">
        <v>2279</v>
      </c>
      <c r="I136">
        <v>3</v>
      </c>
      <c r="J136" t="s">
        <v>2279</v>
      </c>
      <c r="K136" t="s">
        <v>2279</v>
      </c>
      <c r="L136" t="s">
        <v>2279</v>
      </c>
      <c r="M136" t="s">
        <v>2279</v>
      </c>
      <c r="N136" t="s">
        <v>2279</v>
      </c>
      <c r="O136" s="190" t="str">
        <f>"["&amp;$C136&amp;"]["&amp;$D136&amp;"]["&amp;$F136&amp;"]"</f>
        <v>[S03_AircraftAnnex1Activities][1][NumberTotalOperators]</v>
      </c>
    </row>
    <row r="137" spans="1:15" x14ac:dyDescent="0.3">
      <c r="A137" t="s">
        <v>2277</v>
      </c>
      <c r="B137" t="s">
        <v>1811</v>
      </c>
      <c r="C137" t="s">
        <v>1812</v>
      </c>
      <c r="D137">
        <v>2</v>
      </c>
      <c r="E137" t="s">
        <v>1447</v>
      </c>
      <c r="F137" t="s">
        <v>1815</v>
      </c>
      <c r="G137" t="s">
        <v>1748</v>
      </c>
      <c r="H137" t="s">
        <v>2279</v>
      </c>
      <c r="I137">
        <v>1</v>
      </c>
      <c r="J137" t="s">
        <v>2279</v>
      </c>
      <c r="K137" t="s">
        <v>2279</v>
      </c>
      <c r="L137" t="s">
        <v>2279</v>
      </c>
      <c r="M137" t="s">
        <v>2279</v>
      </c>
      <c r="N137" t="s">
        <v>2279</v>
      </c>
      <c r="O137" s="190" t="str">
        <f>"["&amp;$C137&amp;"]["&amp;$D137&amp;"]["&amp;$F137&amp;"]"</f>
        <v>[S03_AircraftAnnex1Activities][2][NumberTotalOperators]</v>
      </c>
    </row>
    <row r="138" spans="1:15" x14ac:dyDescent="0.3">
      <c r="A138" t="s">
        <v>2277</v>
      </c>
      <c r="B138" t="s">
        <v>1811</v>
      </c>
      <c r="C138" t="s">
        <v>1812</v>
      </c>
      <c r="D138">
        <v>3</v>
      </c>
      <c r="E138" t="s">
        <v>1447</v>
      </c>
      <c r="F138" t="s">
        <v>1815</v>
      </c>
      <c r="G138" t="s">
        <v>1748</v>
      </c>
      <c r="H138" t="s">
        <v>2279</v>
      </c>
      <c r="I138">
        <v>4</v>
      </c>
      <c r="J138" t="s">
        <v>2279</v>
      </c>
      <c r="K138" t="s">
        <v>2279</v>
      </c>
      <c r="L138" t="s">
        <v>2279</v>
      </c>
      <c r="M138" t="s">
        <v>2279</v>
      </c>
      <c r="N138" t="s">
        <v>2279</v>
      </c>
      <c r="O138" s="190" t="str">
        <f>"["&amp;$C138&amp;"]["&amp;$D138&amp;"]["&amp;$F138&amp;"]"</f>
        <v>[S03_AircraftAnnex1Activities][3][NumberTotalOperators]</v>
      </c>
    </row>
    <row r="139" spans="1:15" x14ac:dyDescent="0.3">
      <c r="A139" t="s">
        <v>2277</v>
      </c>
      <c r="B139" t="s">
        <v>1816</v>
      </c>
      <c r="C139" t="s">
        <v>1817</v>
      </c>
      <c r="D139">
        <v>1</v>
      </c>
      <c r="E139" t="s">
        <v>1447</v>
      </c>
      <c r="F139" t="s">
        <v>1818</v>
      </c>
      <c r="G139" t="s">
        <v>1737</v>
      </c>
      <c r="H139" t="s">
        <v>2279</v>
      </c>
      <c r="I139" t="s">
        <v>2279</v>
      </c>
      <c r="J139" t="s">
        <v>2279</v>
      </c>
      <c r="K139" t="s">
        <v>2279</v>
      </c>
      <c r="L139" t="s">
        <v>1419</v>
      </c>
      <c r="M139" t="s">
        <v>2279</v>
      </c>
      <c r="N139" t="s">
        <v>2279</v>
      </c>
      <c r="O139" s="190" t="str">
        <f>"["&amp;$C139&amp;"]["&amp;$D139&amp;"]["&amp;$F139&amp;"]"</f>
        <v>[S04_IEDProcedureRequirementsIntegratedYes][1][IntegrationYesNo]</v>
      </c>
    </row>
    <row r="140" spans="1:15" x14ac:dyDescent="0.3">
      <c r="A140" t="s">
        <v>2277</v>
      </c>
      <c r="B140" t="s">
        <v>1816</v>
      </c>
      <c r="C140" t="s">
        <v>1817</v>
      </c>
      <c r="D140">
        <v>4</v>
      </c>
      <c r="E140" t="s">
        <v>1447</v>
      </c>
      <c r="F140" t="s">
        <v>1818</v>
      </c>
      <c r="G140" t="s">
        <v>1737</v>
      </c>
      <c r="H140" t="s">
        <v>2279</v>
      </c>
      <c r="I140" t="s">
        <v>2279</v>
      </c>
      <c r="J140" t="s">
        <v>2279</v>
      </c>
      <c r="K140" t="s">
        <v>2279</v>
      </c>
      <c r="L140" t="s">
        <v>1447</v>
      </c>
      <c r="M140" t="s">
        <v>2279</v>
      </c>
      <c r="N140" t="s">
        <v>2279</v>
      </c>
      <c r="O140" s="190" t="str">
        <f>"["&amp;$C140&amp;"]["&amp;$D140&amp;"]["&amp;$F140&amp;"]"</f>
        <v>[S04_IEDProcedureRequirementsIntegratedYes][4][IntegrationYesNo]</v>
      </c>
    </row>
    <row r="141" spans="1:15" x14ac:dyDescent="0.3">
      <c r="A141" t="s">
        <v>2277</v>
      </c>
      <c r="B141" t="s">
        <v>1816</v>
      </c>
      <c r="C141" t="s">
        <v>1817</v>
      </c>
      <c r="D141">
        <v>5</v>
      </c>
      <c r="E141" t="s">
        <v>1447</v>
      </c>
      <c r="F141" t="s">
        <v>1818</v>
      </c>
      <c r="G141" t="s">
        <v>1737</v>
      </c>
      <c r="H141" t="s">
        <v>2279</v>
      </c>
      <c r="I141" t="s">
        <v>2279</v>
      </c>
      <c r="J141" t="s">
        <v>2279</v>
      </c>
      <c r="K141" t="s">
        <v>2279</v>
      </c>
      <c r="L141" t="s">
        <v>1447</v>
      </c>
      <c r="M141" t="s">
        <v>2279</v>
      </c>
      <c r="N141" t="s">
        <v>2279</v>
      </c>
      <c r="O141" s="190" t="str">
        <f>"["&amp;$C141&amp;"]["&amp;$D141&amp;"]["&amp;$F141&amp;"]"</f>
        <v>[S04_IEDProcedureRequirementsIntegratedYes][5][IntegrationYesNo]</v>
      </c>
    </row>
    <row r="142" spans="1:15" x14ac:dyDescent="0.3">
      <c r="A142" t="s">
        <v>2277</v>
      </c>
      <c r="B142" t="s">
        <v>1816</v>
      </c>
      <c r="C142" t="s">
        <v>1817</v>
      </c>
      <c r="D142">
        <v>6</v>
      </c>
      <c r="E142" t="s">
        <v>1447</v>
      </c>
      <c r="F142" t="s">
        <v>1818</v>
      </c>
      <c r="G142" t="s">
        <v>1737</v>
      </c>
      <c r="H142" t="s">
        <v>2279</v>
      </c>
      <c r="I142" t="s">
        <v>2279</v>
      </c>
      <c r="J142" t="s">
        <v>2279</v>
      </c>
      <c r="K142" t="s">
        <v>2279</v>
      </c>
      <c r="L142" t="s">
        <v>1447</v>
      </c>
      <c r="M142" t="s">
        <v>2279</v>
      </c>
      <c r="N142" t="s">
        <v>2279</v>
      </c>
      <c r="O142" s="190" t="str">
        <f>"["&amp;$C142&amp;"]["&amp;$D142&amp;"]["&amp;$F142&amp;"]"</f>
        <v>[S04_IEDProcedureRequirementsIntegratedYes][6][IntegrationYesNo]</v>
      </c>
    </row>
    <row r="143" spans="1:15" x14ac:dyDescent="0.3">
      <c r="A143" t="s">
        <v>2277</v>
      </c>
      <c r="B143" t="s">
        <v>1816</v>
      </c>
      <c r="C143" t="s">
        <v>1817</v>
      </c>
      <c r="D143">
        <v>8</v>
      </c>
      <c r="E143" t="s">
        <v>1447</v>
      </c>
      <c r="F143" t="s">
        <v>1818</v>
      </c>
      <c r="G143" t="s">
        <v>1737</v>
      </c>
      <c r="H143" t="s">
        <v>2279</v>
      </c>
      <c r="I143" t="s">
        <v>2279</v>
      </c>
      <c r="J143" t="s">
        <v>2279</v>
      </c>
      <c r="K143" t="s">
        <v>2279</v>
      </c>
      <c r="L143" t="s">
        <v>1447</v>
      </c>
      <c r="M143" t="s">
        <v>2279</v>
      </c>
      <c r="N143" t="s">
        <v>2279</v>
      </c>
      <c r="O143" s="190" t="str">
        <f>"["&amp;$C143&amp;"]["&amp;$D143&amp;"]["&amp;$F143&amp;"]"</f>
        <v>[S04_IEDProcedureRequirementsIntegratedYes][8][IntegrationYesNo]</v>
      </c>
    </row>
    <row r="144" spans="1:15" x14ac:dyDescent="0.3">
      <c r="A144" t="s">
        <v>2277</v>
      </c>
      <c r="B144" t="s">
        <v>1816</v>
      </c>
      <c r="C144" t="s">
        <v>1817</v>
      </c>
      <c r="D144">
        <v>1</v>
      </c>
      <c r="E144" t="s">
        <v>1447</v>
      </c>
      <c r="F144" t="s">
        <v>1819</v>
      </c>
      <c r="G144" t="s">
        <v>1791</v>
      </c>
      <c r="H144" t="s">
        <v>2279</v>
      </c>
      <c r="I144" t="s">
        <v>2279</v>
      </c>
      <c r="J144" t="s">
        <v>2279</v>
      </c>
      <c r="K144" t="s">
        <v>2326</v>
      </c>
      <c r="L144" t="s">
        <v>2279</v>
      </c>
      <c r="M144" t="s">
        <v>2279</v>
      </c>
      <c r="N144" t="s">
        <v>2279</v>
      </c>
      <c r="O144" s="190" t="str">
        <f>"["&amp;$C144&amp;"]["&amp;$D144&amp;"]["&amp;$F144&amp;"]"</f>
        <v>[S04_IEDProcedureRequirementsIntegratedYes][1][IntegrationComments]</v>
      </c>
    </row>
    <row r="145" spans="1:15" x14ac:dyDescent="0.3">
      <c r="A145" t="s">
        <v>2277</v>
      </c>
      <c r="B145" t="s">
        <v>1816</v>
      </c>
      <c r="C145" t="s">
        <v>1817</v>
      </c>
      <c r="D145">
        <v>4</v>
      </c>
      <c r="E145" t="s">
        <v>1447</v>
      </c>
      <c r="F145" t="s">
        <v>1819</v>
      </c>
      <c r="G145" t="s">
        <v>1791</v>
      </c>
      <c r="H145" t="s">
        <v>2279</v>
      </c>
      <c r="I145" t="s">
        <v>2279</v>
      </c>
      <c r="J145" t="s">
        <v>2279</v>
      </c>
      <c r="K145" t="s">
        <v>2327</v>
      </c>
      <c r="L145" t="s">
        <v>2279</v>
      </c>
      <c r="M145" t="s">
        <v>2279</v>
      </c>
      <c r="N145" t="s">
        <v>2279</v>
      </c>
      <c r="O145" s="190" t="str">
        <f>"["&amp;$C145&amp;"]["&amp;$D145&amp;"]["&amp;$F145&amp;"]"</f>
        <v>[S04_IEDProcedureRequirementsIntegratedYes][4][IntegrationComments]</v>
      </c>
    </row>
    <row r="146" spans="1:15" x14ac:dyDescent="0.3">
      <c r="A146" t="s">
        <v>2277</v>
      </c>
      <c r="B146" t="s">
        <v>1816</v>
      </c>
      <c r="C146" t="s">
        <v>1817</v>
      </c>
      <c r="D146">
        <v>5</v>
      </c>
      <c r="E146" t="s">
        <v>1447</v>
      </c>
      <c r="F146" t="s">
        <v>1819</v>
      </c>
      <c r="G146" t="s">
        <v>1791</v>
      </c>
      <c r="H146" t="s">
        <v>2279</v>
      </c>
      <c r="I146" t="s">
        <v>2279</v>
      </c>
      <c r="J146" t="s">
        <v>2279</v>
      </c>
      <c r="K146" t="s">
        <v>2328</v>
      </c>
      <c r="L146" t="s">
        <v>2279</v>
      </c>
      <c r="M146" t="s">
        <v>2279</v>
      </c>
      <c r="N146" t="s">
        <v>2279</v>
      </c>
      <c r="O146" s="190" t="str">
        <f>"["&amp;$C146&amp;"]["&amp;$D146&amp;"]["&amp;$F146&amp;"]"</f>
        <v>[S04_IEDProcedureRequirementsIntegratedYes][5][IntegrationComments]</v>
      </c>
    </row>
    <row r="147" spans="1:15" x14ac:dyDescent="0.3">
      <c r="A147" t="s">
        <v>2277</v>
      </c>
      <c r="B147" t="s">
        <v>1820</v>
      </c>
      <c r="C147" t="s">
        <v>1821</v>
      </c>
      <c r="D147">
        <v>1</v>
      </c>
      <c r="E147" t="s">
        <v>1447</v>
      </c>
      <c r="F147" t="s">
        <v>1822</v>
      </c>
      <c r="G147" t="s">
        <v>1741</v>
      </c>
      <c r="H147" t="s">
        <v>2329</v>
      </c>
      <c r="I147" t="s">
        <v>2279</v>
      </c>
      <c r="J147" t="s">
        <v>2279</v>
      </c>
      <c r="K147" t="s">
        <v>2279</v>
      </c>
      <c r="L147" t="s">
        <v>2279</v>
      </c>
      <c r="M147" t="s">
        <v>2279</v>
      </c>
      <c r="N147" t="s">
        <v>2279</v>
      </c>
      <c r="O147" s="190" t="str">
        <f>"["&amp;$C147&amp;"]["&amp;$D147&amp;"]["&amp;$F147&amp;"]"</f>
        <v>[S04_NationalLawPermitUpdate][1][PermitUpdateNationalLawDetail]</v>
      </c>
    </row>
    <row r="148" spans="1:15" x14ac:dyDescent="0.3">
      <c r="A148" t="s">
        <v>2277</v>
      </c>
      <c r="B148" t="s">
        <v>1820</v>
      </c>
      <c r="C148" t="s">
        <v>1821</v>
      </c>
      <c r="D148">
        <v>2</v>
      </c>
      <c r="E148" t="s">
        <v>1447</v>
      </c>
      <c r="F148" t="s">
        <v>1822</v>
      </c>
      <c r="G148" t="s">
        <v>1741</v>
      </c>
      <c r="H148" t="s">
        <v>1447</v>
      </c>
      <c r="I148" t="s">
        <v>2279</v>
      </c>
      <c r="J148" t="s">
        <v>2279</v>
      </c>
      <c r="K148" t="s">
        <v>2279</v>
      </c>
      <c r="L148" t="s">
        <v>2279</v>
      </c>
      <c r="M148" t="s">
        <v>2279</v>
      </c>
      <c r="N148" t="s">
        <v>2279</v>
      </c>
      <c r="O148" s="190" t="str">
        <f>"["&amp;$C148&amp;"]["&amp;$D148&amp;"]["&amp;$F148&amp;"]"</f>
        <v>[S04_NationalLawPermitUpdate][2][PermitUpdateNationalLawDetail]</v>
      </c>
    </row>
    <row r="149" spans="1:15" x14ac:dyDescent="0.3">
      <c r="A149" t="s">
        <v>2277</v>
      </c>
      <c r="B149" t="s">
        <v>1820</v>
      </c>
      <c r="C149" t="s">
        <v>1821</v>
      </c>
      <c r="D149">
        <v>3</v>
      </c>
      <c r="E149" t="s">
        <v>1447</v>
      </c>
      <c r="F149" t="s">
        <v>1822</v>
      </c>
      <c r="G149" t="s">
        <v>1741</v>
      </c>
      <c r="H149" t="s">
        <v>2330</v>
      </c>
      <c r="I149" t="s">
        <v>2279</v>
      </c>
      <c r="J149" t="s">
        <v>2279</v>
      </c>
      <c r="K149" t="s">
        <v>2279</v>
      </c>
      <c r="L149" t="s">
        <v>2279</v>
      </c>
      <c r="M149" t="s">
        <v>2279</v>
      </c>
      <c r="N149" t="s">
        <v>2279</v>
      </c>
      <c r="O149" s="190" t="str">
        <f>"["&amp;$C149&amp;"]["&amp;$D149&amp;"]["&amp;$F149&amp;"]"</f>
        <v>[S04_NationalLawPermitUpdate][3][PermitUpdateNationalLawDetail]</v>
      </c>
    </row>
    <row r="150" spans="1:15" x14ac:dyDescent="0.3">
      <c r="A150" t="s">
        <v>2277</v>
      </c>
      <c r="B150" t="s">
        <v>1820</v>
      </c>
      <c r="C150" t="s">
        <v>1821</v>
      </c>
      <c r="D150">
        <v>4</v>
      </c>
      <c r="E150" t="s">
        <v>1447</v>
      </c>
      <c r="F150" t="s">
        <v>1822</v>
      </c>
      <c r="G150" t="s">
        <v>1741</v>
      </c>
      <c r="H150" t="s">
        <v>2331</v>
      </c>
      <c r="I150" t="s">
        <v>2279</v>
      </c>
      <c r="J150" t="s">
        <v>2279</v>
      </c>
      <c r="K150" t="s">
        <v>2279</v>
      </c>
      <c r="L150" t="s">
        <v>2279</v>
      </c>
      <c r="M150" t="s">
        <v>2279</v>
      </c>
      <c r="N150" t="s">
        <v>2279</v>
      </c>
      <c r="O150" s="190" t="str">
        <f>"["&amp;$C150&amp;"]["&amp;$D150&amp;"]["&amp;$F150&amp;"]"</f>
        <v>[S04_NationalLawPermitUpdate][4][PermitUpdateNationalLawDetail]</v>
      </c>
    </row>
    <row r="151" spans="1:15" x14ac:dyDescent="0.3">
      <c r="A151" t="s">
        <v>2277</v>
      </c>
      <c r="B151" t="s">
        <v>1820</v>
      </c>
      <c r="C151" t="s">
        <v>1821</v>
      </c>
      <c r="D151">
        <v>5</v>
      </c>
      <c r="E151" t="s">
        <v>1447</v>
      </c>
      <c r="F151" t="s">
        <v>1822</v>
      </c>
      <c r="G151" t="s">
        <v>1741</v>
      </c>
      <c r="H151" t="s">
        <v>2332</v>
      </c>
      <c r="I151" t="s">
        <v>2279</v>
      </c>
      <c r="J151" t="s">
        <v>2279</v>
      </c>
      <c r="K151" t="s">
        <v>2279</v>
      </c>
      <c r="L151" t="s">
        <v>2279</v>
      </c>
      <c r="M151" t="s">
        <v>2279</v>
      </c>
      <c r="N151" t="s">
        <v>2279</v>
      </c>
      <c r="O151" s="190" t="str">
        <f>"["&amp;$C151&amp;"]["&amp;$D151&amp;"]["&amp;$F151&amp;"]"</f>
        <v>[S04_NationalLawPermitUpdate][5][PermitUpdateNationalLawDetail]</v>
      </c>
    </row>
    <row r="152" spans="1:15" x14ac:dyDescent="0.3">
      <c r="A152" t="s">
        <v>2277</v>
      </c>
      <c r="B152" t="s">
        <v>1820</v>
      </c>
      <c r="C152" t="s">
        <v>1821</v>
      </c>
      <c r="D152">
        <v>6</v>
      </c>
      <c r="E152" t="s">
        <v>1447</v>
      </c>
      <c r="F152" t="s">
        <v>1822</v>
      </c>
      <c r="G152" t="s">
        <v>1741</v>
      </c>
      <c r="H152" t="s">
        <v>2333</v>
      </c>
      <c r="I152" t="s">
        <v>2279</v>
      </c>
      <c r="J152" t="s">
        <v>2279</v>
      </c>
      <c r="K152" t="s">
        <v>2279</v>
      </c>
      <c r="L152" t="s">
        <v>2279</v>
      </c>
      <c r="M152" t="s">
        <v>2279</v>
      </c>
      <c r="N152" t="s">
        <v>2279</v>
      </c>
      <c r="O152" s="190" t="str">
        <f>"["&amp;$C152&amp;"]["&amp;$D152&amp;"]["&amp;$F152&amp;"]"</f>
        <v>[S04_NationalLawPermitUpdate][6][PermitUpdateNationalLawDetail]</v>
      </c>
    </row>
    <row r="153" spans="1:15" x14ac:dyDescent="0.3">
      <c r="A153" t="s">
        <v>2277</v>
      </c>
      <c r="B153" t="s">
        <v>1820</v>
      </c>
      <c r="C153" t="s">
        <v>1823</v>
      </c>
      <c r="D153">
        <v>0</v>
      </c>
      <c r="E153" t="s">
        <v>1447</v>
      </c>
      <c r="F153" t="s">
        <v>1823</v>
      </c>
      <c r="G153" t="s">
        <v>1748</v>
      </c>
      <c r="H153" t="s">
        <v>2279</v>
      </c>
      <c r="I153">
        <v>18</v>
      </c>
      <c r="J153" t="s">
        <v>2279</v>
      </c>
      <c r="K153" t="s">
        <v>2279</v>
      </c>
      <c r="L153" t="s">
        <v>2279</v>
      </c>
      <c r="M153" t="s">
        <v>2279</v>
      </c>
      <c r="N153" t="s">
        <v>2279</v>
      </c>
      <c r="O153" s="190" t="str">
        <f>"["&amp;$C153&amp;"]["&amp;$D153&amp;"]["&amp;$F153&amp;"]"</f>
        <v>[PermitUpdateTotalNumber][0][PermitUpdateTotalNumber]</v>
      </c>
    </row>
    <row r="154" spans="1:15" x14ac:dyDescent="0.3">
      <c r="A154" t="s">
        <v>2277</v>
      </c>
      <c r="B154" t="s">
        <v>1824</v>
      </c>
      <c r="C154" t="s">
        <v>1825</v>
      </c>
      <c r="D154">
        <v>0</v>
      </c>
      <c r="E154" t="s">
        <v>1447</v>
      </c>
      <c r="F154" t="s">
        <v>1825</v>
      </c>
      <c r="G154" t="s">
        <v>1759</v>
      </c>
      <c r="H154" t="s">
        <v>2279</v>
      </c>
      <c r="I154" t="s">
        <v>2279</v>
      </c>
      <c r="J154" t="s">
        <v>2279</v>
      </c>
      <c r="K154" t="s">
        <v>2279</v>
      </c>
      <c r="L154" t="s">
        <v>1447</v>
      </c>
      <c r="M154" t="s">
        <v>2279</v>
      </c>
      <c r="N154" t="s">
        <v>2279</v>
      </c>
      <c r="O154" s="190" t="str">
        <f>"["&amp;$C154&amp;"]["&amp;$D154&amp;"]["&amp;$F154&amp;"]"</f>
        <v>[AdditionalNationalLegislation][0][AdditionalNationalLegislation]</v>
      </c>
    </row>
    <row r="155" spans="1:15" x14ac:dyDescent="0.3">
      <c r="A155" t="s">
        <v>2277</v>
      </c>
      <c r="B155" t="s">
        <v>1824</v>
      </c>
      <c r="C155" t="s">
        <v>1827</v>
      </c>
      <c r="D155">
        <v>0</v>
      </c>
      <c r="E155" t="s">
        <v>1447</v>
      </c>
      <c r="F155" t="s">
        <v>1827</v>
      </c>
      <c r="G155" t="s">
        <v>1759</v>
      </c>
      <c r="H155" t="s">
        <v>2279</v>
      </c>
      <c r="I155" t="s">
        <v>2279</v>
      </c>
      <c r="J155" t="s">
        <v>2279</v>
      </c>
      <c r="K155" t="s">
        <v>2279</v>
      </c>
      <c r="L155" t="s">
        <v>1447</v>
      </c>
      <c r="M155" t="s">
        <v>2279</v>
      </c>
      <c r="N155" t="s">
        <v>2279</v>
      </c>
      <c r="O155" s="190" t="str">
        <f>"["&amp;$C155&amp;"]["&amp;$D155&amp;"]["&amp;$F155&amp;"]"</f>
        <v>[AdditionalNationalGuidance][0][AdditionalNationalGuidance]</v>
      </c>
    </row>
    <row r="156" spans="1:15" x14ac:dyDescent="0.3">
      <c r="A156" t="s">
        <v>2277</v>
      </c>
      <c r="B156" t="s">
        <v>1829</v>
      </c>
      <c r="C156" t="s">
        <v>1830</v>
      </c>
      <c r="D156">
        <v>1</v>
      </c>
      <c r="E156" t="s">
        <v>1447</v>
      </c>
      <c r="F156" t="s">
        <v>1831</v>
      </c>
      <c r="G156" t="s">
        <v>1759</v>
      </c>
      <c r="H156" t="s">
        <v>2279</v>
      </c>
      <c r="I156" t="s">
        <v>2279</v>
      </c>
      <c r="J156" t="s">
        <v>2279</v>
      </c>
      <c r="K156" t="s">
        <v>2279</v>
      </c>
      <c r="L156" t="s">
        <v>1419</v>
      </c>
      <c r="M156" t="s">
        <v>2279</v>
      </c>
      <c r="N156" t="s">
        <v>2279</v>
      </c>
      <c r="O156" s="190" t="str">
        <f>"["&amp;$C156&amp;"]["&amp;$D156&amp;"]["&amp;$F156&amp;"]"</f>
        <v>[MeasuresStreamline][1][MeasuresStreamlineYesNo]</v>
      </c>
    </row>
    <row r="157" spans="1:15" x14ac:dyDescent="0.3">
      <c r="A157" t="s">
        <v>2277</v>
      </c>
      <c r="B157" t="s">
        <v>1829</v>
      </c>
      <c r="C157" t="s">
        <v>1830</v>
      </c>
      <c r="D157">
        <v>2</v>
      </c>
      <c r="E157" t="s">
        <v>1447</v>
      </c>
      <c r="F157" t="s">
        <v>1831</v>
      </c>
      <c r="G157" t="s">
        <v>1759</v>
      </c>
      <c r="H157" t="s">
        <v>2279</v>
      </c>
      <c r="I157" t="s">
        <v>2279</v>
      </c>
      <c r="J157" t="s">
        <v>2279</v>
      </c>
      <c r="K157" t="s">
        <v>2279</v>
      </c>
      <c r="L157" t="s">
        <v>1419</v>
      </c>
      <c r="M157" t="s">
        <v>2279</v>
      </c>
      <c r="N157" t="s">
        <v>2279</v>
      </c>
      <c r="O157" s="190" t="str">
        <f>"["&amp;$C157&amp;"]["&amp;$D157&amp;"]["&amp;$F157&amp;"]"</f>
        <v>[MeasuresStreamline][2][MeasuresStreamlineYesNo]</v>
      </c>
    </row>
    <row r="158" spans="1:15" x14ac:dyDescent="0.3">
      <c r="A158" t="s">
        <v>2277</v>
      </c>
      <c r="B158" t="s">
        <v>1829</v>
      </c>
      <c r="C158" t="s">
        <v>1830</v>
      </c>
      <c r="D158">
        <v>3</v>
      </c>
      <c r="E158" t="s">
        <v>1447</v>
      </c>
      <c r="F158" t="s">
        <v>1831</v>
      </c>
      <c r="G158" t="s">
        <v>1759</v>
      </c>
      <c r="H158" t="s">
        <v>2279</v>
      </c>
      <c r="I158" t="s">
        <v>2279</v>
      </c>
      <c r="J158" t="s">
        <v>2279</v>
      </c>
      <c r="K158" t="s">
        <v>2279</v>
      </c>
      <c r="L158" t="s">
        <v>1419</v>
      </c>
      <c r="M158" t="s">
        <v>2279</v>
      </c>
      <c r="N158" t="s">
        <v>2279</v>
      </c>
      <c r="O158" s="190" t="str">
        <f>"["&amp;$C158&amp;"]["&amp;$D158&amp;"]["&amp;$F158&amp;"]"</f>
        <v>[MeasuresStreamline][3][MeasuresStreamlineYesNo]</v>
      </c>
    </row>
    <row r="159" spans="1:15" x14ac:dyDescent="0.3">
      <c r="A159" t="s">
        <v>2277</v>
      </c>
      <c r="B159" t="s">
        <v>1829</v>
      </c>
      <c r="C159" t="s">
        <v>1830</v>
      </c>
      <c r="D159">
        <v>4</v>
      </c>
      <c r="E159" t="s">
        <v>1447</v>
      </c>
      <c r="F159" t="s">
        <v>1831</v>
      </c>
      <c r="G159" t="s">
        <v>1759</v>
      </c>
      <c r="H159" t="s">
        <v>2279</v>
      </c>
      <c r="I159" t="s">
        <v>2279</v>
      </c>
      <c r="J159" t="s">
        <v>2279</v>
      </c>
      <c r="K159" t="s">
        <v>2279</v>
      </c>
      <c r="L159" t="s">
        <v>1419</v>
      </c>
      <c r="M159" t="s">
        <v>2279</v>
      </c>
      <c r="N159" t="s">
        <v>2279</v>
      </c>
      <c r="O159" s="190" t="str">
        <f>"["&amp;$C159&amp;"]["&amp;$D159&amp;"]["&amp;$F159&amp;"]"</f>
        <v>[MeasuresStreamline][4][MeasuresStreamlineYesNo]</v>
      </c>
    </row>
    <row r="160" spans="1:15" x14ac:dyDescent="0.3">
      <c r="A160" t="s">
        <v>2277</v>
      </c>
      <c r="B160" t="s">
        <v>1829</v>
      </c>
      <c r="C160" t="s">
        <v>1830</v>
      </c>
      <c r="D160">
        <v>5</v>
      </c>
      <c r="E160" t="s">
        <v>1447</v>
      </c>
      <c r="F160" t="s">
        <v>1831</v>
      </c>
      <c r="G160" t="s">
        <v>1759</v>
      </c>
      <c r="H160" t="s">
        <v>2279</v>
      </c>
      <c r="I160" t="s">
        <v>2279</v>
      </c>
      <c r="J160" t="s">
        <v>2279</v>
      </c>
      <c r="K160" t="s">
        <v>2279</v>
      </c>
      <c r="L160" t="s">
        <v>1419</v>
      </c>
      <c r="M160" t="s">
        <v>2279</v>
      </c>
      <c r="N160" t="s">
        <v>2279</v>
      </c>
      <c r="O160" s="190" t="str">
        <f>"["&amp;$C160&amp;"]["&amp;$D160&amp;"]["&amp;$F160&amp;"]"</f>
        <v>[MeasuresStreamline][5][MeasuresStreamlineYesNo]</v>
      </c>
    </row>
    <row r="161" spans="1:15" x14ac:dyDescent="0.3">
      <c r="A161" t="s">
        <v>2277</v>
      </c>
      <c r="B161" t="s">
        <v>1829</v>
      </c>
      <c r="C161" t="s">
        <v>1830</v>
      </c>
      <c r="D161">
        <v>6</v>
      </c>
      <c r="E161" t="s">
        <v>1447</v>
      </c>
      <c r="F161" t="s">
        <v>1831</v>
      </c>
      <c r="G161" t="s">
        <v>1759</v>
      </c>
      <c r="H161" t="s">
        <v>2279</v>
      </c>
      <c r="I161" t="s">
        <v>2279</v>
      </c>
      <c r="J161" t="s">
        <v>2279</v>
      </c>
      <c r="K161" t="s">
        <v>2279</v>
      </c>
      <c r="L161" t="s">
        <v>1419</v>
      </c>
      <c r="M161" t="s">
        <v>2279</v>
      </c>
      <c r="N161" t="s">
        <v>2279</v>
      </c>
      <c r="O161" s="190" t="str">
        <f>"["&amp;$C161&amp;"]["&amp;$D161&amp;"]["&amp;$F161&amp;"]"</f>
        <v>[MeasuresStreamline][6][MeasuresStreamlineYesNo]</v>
      </c>
    </row>
    <row r="162" spans="1:15" x14ac:dyDescent="0.3">
      <c r="A162" t="s">
        <v>2277</v>
      </c>
      <c r="B162" t="s">
        <v>1829</v>
      </c>
      <c r="C162" t="s">
        <v>1830</v>
      </c>
      <c r="D162">
        <v>7</v>
      </c>
      <c r="E162" t="s">
        <v>1447</v>
      </c>
      <c r="F162" t="s">
        <v>1831</v>
      </c>
      <c r="G162" t="s">
        <v>1759</v>
      </c>
      <c r="H162" t="s">
        <v>2279</v>
      </c>
      <c r="I162" t="s">
        <v>2279</v>
      </c>
      <c r="J162" t="s">
        <v>2279</v>
      </c>
      <c r="K162" t="s">
        <v>2279</v>
      </c>
      <c r="L162" t="s">
        <v>1447</v>
      </c>
      <c r="M162" t="s">
        <v>2279</v>
      </c>
      <c r="N162" t="s">
        <v>2279</v>
      </c>
      <c r="O162" s="190" t="str">
        <f>"["&amp;$C162&amp;"]["&amp;$D162&amp;"]["&amp;$F162&amp;"]"</f>
        <v>[MeasuresStreamline][7][MeasuresStreamlineYesNo]</v>
      </c>
    </row>
    <row r="163" spans="1:15" x14ac:dyDescent="0.3">
      <c r="A163" t="s">
        <v>2277</v>
      </c>
      <c r="B163" t="s">
        <v>1829</v>
      </c>
      <c r="C163" t="s">
        <v>1830</v>
      </c>
      <c r="D163">
        <v>6</v>
      </c>
      <c r="E163" t="s">
        <v>1447</v>
      </c>
      <c r="F163" t="s">
        <v>1832</v>
      </c>
      <c r="G163" t="s">
        <v>1791</v>
      </c>
      <c r="H163" t="s">
        <v>2279</v>
      </c>
      <c r="I163" t="s">
        <v>2279</v>
      </c>
      <c r="J163" t="s">
        <v>2279</v>
      </c>
      <c r="K163" t="s">
        <v>2334</v>
      </c>
      <c r="L163" t="s">
        <v>2279</v>
      </c>
      <c r="M163" t="s">
        <v>2279</v>
      </c>
      <c r="N163" t="s">
        <v>2279</v>
      </c>
      <c r="O163" s="190" t="str">
        <f>"["&amp;$C163&amp;"]["&amp;$D163&amp;"]["&amp;$F163&amp;"]"</f>
        <v>[MeasuresStreamline][6][MeasuresStreamlineComments]</v>
      </c>
    </row>
    <row r="164" spans="1:15" x14ac:dyDescent="0.3">
      <c r="A164" t="s">
        <v>2277</v>
      </c>
      <c r="B164" t="s">
        <v>1833</v>
      </c>
      <c r="C164" t="s">
        <v>1834</v>
      </c>
      <c r="D164">
        <v>0</v>
      </c>
      <c r="E164" t="s">
        <v>1447</v>
      </c>
      <c r="F164" t="s">
        <v>1834</v>
      </c>
      <c r="G164" t="s">
        <v>1759</v>
      </c>
      <c r="H164" t="s">
        <v>2279</v>
      </c>
      <c r="I164" t="s">
        <v>2279</v>
      </c>
      <c r="J164" t="s">
        <v>2279</v>
      </c>
      <c r="K164" t="s">
        <v>2279</v>
      </c>
      <c r="L164" t="s">
        <v>1419</v>
      </c>
      <c r="M164" t="s">
        <v>2279</v>
      </c>
      <c r="N164" t="s">
        <v>2279</v>
      </c>
      <c r="O164" s="190" t="str">
        <f>"["&amp;$C164&amp;"]["&amp;$D164&amp;"]["&amp;$F164&amp;"]"</f>
        <v>[CommissionTemplatesMRR][0][CommissionTemplatesMRR]</v>
      </c>
    </row>
    <row r="165" spans="1:15" x14ac:dyDescent="0.3">
      <c r="A165" t="s">
        <v>2277</v>
      </c>
      <c r="B165" t="s">
        <v>1840</v>
      </c>
      <c r="C165" t="s">
        <v>1841</v>
      </c>
      <c r="D165">
        <v>0</v>
      </c>
      <c r="E165" t="s">
        <v>1447</v>
      </c>
      <c r="F165" t="s">
        <v>1841</v>
      </c>
      <c r="G165" t="s">
        <v>1759</v>
      </c>
      <c r="H165" t="s">
        <v>2279</v>
      </c>
      <c r="I165" t="s">
        <v>2279</v>
      </c>
      <c r="J165" t="s">
        <v>2279</v>
      </c>
      <c r="K165" t="s">
        <v>2279</v>
      </c>
      <c r="L165" t="s">
        <v>1419</v>
      </c>
      <c r="M165" t="s">
        <v>2279</v>
      </c>
      <c r="N165" t="s">
        <v>2279</v>
      </c>
      <c r="O165" s="190" t="str">
        <f>"["&amp;$C165&amp;"]["&amp;$D165&amp;"]["&amp;$F165&amp;"]"</f>
        <v>[AutomatedSystemInformationExchange][0][AutomatedSystemInformationExchange]</v>
      </c>
    </row>
    <row r="166" spans="1:15" x14ac:dyDescent="0.3">
      <c r="A166" t="s">
        <v>2277</v>
      </c>
      <c r="B166" t="s">
        <v>1840</v>
      </c>
      <c r="C166" t="s">
        <v>1842</v>
      </c>
      <c r="D166">
        <v>0</v>
      </c>
      <c r="E166" t="s">
        <v>1447</v>
      </c>
      <c r="F166" t="s">
        <v>1842</v>
      </c>
      <c r="G166" t="s">
        <v>1741</v>
      </c>
      <c r="H166" t="s">
        <v>2335</v>
      </c>
      <c r="I166" t="s">
        <v>2279</v>
      </c>
      <c r="J166" t="s">
        <v>2279</v>
      </c>
      <c r="K166" t="s">
        <v>2279</v>
      </c>
      <c r="L166" t="s">
        <v>2279</v>
      </c>
      <c r="M166" t="s">
        <v>2279</v>
      </c>
      <c r="N166" t="s">
        <v>2279</v>
      </c>
      <c r="O166" s="190" t="str">
        <f>"["&amp;$C166&amp;"]["&amp;$D166&amp;"]["&amp;$F166&amp;"]"</f>
        <v>[ComplyRequirementsArt75][0][ComplyRequirementsArt75]</v>
      </c>
    </row>
    <row r="167" spans="1:15" x14ac:dyDescent="0.3">
      <c r="A167" t="s">
        <v>2277</v>
      </c>
      <c r="B167" t="s">
        <v>1843</v>
      </c>
      <c r="C167" t="s">
        <v>1844</v>
      </c>
      <c r="D167">
        <v>1</v>
      </c>
      <c r="E167" t="s">
        <v>1447</v>
      </c>
      <c r="F167" t="s">
        <v>1845</v>
      </c>
      <c r="G167" t="s">
        <v>1806</v>
      </c>
      <c r="H167" t="s">
        <v>2279</v>
      </c>
      <c r="I167" t="s">
        <v>2279</v>
      </c>
      <c r="J167">
        <v>8014.89</v>
      </c>
      <c r="K167" t="s">
        <v>2279</v>
      </c>
      <c r="L167" t="s">
        <v>2279</v>
      </c>
      <c r="M167" t="s">
        <v>2279</v>
      </c>
      <c r="N167" t="s">
        <v>2279</v>
      </c>
      <c r="O167" s="190" t="str">
        <f>"["&amp;$C167&amp;"]["&amp;$D167&amp;"]["&amp;$F167&amp;"]"</f>
        <v>[S05_InstallationFuelConsEmissions][1][FuelConsumption]</v>
      </c>
    </row>
    <row r="168" spans="1:15" x14ac:dyDescent="0.3">
      <c r="A168" t="s">
        <v>2277</v>
      </c>
      <c r="B168" t="s">
        <v>1843</v>
      </c>
      <c r="C168" t="s">
        <v>1844</v>
      </c>
      <c r="D168">
        <v>2</v>
      </c>
      <c r="E168" t="s">
        <v>1447</v>
      </c>
      <c r="F168" t="s">
        <v>1845</v>
      </c>
      <c r="G168" t="s">
        <v>1806</v>
      </c>
      <c r="H168" t="s">
        <v>2279</v>
      </c>
      <c r="I168" t="s">
        <v>2279</v>
      </c>
      <c r="J168">
        <v>0</v>
      </c>
      <c r="K168" t="s">
        <v>2279</v>
      </c>
      <c r="L168" t="s">
        <v>2279</v>
      </c>
      <c r="M168" t="s">
        <v>2279</v>
      </c>
      <c r="N168" t="s">
        <v>2279</v>
      </c>
      <c r="O168" s="190" t="str">
        <f>"["&amp;$C168&amp;"]["&amp;$D168&amp;"]["&amp;$F168&amp;"]"</f>
        <v>[S05_InstallationFuelConsEmissions][2][FuelConsumption]</v>
      </c>
    </row>
    <row r="169" spans="1:15" x14ac:dyDescent="0.3">
      <c r="A169" t="s">
        <v>2277</v>
      </c>
      <c r="B169" t="s">
        <v>1843</v>
      </c>
      <c r="C169" t="s">
        <v>1844</v>
      </c>
      <c r="D169">
        <v>3</v>
      </c>
      <c r="E169" t="s">
        <v>1447</v>
      </c>
      <c r="F169" t="s">
        <v>1845</v>
      </c>
      <c r="G169" t="s">
        <v>1806</v>
      </c>
      <c r="H169" t="s">
        <v>2279</v>
      </c>
      <c r="I169" t="s">
        <v>2279</v>
      </c>
      <c r="J169">
        <v>0</v>
      </c>
      <c r="K169" t="s">
        <v>2279</v>
      </c>
      <c r="L169" t="s">
        <v>2279</v>
      </c>
      <c r="M169" t="s">
        <v>2279</v>
      </c>
      <c r="N169" t="s">
        <v>2279</v>
      </c>
      <c r="O169" s="190" t="str">
        <f>"["&amp;$C169&amp;"]["&amp;$D169&amp;"]["&amp;$F169&amp;"]"</f>
        <v>[S05_InstallationFuelConsEmissions][3][FuelConsumption]</v>
      </c>
    </row>
    <row r="170" spans="1:15" x14ac:dyDescent="0.3">
      <c r="A170" t="s">
        <v>2277</v>
      </c>
      <c r="B170" t="s">
        <v>1843</v>
      </c>
      <c r="C170" t="s">
        <v>1844</v>
      </c>
      <c r="D170">
        <v>4</v>
      </c>
      <c r="E170" t="s">
        <v>1447</v>
      </c>
      <c r="F170" t="s">
        <v>1845</v>
      </c>
      <c r="G170" t="s">
        <v>1806</v>
      </c>
      <c r="H170" t="s">
        <v>2279</v>
      </c>
      <c r="I170" t="s">
        <v>2279</v>
      </c>
      <c r="J170">
        <v>0</v>
      </c>
      <c r="K170" t="s">
        <v>2279</v>
      </c>
      <c r="L170" t="s">
        <v>2279</v>
      </c>
      <c r="M170" t="s">
        <v>2279</v>
      </c>
      <c r="N170" t="s">
        <v>2279</v>
      </c>
      <c r="O170" s="190" t="str">
        <f>"["&amp;$C170&amp;"]["&amp;$D170&amp;"]["&amp;$F170&amp;"]"</f>
        <v>[S05_InstallationFuelConsEmissions][4][FuelConsumption]</v>
      </c>
    </row>
    <row r="171" spans="1:15" x14ac:dyDescent="0.3">
      <c r="A171" t="s">
        <v>2277</v>
      </c>
      <c r="B171" t="s">
        <v>1843</v>
      </c>
      <c r="C171" t="s">
        <v>1844</v>
      </c>
      <c r="D171">
        <v>5</v>
      </c>
      <c r="E171" t="s">
        <v>1447</v>
      </c>
      <c r="F171" t="s">
        <v>1845</v>
      </c>
      <c r="G171" t="s">
        <v>1806</v>
      </c>
      <c r="H171" t="s">
        <v>2279</v>
      </c>
      <c r="I171" t="s">
        <v>2279</v>
      </c>
      <c r="J171">
        <v>138850.94</v>
      </c>
      <c r="K171" t="s">
        <v>2279</v>
      </c>
      <c r="L171" t="s">
        <v>2279</v>
      </c>
      <c r="M171" t="s">
        <v>2279</v>
      </c>
      <c r="N171" t="s">
        <v>2279</v>
      </c>
      <c r="O171" s="190" t="str">
        <f>"["&amp;$C171&amp;"]["&amp;$D171&amp;"]["&amp;$F171&amp;"]"</f>
        <v>[S05_InstallationFuelConsEmissions][5][FuelConsumption]</v>
      </c>
    </row>
    <row r="172" spans="1:15" x14ac:dyDescent="0.3">
      <c r="A172" t="s">
        <v>2277</v>
      </c>
      <c r="B172" t="s">
        <v>1843</v>
      </c>
      <c r="C172" t="s">
        <v>1844</v>
      </c>
      <c r="D172">
        <v>6</v>
      </c>
      <c r="E172" t="s">
        <v>1447</v>
      </c>
      <c r="F172" t="s">
        <v>1845</v>
      </c>
      <c r="G172" t="s">
        <v>1806</v>
      </c>
      <c r="H172" t="s">
        <v>2279</v>
      </c>
      <c r="I172" t="s">
        <v>2279</v>
      </c>
      <c r="J172">
        <v>0</v>
      </c>
      <c r="K172" t="s">
        <v>2279</v>
      </c>
      <c r="L172" t="s">
        <v>2279</v>
      </c>
      <c r="M172" t="s">
        <v>2279</v>
      </c>
      <c r="N172" t="s">
        <v>2279</v>
      </c>
      <c r="O172" s="190" t="str">
        <f>"["&amp;$C172&amp;"]["&amp;$D172&amp;"]["&amp;$F172&amp;"]"</f>
        <v>[S05_InstallationFuelConsEmissions][6][FuelConsumption]</v>
      </c>
    </row>
    <row r="173" spans="1:15" x14ac:dyDescent="0.3">
      <c r="A173" t="s">
        <v>2277</v>
      </c>
      <c r="B173" t="s">
        <v>1843</v>
      </c>
      <c r="C173" t="s">
        <v>1844</v>
      </c>
      <c r="D173">
        <v>7</v>
      </c>
      <c r="E173" t="s">
        <v>1447</v>
      </c>
      <c r="F173" t="s">
        <v>1845</v>
      </c>
      <c r="G173" t="s">
        <v>1806</v>
      </c>
      <c r="H173" t="s">
        <v>2279</v>
      </c>
      <c r="I173" t="s">
        <v>2279</v>
      </c>
      <c r="J173">
        <v>0</v>
      </c>
      <c r="K173" t="s">
        <v>2279</v>
      </c>
      <c r="L173" t="s">
        <v>2279</v>
      </c>
      <c r="M173" t="s">
        <v>2279</v>
      </c>
      <c r="N173" t="s">
        <v>2279</v>
      </c>
      <c r="O173" s="190" t="str">
        <f>"["&amp;$C173&amp;"]["&amp;$D173&amp;"]["&amp;$F173&amp;"]"</f>
        <v>[S05_InstallationFuelConsEmissions][7][FuelConsumption]</v>
      </c>
    </row>
    <row r="174" spans="1:15" x14ac:dyDescent="0.3">
      <c r="A174" t="s">
        <v>2277</v>
      </c>
      <c r="B174" t="s">
        <v>1843</v>
      </c>
      <c r="C174" t="s">
        <v>1844</v>
      </c>
      <c r="D174">
        <v>8</v>
      </c>
      <c r="E174" t="s">
        <v>1447</v>
      </c>
      <c r="F174" t="s">
        <v>1845</v>
      </c>
      <c r="G174" t="s">
        <v>1806</v>
      </c>
      <c r="H174" t="s">
        <v>2279</v>
      </c>
      <c r="I174" t="s">
        <v>2279</v>
      </c>
      <c r="J174">
        <v>29071.279999999999</v>
      </c>
      <c r="K174" t="s">
        <v>2279</v>
      </c>
      <c r="L174" t="s">
        <v>2279</v>
      </c>
      <c r="M174" t="s">
        <v>2279</v>
      </c>
      <c r="N174" t="s">
        <v>2279</v>
      </c>
      <c r="O174" s="190" t="str">
        <f>"["&amp;$C174&amp;"]["&amp;$D174&amp;"]["&amp;$F174&amp;"]"</f>
        <v>[S05_InstallationFuelConsEmissions][8][FuelConsumption]</v>
      </c>
    </row>
    <row r="175" spans="1:15" x14ac:dyDescent="0.3">
      <c r="A175" t="s">
        <v>2277</v>
      </c>
      <c r="B175" t="s">
        <v>1843</v>
      </c>
      <c r="C175" t="s">
        <v>1844</v>
      </c>
      <c r="D175">
        <v>9</v>
      </c>
      <c r="E175" t="s">
        <v>1447</v>
      </c>
      <c r="F175" t="s">
        <v>1845</v>
      </c>
      <c r="G175" t="s">
        <v>1806</v>
      </c>
      <c r="H175" t="s">
        <v>2279</v>
      </c>
      <c r="I175" t="s">
        <v>2279</v>
      </c>
      <c r="J175">
        <v>10880.57</v>
      </c>
      <c r="K175" t="s">
        <v>2279</v>
      </c>
      <c r="L175" t="s">
        <v>2279</v>
      </c>
      <c r="M175" t="s">
        <v>2279</v>
      </c>
      <c r="N175" t="s">
        <v>2279</v>
      </c>
      <c r="O175" s="190" t="str">
        <f>"["&amp;$C175&amp;"]["&amp;$D175&amp;"]["&amp;$F175&amp;"]"</f>
        <v>[S05_InstallationFuelConsEmissions][9][FuelConsumption]</v>
      </c>
    </row>
    <row r="176" spans="1:15" x14ac:dyDescent="0.3">
      <c r="A176" t="s">
        <v>2277</v>
      </c>
      <c r="B176" t="s">
        <v>1843</v>
      </c>
      <c r="C176" t="s">
        <v>1844</v>
      </c>
      <c r="D176">
        <v>10</v>
      </c>
      <c r="E176" t="s">
        <v>1447</v>
      </c>
      <c r="F176" t="s">
        <v>1845</v>
      </c>
      <c r="G176" t="s">
        <v>1806</v>
      </c>
      <c r="H176" t="s">
        <v>2279</v>
      </c>
      <c r="I176" t="s">
        <v>2279</v>
      </c>
      <c r="J176">
        <v>268.08</v>
      </c>
      <c r="K176" t="s">
        <v>2279</v>
      </c>
      <c r="L176" t="s">
        <v>2279</v>
      </c>
      <c r="M176" t="s">
        <v>2279</v>
      </c>
      <c r="N176" t="s">
        <v>2279</v>
      </c>
      <c r="O176" s="190" t="str">
        <f>"["&amp;$C176&amp;"]["&amp;$D176&amp;"]["&amp;$F176&amp;"]"</f>
        <v>[S05_InstallationFuelConsEmissions][10][FuelConsumption]</v>
      </c>
    </row>
    <row r="177" spans="1:15" x14ac:dyDescent="0.3">
      <c r="A177" t="s">
        <v>2277</v>
      </c>
      <c r="B177" t="s">
        <v>1846</v>
      </c>
      <c r="C177" t="s">
        <v>1844</v>
      </c>
      <c r="D177">
        <v>11</v>
      </c>
      <c r="E177" t="s">
        <v>1447</v>
      </c>
      <c r="F177" t="s">
        <v>1845</v>
      </c>
      <c r="G177" t="s">
        <v>1806</v>
      </c>
      <c r="H177" t="s">
        <v>2279</v>
      </c>
      <c r="I177" t="s">
        <v>2279</v>
      </c>
      <c r="J177">
        <v>10238.02</v>
      </c>
      <c r="K177" t="s">
        <v>2279</v>
      </c>
      <c r="L177" t="s">
        <v>2279</v>
      </c>
      <c r="M177" t="s">
        <v>2279</v>
      </c>
      <c r="N177" t="s">
        <v>2279</v>
      </c>
      <c r="O177" s="190" t="str">
        <f>"["&amp;$C177&amp;"]["&amp;$D177&amp;"]["&amp;$F177&amp;"]"</f>
        <v>[S05_InstallationFuelConsEmissions][11][FuelConsumption]</v>
      </c>
    </row>
    <row r="178" spans="1:15" x14ac:dyDescent="0.3">
      <c r="A178" t="s">
        <v>2277</v>
      </c>
      <c r="B178" t="s">
        <v>1847</v>
      </c>
      <c r="C178" t="s">
        <v>1844</v>
      </c>
      <c r="D178">
        <v>12</v>
      </c>
      <c r="E178" t="s">
        <v>1447</v>
      </c>
      <c r="F178" t="s">
        <v>1845</v>
      </c>
      <c r="G178" t="s">
        <v>1806</v>
      </c>
      <c r="H178" t="s">
        <v>2279</v>
      </c>
      <c r="I178" t="s">
        <v>2279</v>
      </c>
      <c r="J178">
        <v>5726.8900000000103</v>
      </c>
      <c r="K178" t="s">
        <v>2279</v>
      </c>
      <c r="L178" t="s">
        <v>2279</v>
      </c>
      <c r="M178" t="s">
        <v>2279</v>
      </c>
      <c r="N178" t="s">
        <v>2279</v>
      </c>
      <c r="O178" s="190" t="str">
        <f>"["&amp;$C178&amp;"]["&amp;$D178&amp;"]["&amp;$F178&amp;"]"</f>
        <v>[S05_InstallationFuelConsEmissions][12][FuelConsumption]</v>
      </c>
    </row>
    <row r="179" spans="1:15" x14ac:dyDescent="0.3">
      <c r="A179" t="s">
        <v>2277</v>
      </c>
      <c r="B179" t="s">
        <v>1843</v>
      </c>
      <c r="C179" t="s">
        <v>1844</v>
      </c>
      <c r="D179">
        <v>1</v>
      </c>
      <c r="E179" t="s">
        <v>1447</v>
      </c>
      <c r="F179" t="s">
        <v>1848</v>
      </c>
      <c r="G179" t="s">
        <v>1806</v>
      </c>
      <c r="H179" t="s">
        <v>2279</v>
      </c>
      <c r="I179" t="s">
        <v>2279</v>
      </c>
      <c r="J179">
        <v>731666.7</v>
      </c>
      <c r="K179" t="s">
        <v>2279</v>
      </c>
      <c r="L179" t="s">
        <v>2279</v>
      </c>
      <c r="M179" t="s">
        <v>2279</v>
      </c>
      <c r="N179" t="s">
        <v>2279</v>
      </c>
      <c r="O179" s="190" t="str">
        <f>"["&amp;$C179&amp;"]["&amp;$D179&amp;"]["&amp;$F179&amp;"]"</f>
        <v>[S05_InstallationFuelConsEmissions][1][FuelAnnualEmissions]</v>
      </c>
    </row>
    <row r="180" spans="1:15" x14ac:dyDescent="0.3">
      <c r="A180" t="s">
        <v>2277</v>
      </c>
      <c r="B180" t="s">
        <v>1843</v>
      </c>
      <c r="C180" t="s">
        <v>1844</v>
      </c>
      <c r="D180">
        <v>2</v>
      </c>
      <c r="E180" t="s">
        <v>1447</v>
      </c>
      <c r="F180" t="s">
        <v>1848</v>
      </c>
      <c r="G180" t="s">
        <v>1806</v>
      </c>
      <c r="H180" t="s">
        <v>2279</v>
      </c>
      <c r="I180" t="s">
        <v>2279</v>
      </c>
      <c r="J180">
        <v>0</v>
      </c>
      <c r="K180" t="s">
        <v>2279</v>
      </c>
      <c r="L180" t="s">
        <v>2279</v>
      </c>
      <c r="M180" t="s">
        <v>2279</v>
      </c>
      <c r="N180" t="s">
        <v>2279</v>
      </c>
      <c r="O180" s="190" t="str">
        <f>"["&amp;$C180&amp;"]["&amp;$D180&amp;"]["&amp;$F180&amp;"]"</f>
        <v>[S05_InstallationFuelConsEmissions][2][FuelAnnualEmissions]</v>
      </c>
    </row>
    <row r="181" spans="1:15" x14ac:dyDescent="0.3">
      <c r="A181" t="s">
        <v>2277</v>
      </c>
      <c r="B181" t="s">
        <v>1843</v>
      </c>
      <c r="C181" t="s">
        <v>1844</v>
      </c>
      <c r="D181">
        <v>3</v>
      </c>
      <c r="E181" t="s">
        <v>1447</v>
      </c>
      <c r="F181" t="s">
        <v>1848</v>
      </c>
      <c r="G181" t="s">
        <v>1806</v>
      </c>
      <c r="H181" t="s">
        <v>2279</v>
      </c>
      <c r="I181" t="s">
        <v>2279</v>
      </c>
      <c r="J181">
        <v>0</v>
      </c>
      <c r="K181" t="s">
        <v>2279</v>
      </c>
      <c r="L181" t="s">
        <v>2279</v>
      </c>
      <c r="M181" t="s">
        <v>2279</v>
      </c>
      <c r="N181" t="s">
        <v>2279</v>
      </c>
      <c r="O181" s="190" t="str">
        <f>"["&amp;$C181&amp;"]["&amp;$D181&amp;"]["&amp;$F181&amp;"]"</f>
        <v>[S05_InstallationFuelConsEmissions][3][FuelAnnualEmissions]</v>
      </c>
    </row>
    <row r="182" spans="1:15" x14ac:dyDescent="0.3">
      <c r="A182" t="s">
        <v>2277</v>
      </c>
      <c r="B182" t="s">
        <v>1843</v>
      </c>
      <c r="C182" t="s">
        <v>1844</v>
      </c>
      <c r="D182">
        <v>4</v>
      </c>
      <c r="E182" t="s">
        <v>1447</v>
      </c>
      <c r="F182" t="s">
        <v>1848</v>
      </c>
      <c r="G182" t="s">
        <v>1806</v>
      </c>
      <c r="H182" t="s">
        <v>2279</v>
      </c>
      <c r="I182" t="s">
        <v>2279</v>
      </c>
      <c r="J182">
        <v>0</v>
      </c>
      <c r="K182" t="s">
        <v>2279</v>
      </c>
      <c r="L182" t="s">
        <v>2279</v>
      </c>
      <c r="M182" t="s">
        <v>2279</v>
      </c>
      <c r="N182" t="s">
        <v>2279</v>
      </c>
      <c r="O182" s="190" t="str">
        <f>"["&amp;$C182&amp;"]["&amp;$D182&amp;"]["&amp;$F182&amp;"]"</f>
        <v>[S05_InstallationFuelConsEmissions][4][FuelAnnualEmissions]</v>
      </c>
    </row>
    <row r="183" spans="1:15" x14ac:dyDescent="0.3">
      <c r="A183" t="s">
        <v>2277</v>
      </c>
      <c r="B183" t="s">
        <v>1843</v>
      </c>
      <c r="C183" t="s">
        <v>1844</v>
      </c>
      <c r="D183">
        <v>5</v>
      </c>
      <c r="E183" t="s">
        <v>1447</v>
      </c>
      <c r="F183" t="s">
        <v>1848</v>
      </c>
      <c r="G183" t="s">
        <v>1806</v>
      </c>
      <c r="H183" t="s">
        <v>2279</v>
      </c>
      <c r="I183" t="s">
        <v>2279</v>
      </c>
      <c r="J183">
        <v>7734752.7000000002</v>
      </c>
      <c r="K183" t="s">
        <v>2279</v>
      </c>
      <c r="L183" t="s">
        <v>2279</v>
      </c>
      <c r="M183" t="s">
        <v>2279</v>
      </c>
      <c r="N183" t="s">
        <v>2279</v>
      </c>
      <c r="O183" s="190" t="str">
        <f>"["&amp;$C183&amp;"]["&amp;$D183&amp;"]["&amp;$F183&amp;"]"</f>
        <v>[S05_InstallationFuelConsEmissions][5][FuelAnnualEmissions]</v>
      </c>
    </row>
    <row r="184" spans="1:15" x14ac:dyDescent="0.3">
      <c r="A184" t="s">
        <v>2277</v>
      </c>
      <c r="B184" t="s">
        <v>1843</v>
      </c>
      <c r="C184" t="s">
        <v>1844</v>
      </c>
      <c r="D184">
        <v>6</v>
      </c>
      <c r="E184" t="s">
        <v>1447</v>
      </c>
      <c r="F184" t="s">
        <v>1848</v>
      </c>
      <c r="G184" t="s">
        <v>1806</v>
      </c>
      <c r="H184" t="s">
        <v>2279</v>
      </c>
      <c r="I184" t="s">
        <v>2279</v>
      </c>
      <c r="J184">
        <v>0</v>
      </c>
      <c r="K184" t="s">
        <v>2279</v>
      </c>
      <c r="L184" t="s">
        <v>2279</v>
      </c>
      <c r="M184" t="s">
        <v>2279</v>
      </c>
      <c r="N184" t="s">
        <v>2279</v>
      </c>
      <c r="O184" s="190" t="str">
        <f>"["&amp;$C184&amp;"]["&amp;$D184&amp;"]["&amp;$F184&amp;"]"</f>
        <v>[S05_InstallationFuelConsEmissions][6][FuelAnnualEmissions]</v>
      </c>
    </row>
    <row r="185" spans="1:15" x14ac:dyDescent="0.3">
      <c r="A185" t="s">
        <v>2277</v>
      </c>
      <c r="B185" t="s">
        <v>1843</v>
      </c>
      <c r="C185" t="s">
        <v>1844</v>
      </c>
      <c r="D185">
        <v>7</v>
      </c>
      <c r="E185" t="s">
        <v>1447</v>
      </c>
      <c r="F185" t="s">
        <v>1848</v>
      </c>
      <c r="G185" t="s">
        <v>1806</v>
      </c>
      <c r="H185" t="s">
        <v>2279</v>
      </c>
      <c r="I185" t="s">
        <v>2279</v>
      </c>
      <c r="J185">
        <v>0</v>
      </c>
      <c r="K185" t="s">
        <v>2279</v>
      </c>
      <c r="L185" t="s">
        <v>2279</v>
      </c>
      <c r="M185" t="s">
        <v>2279</v>
      </c>
      <c r="N185" t="s">
        <v>2279</v>
      </c>
      <c r="O185" s="190" t="str">
        <f>"["&amp;$C185&amp;"]["&amp;$D185&amp;"]["&amp;$F185&amp;"]"</f>
        <v>[S05_InstallationFuelConsEmissions][7][FuelAnnualEmissions]</v>
      </c>
    </row>
    <row r="186" spans="1:15" x14ac:dyDescent="0.3">
      <c r="A186" t="s">
        <v>2277</v>
      </c>
      <c r="B186" t="s">
        <v>1843</v>
      </c>
      <c r="C186" t="s">
        <v>1844</v>
      </c>
      <c r="D186">
        <v>8</v>
      </c>
      <c r="E186" t="s">
        <v>1447</v>
      </c>
      <c r="F186" t="s">
        <v>1848</v>
      </c>
      <c r="G186" t="s">
        <v>1806</v>
      </c>
      <c r="H186" t="s">
        <v>2279</v>
      </c>
      <c r="I186" t="s">
        <v>2279</v>
      </c>
      <c r="J186">
        <v>1502511.5</v>
      </c>
      <c r="K186" t="s">
        <v>2279</v>
      </c>
      <c r="L186" t="s">
        <v>2279</v>
      </c>
      <c r="M186" t="s">
        <v>2279</v>
      </c>
      <c r="N186" t="s">
        <v>2279</v>
      </c>
      <c r="O186" s="190" t="str">
        <f>"["&amp;$C186&amp;"]["&amp;$D186&amp;"]["&amp;$F186&amp;"]"</f>
        <v>[S05_InstallationFuelConsEmissions][8][FuelAnnualEmissions]</v>
      </c>
    </row>
    <row r="187" spans="1:15" x14ac:dyDescent="0.3">
      <c r="A187" t="s">
        <v>2277</v>
      </c>
      <c r="B187" t="s">
        <v>1843</v>
      </c>
      <c r="C187" t="s">
        <v>1844</v>
      </c>
      <c r="D187">
        <v>9</v>
      </c>
      <c r="E187" t="s">
        <v>1447</v>
      </c>
      <c r="F187" t="s">
        <v>1848</v>
      </c>
      <c r="G187" t="s">
        <v>1806</v>
      </c>
      <c r="H187" t="s">
        <v>2279</v>
      </c>
      <c r="I187" t="s">
        <v>2279</v>
      </c>
      <c r="J187">
        <v>859467.7</v>
      </c>
      <c r="K187" t="s">
        <v>2279</v>
      </c>
      <c r="L187" t="s">
        <v>2279</v>
      </c>
      <c r="M187" t="s">
        <v>2279</v>
      </c>
      <c r="N187" t="s">
        <v>2279</v>
      </c>
      <c r="O187" s="190" t="str">
        <f>"["&amp;$C187&amp;"]["&amp;$D187&amp;"]["&amp;$F187&amp;"]"</f>
        <v>[S05_InstallationFuelConsEmissions][9][FuelAnnualEmissions]</v>
      </c>
    </row>
    <row r="188" spans="1:15" x14ac:dyDescent="0.3">
      <c r="A188" t="s">
        <v>2277</v>
      </c>
      <c r="B188" t="s">
        <v>1843</v>
      </c>
      <c r="C188" t="s">
        <v>1844</v>
      </c>
      <c r="D188">
        <v>10</v>
      </c>
      <c r="E188" t="s">
        <v>1447</v>
      </c>
      <c r="F188" t="s">
        <v>1848</v>
      </c>
      <c r="G188" t="s">
        <v>1806</v>
      </c>
      <c r="H188" t="s">
        <v>2279</v>
      </c>
      <c r="I188" t="s">
        <v>2279</v>
      </c>
      <c r="J188">
        <v>15339.1</v>
      </c>
      <c r="K188" t="s">
        <v>2279</v>
      </c>
      <c r="L188" t="s">
        <v>2279</v>
      </c>
      <c r="M188" t="s">
        <v>2279</v>
      </c>
      <c r="N188" t="s">
        <v>2279</v>
      </c>
      <c r="O188" s="190" t="str">
        <f>"["&amp;$C188&amp;"]["&amp;$D188&amp;"]["&amp;$F188&amp;"]"</f>
        <v>[S05_InstallationFuelConsEmissions][10][FuelAnnualEmissions]</v>
      </c>
    </row>
    <row r="189" spans="1:15" x14ac:dyDescent="0.3">
      <c r="A189" t="s">
        <v>2277</v>
      </c>
      <c r="B189" t="s">
        <v>1843</v>
      </c>
      <c r="C189" t="s">
        <v>1844</v>
      </c>
      <c r="D189">
        <v>11</v>
      </c>
      <c r="E189" t="s">
        <v>1447</v>
      </c>
      <c r="F189" t="s">
        <v>1848</v>
      </c>
      <c r="G189" t="s">
        <v>1806</v>
      </c>
      <c r="H189" t="s">
        <v>2279</v>
      </c>
      <c r="I189" t="s">
        <v>2279</v>
      </c>
      <c r="J189">
        <v>967943.3</v>
      </c>
      <c r="K189" t="s">
        <v>2279</v>
      </c>
      <c r="L189" t="s">
        <v>2279</v>
      </c>
      <c r="M189" t="s">
        <v>2279</v>
      </c>
      <c r="N189" t="s">
        <v>2279</v>
      </c>
      <c r="O189" s="190" t="str">
        <f>"["&amp;$C189&amp;"]["&amp;$D189&amp;"]["&amp;$F189&amp;"]"</f>
        <v>[S05_InstallationFuelConsEmissions][11][FuelAnnualEmissions]</v>
      </c>
    </row>
    <row r="190" spans="1:15" x14ac:dyDescent="0.3">
      <c r="A190" t="s">
        <v>2277</v>
      </c>
      <c r="B190" t="s">
        <v>1843</v>
      </c>
      <c r="C190" t="s">
        <v>1844</v>
      </c>
      <c r="D190">
        <v>12</v>
      </c>
      <c r="E190" t="s">
        <v>1447</v>
      </c>
      <c r="F190" t="s">
        <v>1848</v>
      </c>
      <c r="G190" t="s">
        <v>1806</v>
      </c>
      <c r="H190" t="s">
        <v>2279</v>
      </c>
      <c r="I190" t="s">
        <v>2279</v>
      </c>
      <c r="J190">
        <v>496872.1</v>
      </c>
      <c r="K190" t="s">
        <v>2279</v>
      </c>
      <c r="L190" t="s">
        <v>2279</v>
      </c>
      <c r="M190" t="s">
        <v>2279</v>
      </c>
      <c r="N190" t="s">
        <v>2279</v>
      </c>
      <c r="O190" s="190" t="str">
        <f>"["&amp;$C190&amp;"]["&amp;$D190&amp;"]["&amp;$F190&amp;"]"</f>
        <v>[S05_InstallationFuelConsEmissions][12][FuelAnnualEmissions]</v>
      </c>
    </row>
    <row r="191" spans="1:15" x14ac:dyDescent="0.3">
      <c r="A191" t="s">
        <v>2277</v>
      </c>
      <c r="B191" t="s">
        <v>1846</v>
      </c>
      <c r="C191" t="s">
        <v>1849</v>
      </c>
      <c r="D191">
        <v>1</v>
      </c>
      <c r="E191" t="s">
        <v>1447</v>
      </c>
      <c r="F191" t="s">
        <v>1850</v>
      </c>
      <c r="G191" t="s">
        <v>1737</v>
      </c>
      <c r="H191" t="s">
        <v>2279</v>
      </c>
      <c r="I191" t="s">
        <v>2279</v>
      </c>
      <c r="J191" t="s">
        <v>2279</v>
      </c>
      <c r="K191" t="s">
        <v>2279</v>
      </c>
      <c r="L191" t="s">
        <v>1453</v>
      </c>
      <c r="M191" t="s">
        <v>2279</v>
      </c>
      <c r="N191" t="s">
        <v>2279</v>
      </c>
      <c r="O191" s="190" t="str">
        <f>"["&amp;$C191&amp;"]["&amp;$D191&amp;"]["&amp;$F191&amp;"]"</f>
        <v>[S05_AggregateTotalEmissionsByCRF][1][CRFCategory1]</v>
      </c>
    </row>
    <row r="192" spans="1:15" x14ac:dyDescent="0.3">
      <c r="A192" t="s">
        <v>2277</v>
      </c>
      <c r="B192" t="s">
        <v>1846</v>
      </c>
      <c r="C192" t="s">
        <v>1849</v>
      </c>
      <c r="D192">
        <v>2</v>
      </c>
      <c r="E192" t="s">
        <v>1447</v>
      </c>
      <c r="F192" t="s">
        <v>1850</v>
      </c>
      <c r="G192" t="s">
        <v>1737</v>
      </c>
      <c r="H192" t="s">
        <v>2279</v>
      </c>
      <c r="I192" t="s">
        <v>2279</v>
      </c>
      <c r="J192" t="s">
        <v>2279</v>
      </c>
      <c r="K192" t="s">
        <v>2279</v>
      </c>
      <c r="L192" t="s">
        <v>1453</v>
      </c>
      <c r="M192" t="s">
        <v>2279</v>
      </c>
      <c r="N192" t="s">
        <v>2279</v>
      </c>
      <c r="O192" s="190" t="str">
        <f>"["&amp;$C192&amp;"]["&amp;$D192&amp;"]["&amp;$F192&amp;"]"</f>
        <v>[S05_AggregateTotalEmissionsByCRF][2][CRFCategory1]</v>
      </c>
    </row>
    <row r="193" spans="1:15" x14ac:dyDescent="0.3">
      <c r="A193" t="s">
        <v>2277</v>
      </c>
      <c r="B193" t="s">
        <v>1846</v>
      </c>
      <c r="C193" t="s">
        <v>1849</v>
      </c>
      <c r="D193">
        <v>3</v>
      </c>
      <c r="E193" t="s">
        <v>1447</v>
      </c>
      <c r="F193" t="s">
        <v>1850</v>
      </c>
      <c r="G193" t="s">
        <v>1737</v>
      </c>
      <c r="H193" t="s">
        <v>2279</v>
      </c>
      <c r="I193" t="s">
        <v>2279</v>
      </c>
      <c r="J193" t="s">
        <v>2279</v>
      </c>
      <c r="K193" t="s">
        <v>2279</v>
      </c>
      <c r="L193" t="s">
        <v>1481</v>
      </c>
      <c r="M193" t="s">
        <v>2279</v>
      </c>
      <c r="N193" t="s">
        <v>2279</v>
      </c>
      <c r="O193" s="190" t="str">
        <f>"["&amp;$C193&amp;"]["&amp;$D193&amp;"]["&amp;$F193&amp;"]"</f>
        <v>[S05_AggregateTotalEmissionsByCRF][3][CRFCategory1]</v>
      </c>
    </row>
    <row r="194" spans="1:15" x14ac:dyDescent="0.3">
      <c r="A194" t="s">
        <v>2277</v>
      </c>
      <c r="B194" t="s">
        <v>1846</v>
      </c>
      <c r="C194" t="s">
        <v>1849</v>
      </c>
      <c r="D194">
        <v>4</v>
      </c>
      <c r="E194" t="s">
        <v>1447</v>
      </c>
      <c r="F194" t="s">
        <v>1850</v>
      </c>
      <c r="G194" t="s">
        <v>1737</v>
      </c>
      <c r="H194" t="s">
        <v>2279</v>
      </c>
      <c r="I194" t="s">
        <v>2279</v>
      </c>
      <c r="J194" t="s">
        <v>2279</v>
      </c>
      <c r="K194" t="s">
        <v>2279</v>
      </c>
      <c r="L194" t="s">
        <v>1531</v>
      </c>
      <c r="M194" t="s">
        <v>2279</v>
      </c>
      <c r="N194" t="s">
        <v>2279</v>
      </c>
      <c r="O194" s="190" t="str">
        <f>"["&amp;$C194&amp;"]["&amp;$D194&amp;"]["&amp;$F194&amp;"]"</f>
        <v>[S05_AggregateTotalEmissionsByCRF][4][CRFCategory1]</v>
      </c>
    </row>
    <row r="195" spans="1:15" x14ac:dyDescent="0.3">
      <c r="A195" t="s">
        <v>2277</v>
      </c>
      <c r="B195" t="s">
        <v>1846</v>
      </c>
      <c r="C195" t="s">
        <v>1849</v>
      </c>
      <c r="D195">
        <v>5</v>
      </c>
      <c r="E195" t="s">
        <v>1447</v>
      </c>
      <c r="F195" t="s">
        <v>1850</v>
      </c>
      <c r="G195" t="s">
        <v>1737</v>
      </c>
      <c r="H195" t="s">
        <v>2279</v>
      </c>
      <c r="I195" t="s">
        <v>2279</v>
      </c>
      <c r="J195" t="s">
        <v>2279</v>
      </c>
      <c r="K195" t="s">
        <v>2279</v>
      </c>
      <c r="L195" t="s">
        <v>1550</v>
      </c>
      <c r="M195" t="s">
        <v>2279</v>
      </c>
      <c r="N195" t="s">
        <v>2279</v>
      </c>
      <c r="O195" s="190" t="str">
        <f>"["&amp;$C195&amp;"]["&amp;$D195&amp;"]["&amp;$F195&amp;"]"</f>
        <v>[S05_AggregateTotalEmissionsByCRF][5][CRFCategory1]</v>
      </c>
    </row>
    <row r="196" spans="1:15" x14ac:dyDescent="0.3">
      <c r="A196" t="s">
        <v>2277</v>
      </c>
      <c r="B196" t="s">
        <v>1846</v>
      </c>
      <c r="C196" t="s">
        <v>1849</v>
      </c>
      <c r="D196">
        <v>6</v>
      </c>
      <c r="E196" t="s">
        <v>1447</v>
      </c>
      <c r="F196" t="s">
        <v>1850</v>
      </c>
      <c r="G196" t="s">
        <v>1737</v>
      </c>
      <c r="H196" t="s">
        <v>2279</v>
      </c>
      <c r="I196" t="s">
        <v>2279</v>
      </c>
      <c r="J196" t="s">
        <v>2279</v>
      </c>
      <c r="K196" t="s">
        <v>2279</v>
      </c>
      <c r="L196" t="s">
        <v>1550</v>
      </c>
      <c r="M196" t="s">
        <v>2279</v>
      </c>
      <c r="N196" t="s">
        <v>2279</v>
      </c>
      <c r="O196" s="190" t="str">
        <f>"["&amp;$C196&amp;"]["&amp;$D196&amp;"]["&amp;$F196&amp;"]"</f>
        <v>[S05_AggregateTotalEmissionsByCRF][6][CRFCategory1]</v>
      </c>
    </row>
    <row r="197" spans="1:15" x14ac:dyDescent="0.3">
      <c r="A197" t="s">
        <v>2277</v>
      </c>
      <c r="B197" t="s">
        <v>1846</v>
      </c>
      <c r="C197" t="s">
        <v>1849</v>
      </c>
      <c r="D197">
        <v>7</v>
      </c>
      <c r="E197" t="s">
        <v>1447</v>
      </c>
      <c r="F197" t="s">
        <v>1850</v>
      </c>
      <c r="G197" t="s">
        <v>1737</v>
      </c>
      <c r="H197" t="s">
        <v>2279</v>
      </c>
      <c r="I197" t="s">
        <v>2279</v>
      </c>
      <c r="J197" t="s">
        <v>2279</v>
      </c>
      <c r="K197" t="s">
        <v>2279</v>
      </c>
      <c r="L197" t="s">
        <v>1550</v>
      </c>
      <c r="M197" t="s">
        <v>2279</v>
      </c>
      <c r="N197" t="s">
        <v>2279</v>
      </c>
      <c r="O197" s="190" t="str">
        <f>"["&amp;$C197&amp;"]["&amp;$D197&amp;"]["&amp;$F197&amp;"]"</f>
        <v>[S05_AggregateTotalEmissionsByCRF][7][CRFCategory1]</v>
      </c>
    </row>
    <row r="198" spans="1:15" x14ac:dyDescent="0.3">
      <c r="A198" t="s">
        <v>2277</v>
      </c>
      <c r="B198" t="s">
        <v>1846</v>
      </c>
      <c r="C198" t="s">
        <v>1849</v>
      </c>
      <c r="D198">
        <v>8</v>
      </c>
      <c r="E198" t="s">
        <v>1447</v>
      </c>
      <c r="F198" t="s">
        <v>1850</v>
      </c>
      <c r="G198" t="s">
        <v>1737</v>
      </c>
      <c r="H198" t="s">
        <v>2279</v>
      </c>
      <c r="I198" t="s">
        <v>2279</v>
      </c>
      <c r="J198" t="s">
        <v>2279</v>
      </c>
      <c r="K198" t="s">
        <v>2279</v>
      </c>
      <c r="L198" t="s">
        <v>1550</v>
      </c>
      <c r="M198" t="s">
        <v>2279</v>
      </c>
      <c r="N198" t="s">
        <v>2279</v>
      </c>
      <c r="O198" s="190" t="str">
        <f>"["&amp;$C198&amp;"]["&amp;$D198&amp;"]["&amp;$F198&amp;"]"</f>
        <v>[S05_AggregateTotalEmissionsByCRF][8][CRFCategory1]</v>
      </c>
    </row>
    <row r="199" spans="1:15" x14ac:dyDescent="0.3">
      <c r="A199" t="s">
        <v>2277</v>
      </c>
      <c r="B199" t="s">
        <v>1846</v>
      </c>
      <c r="C199" t="s">
        <v>1849</v>
      </c>
      <c r="D199">
        <v>9</v>
      </c>
      <c r="E199" t="s">
        <v>1447</v>
      </c>
      <c r="F199" t="s">
        <v>1850</v>
      </c>
      <c r="G199" t="s">
        <v>1737</v>
      </c>
      <c r="H199" t="s">
        <v>2279</v>
      </c>
      <c r="I199" t="s">
        <v>2279</v>
      </c>
      <c r="J199" t="s">
        <v>2279</v>
      </c>
      <c r="K199" t="s">
        <v>2279</v>
      </c>
      <c r="L199" t="s">
        <v>1558</v>
      </c>
      <c r="M199" t="s">
        <v>2279</v>
      </c>
      <c r="N199" t="s">
        <v>2279</v>
      </c>
      <c r="O199" s="190" t="str">
        <f>"["&amp;$C199&amp;"]["&amp;$D199&amp;"]["&amp;$F199&amp;"]"</f>
        <v>[S05_AggregateTotalEmissionsByCRF][9][CRFCategory1]</v>
      </c>
    </row>
    <row r="200" spans="1:15" x14ac:dyDescent="0.3">
      <c r="A200" t="s">
        <v>2277</v>
      </c>
      <c r="B200" t="s">
        <v>1846</v>
      </c>
      <c r="C200" t="s">
        <v>1849</v>
      </c>
      <c r="D200">
        <v>10</v>
      </c>
      <c r="E200" t="s">
        <v>1447</v>
      </c>
      <c r="F200" t="s">
        <v>1850</v>
      </c>
      <c r="G200" t="s">
        <v>1737</v>
      </c>
      <c r="H200" t="s">
        <v>2279</v>
      </c>
      <c r="I200" t="s">
        <v>2279</v>
      </c>
      <c r="J200" t="s">
        <v>2279</v>
      </c>
      <c r="K200" t="s">
        <v>2279</v>
      </c>
      <c r="L200" t="s">
        <v>1558</v>
      </c>
      <c r="M200" t="s">
        <v>2279</v>
      </c>
      <c r="N200" t="s">
        <v>2279</v>
      </c>
      <c r="O200" s="190" t="str">
        <f>"["&amp;$C200&amp;"]["&amp;$D200&amp;"]["&amp;$F200&amp;"]"</f>
        <v>[S05_AggregateTotalEmissionsByCRF][10][CRFCategory1]</v>
      </c>
    </row>
    <row r="201" spans="1:15" x14ac:dyDescent="0.3">
      <c r="A201" t="s">
        <v>2277</v>
      </c>
      <c r="B201" t="s">
        <v>1846</v>
      </c>
      <c r="C201" t="s">
        <v>1849</v>
      </c>
      <c r="D201">
        <v>11</v>
      </c>
      <c r="E201" t="s">
        <v>1447</v>
      </c>
      <c r="F201" t="s">
        <v>1850</v>
      </c>
      <c r="G201" t="s">
        <v>1737</v>
      </c>
      <c r="H201" t="s">
        <v>2279</v>
      </c>
      <c r="I201" t="s">
        <v>2279</v>
      </c>
      <c r="J201" t="s">
        <v>2279</v>
      </c>
      <c r="K201" t="s">
        <v>2279</v>
      </c>
      <c r="L201" t="s">
        <v>1563</v>
      </c>
      <c r="M201" t="s">
        <v>2279</v>
      </c>
      <c r="N201" t="s">
        <v>2279</v>
      </c>
      <c r="O201" s="190" t="str">
        <f>"["&amp;$C201&amp;"]["&amp;$D201&amp;"]["&amp;$F201&amp;"]"</f>
        <v>[S05_AggregateTotalEmissionsByCRF][11][CRFCategory1]</v>
      </c>
    </row>
    <row r="202" spans="1:15" x14ac:dyDescent="0.3">
      <c r="A202" t="s">
        <v>2277</v>
      </c>
      <c r="B202" t="s">
        <v>1846</v>
      </c>
      <c r="C202" t="s">
        <v>1849</v>
      </c>
      <c r="D202">
        <v>12</v>
      </c>
      <c r="E202" t="s">
        <v>1447</v>
      </c>
      <c r="F202" t="s">
        <v>1850</v>
      </c>
      <c r="G202" t="s">
        <v>1737</v>
      </c>
      <c r="H202" t="s">
        <v>2279</v>
      </c>
      <c r="I202" t="s">
        <v>2279</v>
      </c>
      <c r="J202" t="s">
        <v>2279</v>
      </c>
      <c r="K202" t="s">
        <v>2279</v>
      </c>
      <c r="L202" t="s">
        <v>1569</v>
      </c>
      <c r="M202" t="s">
        <v>2279</v>
      </c>
      <c r="N202" t="s">
        <v>2279</v>
      </c>
      <c r="O202" s="190" t="str">
        <f>"["&amp;$C202&amp;"]["&amp;$D202&amp;"]["&amp;$F202&amp;"]"</f>
        <v>[S05_AggregateTotalEmissionsByCRF][12][CRFCategory1]</v>
      </c>
    </row>
    <row r="203" spans="1:15" x14ac:dyDescent="0.3">
      <c r="A203" t="s">
        <v>2277</v>
      </c>
      <c r="B203" t="s">
        <v>1846</v>
      </c>
      <c r="C203" t="s">
        <v>1849</v>
      </c>
      <c r="D203">
        <v>13</v>
      </c>
      <c r="E203" t="s">
        <v>1447</v>
      </c>
      <c r="F203" t="s">
        <v>1850</v>
      </c>
      <c r="G203" t="s">
        <v>1737</v>
      </c>
      <c r="H203" t="s">
        <v>2279</v>
      </c>
      <c r="I203" t="s">
        <v>2279</v>
      </c>
      <c r="J203" t="s">
        <v>2279</v>
      </c>
      <c r="K203" t="s">
        <v>2279</v>
      </c>
      <c r="L203" t="s">
        <v>1569</v>
      </c>
      <c r="M203" t="s">
        <v>2279</v>
      </c>
      <c r="N203" t="s">
        <v>2279</v>
      </c>
      <c r="O203" s="190" t="str">
        <f>"["&amp;$C203&amp;"]["&amp;$D203&amp;"]["&amp;$F203&amp;"]"</f>
        <v>[S05_AggregateTotalEmissionsByCRF][13][CRFCategory1]</v>
      </c>
    </row>
    <row r="204" spans="1:15" x14ac:dyDescent="0.3">
      <c r="A204" t="s">
        <v>2277</v>
      </c>
      <c r="B204" t="s">
        <v>1846</v>
      </c>
      <c r="C204" t="s">
        <v>1849</v>
      </c>
      <c r="D204">
        <v>14</v>
      </c>
      <c r="E204" t="s">
        <v>1447</v>
      </c>
      <c r="F204" t="s">
        <v>1850</v>
      </c>
      <c r="G204" t="s">
        <v>1737</v>
      </c>
      <c r="H204" t="s">
        <v>2279</v>
      </c>
      <c r="I204" t="s">
        <v>2279</v>
      </c>
      <c r="J204" t="s">
        <v>2279</v>
      </c>
      <c r="K204" t="s">
        <v>2279</v>
      </c>
      <c r="L204" t="s">
        <v>1569</v>
      </c>
      <c r="M204" t="s">
        <v>2279</v>
      </c>
      <c r="N204" t="s">
        <v>2279</v>
      </c>
      <c r="O204" s="190" t="str">
        <f>"["&amp;$C204&amp;"]["&amp;$D204&amp;"]["&amp;$F204&amp;"]"</f>
        <v>[S05_AggregateTotalEmissionsByCRF][14][CRFCategory1]</v>
      </c>
    </row>
    <row r="205" spans="1:15" x14ac:dyDescent="0.3">
      <c r="A205" t="s">
        <v>2277</v>
      </c>
      <c r="B205" t="s">
        <v>1846</v>
      </c>
      <c r="C205" t="s">
        <v>1849</v>
      </c>
      <c r="D205">
        <v>15</v>
      </c>
      <c r="E205" t="s">
        <v>1447</v>
      </c>
      <c r="F205" t="s">
        <v>1850</v>
      </c>
      <c r="G205" t="s">
        <v>1737</v>
      </c>
      <c r="H205" t="s">
        <v>2279</v>
      </c>
      <c r="I205" t="s">
        <v>2279</v>
      </c>
      <c r="J205" t="s">
        <v>2279</v>
      </c>
      <c r="K205" t="s">
        <v>2279</v>
      </c>
      <c r="L205" t="s">
        <v>1569</v>
      </c>
      <c r="M205" t="s">
        <v>2279</v>
      </c>
      <c r="N205" t="s">
        <v>2279</v>
      </c>
      <c r="O205" s="190" t="str">
        <f>"["&amp;$C205&amp;"]["&amp;$D205&amp;"]["&amp;$F205&amp;"]"</f>
        <v>[S05_AggregateTotalEmissionsByCRF][15][CRFCategory1]</v>
      </c>
    </row>
    <row r="206" spans="1:15" x14ac:dyDescent="0.3">
      <c r="A206" t="s">
        <v>2277</v>
      </c>
      <c r="B206" t="s">
        <v>1846</v>
      </c>
      <c r="C206" t="s">
        <v>1849</v>
      </c>
      <c r="D206">
        <v>16</v>
      </c>
      <c r="E206" t="s">
        <v>1447</v>
      </c>
      <c r="F206" t="s">
        <v>1850</v>
      </c>
      <c r="G206" t="s">
        <v>1737</v>
      </c>
      <c r="H206" t="s">
        <v>2279</v>
      </c>
      <c r="I206" t="s">
        <v>2279</v>
      </c>
      <c r="J206" t="s">
        <v>2279</v>
      </c>
      <c r="K206" t="s">
        <v>2279</v>
      </c>
      <c r="L206" t="s">
        <v>1569</v>
      </c>
      <c r="M206" t="s">
        <v>2279</v>
      </c>
      <c r="N206" t="s">
        <v>2279</v>
      </c>
      <c r="O206" s="190" t="str">
        <f>"["&amp;$C206&amp;"]["&amp;$D206&amp;"]["&amp;$F206&amp;"]"</f>
        <v>[S05_AggregateTotalEmissionsByCRF][16][CRFCategory1]</v>
      </c>
    </row>
    <row r="207" spans="1:15" x14ac:dyDescent="0.3">
      <c r="A207" t="s">
        <v>2277</v>
      </c>
      <c r="B207" t="s">
        <v>1846</v>
      </c>
      <c r="C207" t="s">
        <v>1849</v>
      </c>
      <c r="D207">
        <v>17</v>
      </c>
      <c r="E207" t="s">
        <v>1447</v>
      </c>
      <c r="F207" t="s">
        <v>1850</v>
      </c>
      <c r="G207" t="s">
        <v>1737</v>
      </c>
      <c r="H207" t="s">
        <v>2279</v>
      </c>
      <c r="I207" t="s">
        <v>2279</v>
      </c>
      <c r="J207" t="s">
        <v>2279</v>
      </c>
      <c r="K207" t="s">
        <v>2279</v>
      </c>
      <c r="L207" t="s">
        <v>1574</v>
      </c>
      <c r="M207" t="s">
        <v>2279</v>
      </c>
      <c r="N207" t="s">
        <v>2279</v>
      </c>
      <c r="O207" s="190" t="str">
        <f>"["&amp;$C207&amp;"]["&amp;$D207&amp;"]["&amp;$F207&amp;"]"</f>
        <v>[S05_AggregateTotalEmissionsByCRF][17][CRFCategory1]</v>
      </c>
    </row>
    <row r="208" spans="1:15" x14ac:dyDescent="0.3">
      <c r="A208" t="s">
        <v>2277</v>
      </c>
      <c r="B208" t="s">
        <v>1846</v>
      </c>
      <c r="C208" t="s">
        <v>1849</v>
      </c>
      <c r="D208">
        <v>2</v>
      </c>
      <c r="E208" t="s">
        <v>1447</v>
      </c>
      <c r="F208" t="s">
        <v>1851</v>
      </c>
      <c r="G208" t="s">
        <v>1737</v>
      </c>
      <c r="H208" t="s">
        <v>2279</v>
      </c>
      <c r="I208" t="s">
        <v>2279</v>
      </c>
      <c r="J208" t="s">
        <v>2279</v>
      </c>
      <c r="K208" t="s">
        <v>2279</v>
      </c>
      <c r="L208" t="s">
        <v>1504</v>
      </c>
      <c r="M208" t="s">
        <v>2279</v>
      </c>
      <c r="N208" t="s">
        <v>2279</v>
      </c>
      <c r="O208" s="190" t="str">
        <f>"["&amp;$C208&amp;"]["&amp;$D208&amp;"]["&amp;$F208&amp;"]"</f>
        <v>[S05_AggregateTotalEmissionsByCRF][2][CRFCategory2]</v>
      </c>
    </row>
    <row r="209" spans="1:15" x14ac:dyDescent="0.3">
      <c r="A209" t="s">
        <v>2277</v>
      </c>
      <c r="B209" t="s">
        <v>1846</v>
      </c>
      <c r="C209" t="s">
        <v>1849</v>
      </c>
      <c r="D209">
        <v>3</v>
      </c>
      <c r="E209" t="s">
        <v>1447</v>
      </c>
      <c r="F209" t="s">
        <v>1851</v>
      </c>
      <c r="G209" t="s">
        <v>1737</v>
      </c>
      <c r="H209" t="s">
        <v>2279</v>
      </c>
      <c r="I209" t="s">
        <v>2279</v>
      </c>
      <c r="J209" t="s">
        <v>2279</v>
      </c>
      <c r="K209" t="s">
        <v>2279</v>
      </c>
      <c r="L209" t="s">
        <v>1575</v>
      </c>
      <c r="M209" t="s">
        <v>2279</v>
      </c>
      <c r="N209" t="s">
        <v>2279</v>
      </c>
      <c r="O209" s="190" t="str">
        <f>"["&amp;$C209&amp;"]["&amp;$D209&amp;"]["&amp;$F209&amp;"]"</f>
        <v>[S05_AggregateTotalEmissionsByCRF][3][CRFCategory2]</v>
      </c>
    </row>
    <row r="210" spans="1:15" x14ac:dyDescent="0.3">
      <c r="A210" t="s">
        <v>2277</v>
      </c>
      <c r="B210" t="s">
        <v>1846</v>
      </c>
      <c r="C210" t="s">
        <v>1849</v>
      </c>
      <c r="D210">
        <v>4</v>
      </c>
      <c r="E210" t="s">
        <v>1447</v>
      </c>
      <c r="F210" t="s">
        <v>1851</v>
      </c>
      <c r="G210" t="s">
        <v>1737</v>
      </c>
      <c r="H210" t="s">
        <v>2279</v>
      </c>
      <c r="I210" t="s">
        <v>2279</v>
      </c>
      <c r="J210" t="s">
        <v>2279</v>
      </c>
      <c r="K210" t="s">
        <v>2279</v>
      </c>
      <c r="L210" t="s">
        <v>1589</v>
      </c>
      <c r="M210" t="s">
        <v>2279</v>
      </c>
      <c r="N210" t="s">
        <v>2279</v>
      </c>
      <c r="O210" s="190" t="str">
        <f>"["&amp;$C210&amp;"]["&amp;$D210&amp;"]["&amp;$F210&amp;"]"</f>
        <v>[S05_AggregateTotalEmissionsByCRF][4][CRFCategory2]</v>
      </c>
    </row>
    <row r="211" spans="1:15" x14ac:dyDescent="0.3">
      <c r="A211" t="s">
        <v>2277</v>
      </c>
      <c r="B211" t="s">
        <v>1846</v>
      </c>
      <c r="C211" t="s">
        <v>1849</v>
      </c>
      <c r="D211">
        <v>6</v>
      </c>
      <c r="E211" t="s">
        <v>1447</v>
      </c>
      <c r="F211" t="s">
        <v>1851</v>
      </c>
      <c r="G211" t="s">
        <v>1737</v>
      </c>
      <c r="H211" t="s">
        <v>2279</v>
      </c>
      <c r="I211" t="s">
        <v>2279</v>
      </c>
      <c r="J211" t="s">
        <v>2279</v>
      </c>
      <c r="K211" t="s">
        <v>2279</v>
      </c>
      <c r="L211" t="s">
        <v>1532</v>
      </c>
      <c r="M211" t="s">
        <v>2279</v>
      </c>
      <c r="N211" t="s">
        <v>2279</v>
      </c>
      <c r="O211" s="190" t="str">
        <f>"["&amp;$C211&amp;"]["&amp;$D211&amp;"]["&amp;$F211&amp;"]"</f>
        <v>[S05_AggregateTotalEmissionsByCRF][6][CRFCategory2]</v>
      </c>
    </row>
    <row r="212" spans="1:15" x14ac:dyDescent="0.3">
      <c r="A212" t="s">
        <v>2277</v>
      </c>
      <c r="B212" t="s">
        <v>1846</v>
      </c>
      <c r="C212" t="s">
        <v>1849</v>
      </c>
      <c r="D212">
        <v>7</v>
      </c>
      <c r="E212" t="s">
        <v>1447</v>
      </c>
      <c r="F212" t="s">
        <v>1851</v>
      </c>
      <c r="G212" t="s">
        <v>1737</v>
      </c>
      <c r="H212" t="s">
        <v>2279</v>
      </c>
      <c r="I212" t="s">
        <v>2279</v>
      </c>
      <c r="J212" t="s">
        <v>2279</v>
      </c>
      <c r="K212" t="s">
        <v>2279</v>
      </c>
      <c r="L212" t="s">
        <v>1584</v>
      </c>
      <c r="M212" t="s">
        <v>2279</v>
      </c>
      <c r="N212" t="s">
        <v>2279</v>
      </c>
      <c r="O212" s="190" t="str">
        <f>"["&amp;$C212&amp;"]["&amp;$D212&amp;"]["&amp;$F212&amp;"]"</f>
        <v>[S05_AggregateTotalEmissionsByCRF][7][CRFCategory2]</v>
      </c>
    </row>
    <row r="213" spans="1:15" x14ac:dyDescent="0.3">
      <c r="A213" t="s">
        <v>2277</v>
      </c>
      <c r="B213" t="s">
        <v>1846</v>
      </c>
      <c r="C213" t="s">
        <v>1849</v>
      </c>
      <c r="D213">
        <v>8</v>
      </c>
      <c r="E213" t="s">
        <v>1447</v>
      </c>
      <c r="F213" t="s">
        <v>1851</v>
      </c>
      <c r="G213" t="s">
        <v>1737</v>
      </c>
      <c r="H213" t="s">
        <v>2279</v>
      </c>
      <c r="I213" t="s">
        <v>2279</v>
      </c>
      <c r="J213" t="s">
        <v>2279</v>
      </c>
      <c r="K213" t="s">
        <v>2279</v>
      </c>
      <c r="L213" t="s">
        <v>1619</v>
      </c>
      <c r="M213" t="s">
        <v>2279</v>
      </c>
      <c r="N213" t="s">
        <v>2279</v>
      </c>
      <c r="O213" s="190" t="str">
        <f>"["&amp;$C213&amp;"]["&amp;$D213&amp;"]["&amp;$F213&amp;"]"</f>
        <v>[S05_AggregateTotalEmissionsByCRF][8][CRFCategory2]</v>
      </c>
    </row>
    <row r="214" spans="1:15" x14ac:dyDescent="0.3">
      <c r="A214" t="s">
        <v>2277</v>
      </c>
      <c r="B214" t="s">
        <v>1846</v>
      </c>
      <c r="C214" t="s">
        <v>1849</v>
      </c>
      <c r="D214">
        <v>10</v>
      </c>
      <c r="E214" t="s">
        <v>1447</v>
      </c>
      <c r="F214" t="s">
        <v>1851</v>
      </c>
      <c r="G214" t="s">
        <v>1737</v>
      </c>
      <c r="H214" t="s">
        <v>2279</v>
      </c>
      <c r="I214" t="s">
        <v>2279</v>
      </c>
      <c r="J214" t="s">
        <v>2279</v>
      </c>
      <c r="K214" t="s">
        <v>2279</v>
      </c>
      <c r="L214" t="s">
        <v>1676</v>
      </c>
      <c r="M214" t="s">
        <v>2279</v>
      </c>
      <c r="N214" t="s">
        <v>2279</v>
      </c>
      <c r="O214" s="190" t="str">
        <f>"["&amp;$C214&amp;"]["&amp;$D214&amp;"]["&amp;$F214&amp;"]"</f>
        <v>[S05_AggregateTotalEmissionsByCRF][10][CRFCategory2]</v>
      </c>
    </row>
    <row r="215" spans="1:15" x14ac:dyDescent="0.3">
      <c r="A215" t="s">
        <v>2277</v>
      </c>
      <c r="B215" t="s">
        <v>1846</v>
      </c>
      <c r="C215" t="s">
        <v>1849</v>
      </c>
      <c r="D215">
        <v>13</v>
      </c>
      <c r="E215" t="s">
        <v>1447</v>
      </c>
      <c r="F215" t="s">
        <v>1851</v>
      </c>
      <c r="G215" t="s">
        <v>1737</v>
      </c>
      <c r="H215" t="s">
        <v>2279</v>
      </c>
      <c r="I215" t="s">
        <v>2279</v>
      </c>
      <c r="J215" t="s">
        <v>2279</v>
      </c>
      <c r="K215" t="s">
        <v>2279</v>
      </c>
      <c r="L215" t="s">
        <v>1426</v>
      </c>
      <c r="M215" t="s">
        <v>2279</v>
      </c>
      <c r="N215" t="s">
        <v>2279</v>
      </c>
      <c r="O215" s="190" t="str">
        <f>"["&amp;$C215&amp;"]["&amp;$D215&amp;"]["&amp;$F215&amp;"]"</f>
        <v>[S05_AggregateTotalEmissionsByCRF][13][CRFCategory2]</v>
      </c>
    </row>
    <row r="216" spans="1:15" x14ac:dyDescent="0.3">
      <c r="A216" t="s">
        <v>2277</v>
      </c>
      <c r="B216" t="s">
        <v>1846</v>
      </c>
      <c r="C216" t="s">
        <v>1849</v>
      </c>
      <c r="D216">
        <v>14</v>
      </c>
      <c r="E216" t="s">
        <v>1447</v>
      </c>
      <c r="F216" t="s">
        <v>1851</v>
      </c>
      <c r="G216" t="s">
        <v>1737</v>
      </c>
      <c r="H216" t="s">
        <v>2279</v>
      </c>
      <c r="I216" t="s">
        <v>2279</v>
      </c>
      <c r="J216" t="s">
        <v>2279</v>
      </c>
      <c r="K216" t="s">
        <v>2279</v>
      </c>
      <c r="L216" t="s">
        <v>1454</v>
      </c>
      <c r="M216" t="s">
        <v>2279</v>
      </c>
      <c r="N216" t="s">
        <v>2279</v>
      </c>
      <c r="O216" s="190" t="str">
        <f>"["&amp;$C216&amp;"]["&amp;$D216&amp;"]["&amp;$F216&amp;"]"</f>
        <v>[S05_AggregateTotalEmissionsByCRF][14][CRFCategory2]</v>
      </c>
    </row>
    <row r="217" spans="1:15" x14ac:dyDescent="0.3">
      <c r="A217" t="s">
        <v>2277</v>
      </c>
      <c r="B217" t="s">
        <v>1846</v>
      </c>
      <c r="C217" t="s">
        <v>1849</v>
      </c>
      <c r="D217">
        <v>15</v>
      </c>
      <c r="E217" t="s">
        <v>1447</v>
      </c>
      <c r="F217" t="s">
        <v>1851</v>
      </c>
      <c r="G217" t="s">
        <v>1737</v>
      </c>
      <c r="H217" t="s">
        <v>2279</v>
      </c>
      <c r="I217" t="s">
        <v>2279</v>
      </c>
      <c r="J217" t="s">
        <v>2279</v>
      </c>
      <c r="K217" t="s">
        <v>2279</v>
      </c>
      <c r="L217" t="s">
        <v>1482</v>
      </c>
      <c r="M217" t="s">
        <v>2279</v>
      </c>
      <c r="N217" t="s">
        <v>2279</v>
      </c>
      <c r="O217" s="190" t="str">
        <f>"["&amp;$C217&amp;"]["&amp;$D217&amp;"]["&amp;$F217&amp;"]"</f>
        <v>[S05_AggregateTotalEmissionsByCRF][15][CRFCategory2]</v>
      </c>
    </row>
    <row r="218" spans="1:15" x14ac:dyDescent="0.3">
      <c r="A218" t="s">
        <v>2277</v>
      </c>
      <c r="B218" t="s">
        <v>1846</v>
      </c>
      <c r="C218" t="s">
        <v>1849</v>
      </c>
      <c r="D218">
        <v>16</v>
      </c>
      <c r="E218" t="s">
        <v>1447</v>
      </c>
      <c r="F218" t="s">
        <v>1851</v>
      </c>
      <c r="G218" t="s">
        <v>1737</v>
      </c>
      <c r="H218" t="s">
        <v>2279</v>
      </c>
      <c r="I218" t="s">
        <v>2279</v>
      </c>
      <c r="J218" t="s">
        <v>2279</v>
      </c>
      <c r="K218" t="s">
        <v>2279</v>
      </c>
      <c r="L218" t="s">
        <v>1551</v>
      </c>
      <c r="M218" t="s">
        <v>2279</v>
      </c>
      <c r="N218" t="s">
        <v>2279</v>
      </c>
      <c r="O218" s="190" t="str">
        <f>"["&amp;$C218&amp;"]["&amp;$D218&amp;"]["&amp;$F218&amp;"]"</f>
        <v>[S05_AggregateTotalEmissionsByCRF][16][CRFCategory2]</v>
      </c>
    </row>
    <row r="219" spans="1:15" x14ac:dyDescent="0.3">
      <c r="A219" t="s">
        <v>2277</v>
      </c>
      <c r="B219" t="s">
        <v>1846</v>
      </c>
      <c r="C219" t="s">
        <v>1849</v>
      </c>
      <c r="D219">
        <v>1</v>
      </c>
      <c r="E219" t="s">
        <v>1447</v>
      </c>
      <c r="F219" t="s">
        <v>1852</v>
      </c>
      <c r="G219" t="s">
        <v>1806</v>
      </c>
      <c r="H219" t="s">
        <v>2279</v>
      </c>
      <c r="I219" t="s">
        <v>2279</v>
      </c>
      <c r="J219">
        <v>5053489</v>
      </c>
      <c r="K219" t="s">
        <v>2279</v>
      </c>
      <c r="L219" t="s">
        <v>2279</v>
      </c>
      <c r="M219" t="s">
        <v>2279</v>
      </c>
      <c r="N219" t="s">
        <v>2279</v>
      </c>
      <c r="O219" s="190" t="str">
        <f>"["&amp;$C219&amp;"]["&amp;$D219&amp;"]["&amp;$F219&amp;"]"</f>
        <v>[S05_AggregateTotalEmissionsByCRF][1][TotalEmissionsTCo2e]</v>
      </c>
    </row>
    <row r="220" spans="1:15" x14ac:dyDescent="0.3">
      <c r="A220" t="s">
        <v>2277</v>
      </c>
      <c r="B220" t="s">
        <v>1846</v>
      </c>
      <c r="C220" t="s">
        <v>1849</v>
      </c>
      <c r="D220">
        <v>2</v>
      </c>
      <c r="E220" t="s">
        <v>1447</v>
      </c>
      <c r="F220" t="s">
        <v>1852</v>
      </c>
      <c r="G220" t="s">
        <v>1806</v>
      </c>
      <c r="H220" t="s">
        <v>2279</v>
      </c>
      <c r="I220" t="s">
        <v>2279</v>
      </c>
      <c r="J220">
        <v>700910.4</v>
      </c>
      <c r="K220" t="s">
        <v>2279</v>
      </c>
      <c r="L220" t="s">
        <v>2279</v>
      </c>
      <c r="M220" t="s">
        <v>2279</v>
      </c>
      <c r="N220" t="s">
        <v>2279</v>
      </c>
      <c r="O220" s="190" t="str">
        <f>"["&amp;$C220&amp;"]["&amp;$D220&amp;"]["&amp;$F220&amp;"]"</f>
        <v>[S05_AggregateTotalEmissionsByCRF][2][TotalEmissionsTCo2e]</v>
      </c>
    </row>
    <row r="221" spans="1:15" x14ac:dyDescent="0.3">
      <c r="A221" t="s">
        <v>2277</v>
      </c>
      <c r="B221" t="s">
        <v>1846</v>
      </c>
      <c r="C221" t="s">
        <v>1849</v>
      </c>
      <c r="D221">
        <v>3</v>
      </c>
      <c r="E221" t="s">
        <v>1447</v>
      </c>
      <c r="F221" t="s">
        <v>1852</v>
      </c>
      <c r="G221" t="s">
        <v>1806</v>
      </c>
      <c r="H221" t="s">
        <v>2279</v>
      </c>
      <c r="I221" t="s">
        <v>2279</v>
      </c>
      <c r="J221">
        <v>2674057.9</v>
      </c>
      <c r="K221" t="s">
        <v>2279</v>
      </c>
      <c r="L221" t="s">
        <v>2279</v>
      </c>
      <c r="M221" t="s">
        <v>2279</v>
      </c>
      <c r="N221" t="s">
        <v>2279</v>
      </c>
      <c r="O221" s="190" t="str">
        <f>"["&amp;$C221&amp;"]["&amp;$D221&amp;"]["&amp;$F221&amp;"]"</f>
        <v>[S05_AggregateTotalEmissionsByCRF][3][TotalEmissionsTCo2e]</v>
      </c>
    </row>
    <row r="222" spans="1:15" x14ac:dyDescent="0.3">
      <c r="A222" t="s">
        <v>2277</v>
      </c>
      <c r="B222" t="s">
        <v>1846</v>
      </c>
      <c r="C222" t="s">
        <v>1849</v>
      </c>
      <c r="D222">
        <v>4</v>
      </c>
      <c r="E222" t="s">
        <v>1447</v>
      </c>
      <c r="F222" t="s">
        <v>1852</v>
      </c>
      <c r="G222" t="s">
        <v>1806</v>
      </c>
      <c r="H222" t="s">
        <v>2279</v>
      </c>
      <c r="I222" t="s">
        <v>2279</v>
      </c>
      <c r="J222">
        <v>128796.6</v>
      </c>
      <c r="K222" t="s">
        <v>2279</v>
      </c>
      <c r="L222" t="s">
        <v>2279</v>
      </c>
      <c r="M222" t="s">
        <v>2279</v>
      </c>
      <c r="N222" t="s">
        <v>2279</v>
      </c>
      <c r="O222" s="190" t="str">
        <f>"["&amp;$C222&amp;"]["&amp;$D222&amp;"]["&amp;$F222&amp;"]"</f>
        <v>[S05_AggregateTotalEmissionsByCRF][4][TotalEmissionsTCo2e]</v>
      </c>
    </row>
    <row r="223" spans="1:15" x14ac:dyDescent="0.3">
      <c r="A223" t="s">
        <v>2277</v>
      </c>
      <c r="B223" t="s">
        <v>1846</v>
      </c>
      <c r="C223" t="s">
        <v>1849</v>
      </c>
      <c r="D223">
        <v>5</v>
      </c>
      <c r="E223" t="s">
        <v>1447</v>
      </c>
      <c r="F223" t="s">
        <v>1852</v>
      </c>
      <c r="G223" t="s">
        <v>1806</v>
      </c>
      <c r="H223" t="s">
        <v>2279</v>
      </c>
      <c r="I223" t="s">
        <v>2279</v>
      </c>
      <c r="J223">
        <v>840904.7</v>
      </c>
      <c r="K223" t="s">
        <v>2279</v>
      </c>
      <c r="L223" t="s">
        <v>2279</v>
      </c>
      <c r="M223" t="s">
        <v>2279</v>
      </c>
      <c r="N223" t="s">
        <v>2279</v>
      </c>
      <c r="O223" s="190" t="str">
        <f>"["&amp;$C223&amp;"]["&amp;$D223&amp;"]["&amp;$F223&amp;"]"</f>
        <v>[S05_AggregateTotalEmissionsByCRF][5][TotalEmissionsTCo2e]</v>
      </c>
    </row>
    <row r="224" spans="1:15" x14ac:dyDescent="0.3">
      <c r="A224" t="s">
        <v>2277</v>
      </c>
      <c r="B224" t="s">
        <v>1846</v>
      </c>
      <c r="C224" t="s">
        <v>1849</v>
      </c>
      <c r="D224">
        <v>6</v>
      </c>
      <c r="E224" t="s">
        <v>1447</v>
      </c>
      <c r="F224" t="s">
        <v>1852</v>
      </c>
      <c r="G224" t="s">
        <v>1806</v>
      </c>
      <c r="H224" t="s">
        <v>2279</v>
      </c>
      <c r="I224" t="s">
        <v>2279</v>
      </c>
      <c r="J224">
        <v>66227.600000000006</v>
      </c>
      <c r="K224" t="s">
        <v>2279</v>
      </c>
      <c r="L224" t="s">
        <v>2279</v>
      </c>
      <c r="M224" t="s">
        <v>2279</v>
      </c>
      <c r="N224" t="s">
        <v>2279</v>
      </c>
      <c r="O224" s="190" t="str">
        <f>"["&amp;$C224&amp;"]["&amp;$D224&amp;"]["&amp;$F224&amp;"]"</f>
        <v>[S05_AggregateTotalEmissionsByCRF][6][TotalEmissionsTCo2e]</v>
      </c>
    </row>
    <row r="225" spans="1:15" x14ac:dyDescent="0.3">
      <c r="A225" t="s">
        <v>2277</v>
      </c>
      <c r="B225" t="s">
        <v>1846</v>
      </c>
      <c r="C225" t="s">
        <v>1849</v>
      </c>
      <c r="D225">
        <v>7</v>
      </c>
      <c r="E225" t="s">
        <v>1447</v>
      </c>
      <c r="F225" t="s">
        <v>1852</v>
      </c>
      <c r="G225" t="s">
        <v>1806</v>
      </c>
      <c r="H225" t="s">
        <v>2279</v>
      </c>
      <c r="I225" t="s">
        <v>2279</v>
      </c>
      <c r="J225">
        <v>70264.899999999994</v>
      </c>
      <c r="K225" t="s">
        <v>2279</v>
      </c>
      <c r="L225" t="s">
        <v>2279</v>
      </c>
      <c r="M225" t="s">
        <v>2279</v>
      </c>
      <c r="N225" t="s">
        <v>2279</v>
      </c>
      <c r="O225" s="190" t="str">
        <f>"["&amp;$C225&amp;"]["&amp;$D225&amp;"]["&amp;$F225&amp;"]"</f>
        <v>[S05_AggregateTotalEmissionsByCRF][7][TotalEmissionsTCo2e]</v>
      </c>
    </row>
    <row r="226" spans="1:15" x14ac:dyDescent="0.3">
      <c r="A226" t="s">
        <v>2277</v>
      </c>
      <c r="B226" t="s">
        <v>1846</v>
      </c>
      <c r="C226" t="s">
        <v>1849</v>
      </c>
      <c r="D226">
        <v>8</v>
      </c>
      <c r="E226" t="s">
        <v>1447</v>
      </c>
      <c r="F226" t="s">
        <v>1852</v>
      </c>
      <c r="G226" t="s">
        <v>1806</v>
      </c>
      <c r="H226" t="s">
        <v>2279</v>
      </c>
      <c r="I226" t="s">
        <v>2279</v>
      </c>
      <c r="J226">
        <v>65989.8</v>
      </c>
      <c r="K226" t="s">
        <v>2279</v>
      </c>
      <c r="L226" t="s">
        <v>2279</v>
      </c>
      <c r="M226" t="s">
        <v>2279</v>
      </c>
      <c r="N226" t="s">
        <v>2279</v>
      </c>
      <c r="O226" s="190" t="str">
        <f>"["&amp;$C226&amp;"]["&amp;$D226&amp;"]["&amp;$F226&amp;"]"</f>
        <v>[S05_AggregateTotalEmissionsByCRF][8][TotalEmissionsTCo2e]</v>
      </c>
    </row>
    <row r="227" spans="1:15" x14ac:dyDescent="0.3">
      <c r="A227" t="s">
        <v>2277</v>
      </c>
      <c r="B227" t="s">
        <v>1846</v>
      </c>
      <c r="C227" t="s">
        <v>1849</v>
      </c>
      <c r="D227">
        <v>9</v>
      </c>
      <c r="E227" t="s">
        <v>1447</v>
      </c>
      <c r="F227" t="s">
        <v>1852</v>
      </c>
      <c r="G227" t="s">
        <v>1806</v>
      </c>
      <c r="H227" t="s">
        <v>2279</v>
      </c>
      <c r="I227" t="s">
        <v>2279</v>
      </c>
      <c r="J227">
        <v>569859</v>
      </c>
      <c r="K227" t="s">
        <v>2279</v>
      </c>
      <c r="L227" t="s">
        <v>2279</v>
      </c>
      <c r="M227" t="s">
        <v>2279</v>
      </c>
      <c r="N227" t="s">
        <v>2279</v>
      </c>
      <c r="O227" s="190" t="str">
        <f>"["&amp;$C227&amp;"]["&amp;$D227&amp;"]["&amp;$F227&amp;"]"</f>
        <v>[S05_AggregateTotalEmissionsByCRF][9][TotalEmissionsTCo2e]</v>
      </c>
    </row>
    <row r="228" spans="1:15" x14ac:dyDescent="0.3">
      <c r="A228" t="s">
        <v>2277</v>
      </c>
      <c r="B228" t="s">
        <v>1846</v>
      </c>
      <c r="C228" t="s">
        <v>1849</v>
      </c>
      <c r="D228">
        <v>10</v>
      </c>
      <c r="E228" t="s">
        <v>1447</v>
      </c>
      <c r="F228" t="s">
        <v>1852</v>
      </c>
      <c r="G228" t="s">
        <v>1806</v>
      </c>
      <c r="H228" t="s">
        <v>2279</v>
      </c>
      <c r="I228" t="s">
        <v>2279</v>
      </c>
      <c r="J228">
        <v>468992.8</v>
      </c>
      <c r="K228" t="s">
        <v>2279</v>
      </c>
      <c r="L228" t="s">
        <v>2279</v>
      </c>
      <c r="M228" t="s">
        <v>2279</v>
      </c>
      <c r="N228" t="s">
        <v>2279</v>
      </c>
      <c r="O228" s="190" t="str">
        <f>"["&amp;$C228&amp;"]["&amp;$D228&amp;"]["&amp;$F228&amp;"]"</f>
        <v>[S05_AggregateTotalEmissionsByCRF][10][TotalEmissionsTCo2e]</v>
      </c>
    </row>
    <row r="229" spans="1:15" x14ac:dyDescent="0.3">
      <c r="A229" t="s">
        <v>2277</v>
      </c>
      <c r="B229" t="s">
        <v>1846</v>
      </c>
      <c r="C229" t="s">
        <v>1849</v>
      </c>
      <c r="D229">
        <v>11</v>
      </c>
      <c r="E229" t="s">
        <v>1447</v>
      </c>
      <c r="F229" t="s">
        <v>1852</v>
      </c>
      <c r="G229" t="s">
        <v>1806</v>
      </c>
      <c r="H229" t="s">
        <v>2279</v>
      </c>
      <c r="I229" t="s">
        <v>2279</v>
      </c>
      <c r="J229">
        <v>269783.8</v>
      </c>
      <c r="K229" t="s">
        <v>2279</v>
      </c>
      <c r="L229" t="s">
        <v>2279</v>
      </c>
      <c r="M229" t="s">
        <v>2279</v>
      </c>
      <c r="N229" t="s">
        <v>2279</v>
      </c>
      <c r="O229" s="190" t="str">
        <f>"["&amp;$C229&amp;"]["&amp;$D229&amp;"]["&amp;$F229&amp;"]"</f>
        <v>[S05_AggregateTotalEmissionsByCRF][11][TotalEmissionsTCo2e]</v>
      </c>
    </row>
    <row r="230" spans="1:15" x14ac:dyDescent="0.3">
      <c r="A230" t="s">
        <v>2277</v>
      </c>
      <c r="B230" t="s">
        <v>1846</v>
      </c>
      <c r="C230" t="s">
        <v>1849</v>
      </c>
      <c r="D230">
        <v>12</v>
      </c>
      <c r="E230" t="s">
        <v>1447</v>
      </c>
      <c r="F230" t="s">
        <v>1852</v>
      </c>
      <c r="G230" t="s">
        <v>1806</v>
      </c>
      <c r="H230" t="s">
        <v>2279</v>
      </c>
      <c r="I230" t="s">
        <v>2279</v>
      </c>
      <c r="J230">
        <v>1818.9</v>
      </c>
      <c r="K230" t="s">
        <v>2279</v>
      </c>
      <c r="L230" t="s">
        <v>2279</v>
      </c>
      <c r="M230" t="s">
        <v>2279</v>
      </c>
      <c r="N230" t="s">
        <v>2279</v>
      </c>
      <c r="O230" s="190" t="str">
        <f>"["&amp;$C230&amp;"]["&amp;$D230&amp;"]["&amp;$F230&amp;"]"</f>
        <v>[S05_AggregateTotalEmissionsByCRF][12][TotalEmissionsTCo2e]</v>
      </c>
    </row>
    <row r="231" spans="1:15" x14ac:dyDescent="0.3">
      <c r="A231" t="s">
        <v>2277</v>
      </c>
      <c r="B231" t="s">
        <v>1846</v>
      </c>
      <c r="C231" t="s">
        <v>1849</v>
      </c>
      <c r="D231">
        <v>13</v>
      </c>
      <c r="E231" t="s">
        <v>1447</v>
      </c>
      <c r="F231" t="s">
        <v>1852</v>
      </c>
      <c r="G231" t="s">
        <v>1806</v>
      </c>
      <c r="H231" t="s">
        <v>2279</v>
      </c>
      <c r="I231" t="s">
        <v>2279</v>
      </c>
      <c r="J231">
        <v>3350029.3</v>
      </c>
      <c r="K231" t="s">
        <v>2279</v>
      </c>
      <c r="L231" t="s">
        <v>2279</v>
      </c>
      <c r="M231" t="s">
        <v>2279</v>
      </c>
      <c r="N231" t="s">
        <v>2279</v>
      </c>
      <c r="O231" s="190" t="str">
        <f>"["&amp;$C231&amp;"]["&amp;$D231&amp;"]["&amp;$F231&amp;"]"</f>
        <v>[S05_AggregateTotalEmissionsByCRF][13][TotalEmissionsTCo2e]</v>
      </c>
    </row>
    <row r="232" spans="1:15" x14ac:dyDescent="0.3">
      <c r="A232" t="s">
        <v>2277</v>
      </c>
      <c r="B232" t="s">
        <v>1846</v>
      </c>
      <c r="C232" t="s">
        <v>1849</v>
      </c>
      <c r="D232">
        <v>14</v>
      </c>
      <c r="E232" t="s">
        <v>1447</v>
      </c>
      <c r="F232" t="s">
        <v>1852</v>
      </c>
      <c r="G232" t="s">
        <v>1806</v>
      </c>
      <c r="H232" t="s">
        <v>2279</v>
      </c>
      <c r="I232" t="s">
        <v>2279</v>
      </c>
      <c r="J232">
        <v>478321.1</v>
      </c>
      <c r="K232" t="s">
        <v>2279</v>
      </c>
      <c r="L232" t="s">
        <v>2279</v>
      </c>
      <c r="M232" t="s">
        <v>2279</v>
      </c>
      <c r="N232" t="s">
        <v>2279</v>
      </c>
      <c r="O232" s="190" t="str">
        <f>"["&amp;$C232&amp;"]["&amp;$D232&amp;"]["&amp;$F232&amp;"]"</f>
        <v>[S05_AggregateTotalEmissionsByCRF][14][TotalEmissionsTCo2e]</v>
      </c>
    </row>
    <row r="233" spans="1:15" x14ac:dyDescent="0.3">
      <c r="A233" t="s">
        <v>2277</v>
      </c>
      <c r="B233" t="s">
        <v>1846</v>
      </c>
      <c r="C233" t="s">
        <v>1849</v>
      </c>
      <c r="D233">
        <v>15</v>
      </c>
      <c r="E233" t="s">
        <v>1447</v>
      </c>
      <c r="F233" t="s">
        <v>1852</v>
      </c>
      <c r="G233" t="s">
        <v>1806</v>
      </c>
      <c r="H233" t="s">
        <v>2279</v>
      </c>
      <c r="I233" t="s">
        <v>2279</v>
      </c>
      <c r="J233">
        <v>608681</v>
      </c>
      <c r="K233" t="s">
        <v>2279</v>
      </c>
      <c r="L233" t="s">
        <v>2279</v>
      </c>
      <c r="M233" t="s">
        <v>2279</v>
      </c>
      <c r="N233" t="s">
        <v>2279</v>
      </c>
      <c r="O233" s="190" t="str">
        <f>"["&amp;$C233&amp;"]["&amp;$D233&amp;"]["&amp;$F233&amp;"]"</f>
        <v>[S05_AggregateTotalEmissionsByCRF][15][TotalEmissionsTCo2e]</v>
      </c>
    </row>
    <row r="234" spans="1:15" x14ac:dyDescent="0.3">
      <c r="A234" t="s">
        <v>2277</v>
      </c>
      <c r="B234" t="s">
        <v>1846</v>
      </c>
      <c r="C234" t="s">
        <v>1849</v>
      </c>
      <c r="D234">
        <v>16</v>
      </c>
      <c r="E234" t="s">
        <v>1447</v>
      </c>
      <c r="F234" t="s">
        <v>1852</v>
      </c>
      <c r="G234" t="s">
        <v>1806</v>
      </c>
      <c r="H234" t="s">
        <v>2279</v>
      </c>
      <c r="I234" t="s">
        <v>2279</v>
      </c>
      <c r="J234">
        <v>513277.4</v>
      </c>
      <c r="K234" t="s">
        <v>2279</v>
      </c>
      <c r="L234" t="s">
        <v>2279</v>
      </c>
      <c r="M234" t="s">
        <v>2279</v>
      </c>
      <c r="N234" t="s">
        <v>2279</v>
      </c>
      <c r="O234" s="190" t="str">
        <f>"["&amp;$C234&amp;"]["&amp;$D234&amp;"]["&amp;$F234&amp;"]"</f>
        <v>[S05_AggregateTotalEmissionsByCRF][16][TotalEmissionsTCo2e]</v>
      </c>
    </row>
    <row r="235" spans="1:15" x14ac:dyDescent="0.3">
      <c r="A235" t="s">
        <v>2277</v>
      </c>
      <c r="B235" t="s">
        <v>1846</v>
      </c>
      <c r="C235" t="s">
        <v>1849</v>
      </c>
      <c r="D235">
        <v>17</v>
      </c>
      <c r="E235" t="s">
        <v>1447</v>
      </c>
      <c r="F235" t="s">
        <v>1852</v>
      </c>
      <c r="G235" t="s">
        <v>1806</v>
      </c>
      <c r="H235" t="s">
        <v>2279</v>
      </c>
      <c r="I235" t="s">
        <v>2279</v>
      </c>
      <c r="J235">
        <v>195774</v>
      </c>
      <c r="K235" t="s">
        <v>2279</v>
      </c>
      <c r="L235" t="s">
        <v>2279</v>
      </c>
      <c r="M235" t="s">
        <v>2279</v>
      </c>
      <c r="N235" t="s">
        <v>2279</v>
      </c>
      <c r="O235" s="190" t="str">
        <f>"["&amp;$C235&amp;"]["&amp;$D235&amp;"]["&amp;$F235&amp;"]"</f>
        <v>[S05_AggregateTotalEmissionsByCRF][17][TotalEmissionsTCo2e]</v>
      </c>
    </row>
    <row r="236" spans="1:15" x14ac:dyDescent="0.3">
      <c r="A236" t="s">
        <v>2277</v>
      </c>
      <c r="B236" t="s">
        <v>1846</v>
      </c>
      <c r="C236" t="s">
        <v>1849</v>
      </c>
      <c r="D236">
        <v>1</v>
      </c>
      <c r="E236" t="s">
        <v>1447</v>
      </c>
      <c r="F236" t="s">
        <v>1853</v>
      </c>
      <c r="G236" t="s">
        <v>1806</v>
      </c>
      <c r="H236" t="s">
        <v>2279</v>
      </c>
      <c r="I236" t="s">
        <v>2279</v>
      </c>
      <c r="J236">
        <v>5053489</v>
      </c>
      <c r="K236" t="s">
        <v>2279</v>
      </c>
      <c r="L236" t="s">
        <v>2279</v>
      </c>
      <c r="M236" t="s">
        <v>2279</v>
      </c>
      <c r="N236" t="s">
        <v>2279</v>
      </c>
      <c r="O236" s="190" t="str">
        <f>"["&amp;$C236&amp;"]["&amp;$D236&amp;"]["&amp;$F236&amp;"]"</f>
        <v>[S05_AggregateTotalEmissionsByCRF][1][TotalCombustionEmissionsTCo2e]</v>
      </c>
    </row>
    <row r="237" spans="1:15" x14ac:dyDescent="0.3">
      <c r="A237" t="s">
        <v>2277</v>
      </c>
      <c r="B237" t="s">
        <v>1846</v>
      </c>
      <c r="C237" t="s">
        <v>1849</v>
      </c>
      <c r="D237">
        <v>2</v>
      </c>
      <c r="E237" t="s">
        <v>1447</v>
      </c>
      <c r="F237" t="s">
        <v>1853</v>
      </c>
      <c r="G237" t="s">
        <v>1806</v>
      </c>
      <c r="H237" t="s">
        <v>2279</v>
      </c>
      <c r="I237" t="s">
        <v>2279</v>
      </c>
      <c r="J237">
        <v>699731.4</v>
      </c>
      <c r="K237" t="s">
        <v>2279</v>
      </c>
      <c r="L237" t="s">
        <v>2279</v>
      </c>
      <c r="M237" t="s">
        <v>2279</v>
      </c>
      <c r="N237" t="s">
        <v>2279</v>
      </c>
      <c r="O237" s="190" t="str">
        <f>"["&amp;$C237&amp;"]["&amp;$D237&amp;"]["&amp;$F237&amp;"]"</f>
        <v>[S05_AggregateTotalEmissionsByCRF][2][TotalCombustionEmissionsTCo2e]</v>
      </c>
    </row>
    <row r="238" spans="1:15" x14ac:dyDescent="0.3">
      <c r="A238" t="s">
        <v>2277</v>
      </c>
      <c r="B238" t="s">
        <v>1846</v>
      </c>
      <c r="C238" t="s">
        <v>1849</v>
      </c>
      <c r="D238">
        <v>3</v>
      </c>
      <c r="E238" t="s">
        <v>1447</v>
      </c>
      <c r="F238" t="s">
        <v>1853</v>
      </c>
      <c r="G238" t="s">
        <v>1806</v>
      </c>
      <c r="H238" t="s">
        <v>2279</v>
      </c>
      <c r="I238" t="s">
        <v>2279</v>
      </c>
      <c r="J238">
        <v>1854824.8</v>
      </c>
      <c r="K238" t="s">
        <v>2279</v>
      </c>
      <c r="L238" t="s">
        <v>2279</v>
      </c>
      <c r="M238" t="s">
        <v>2279</v>
      </c>
      <c r="N238" t="s">
        <v>2279</v>
      </c>
      <c r="O238" s="190" t="str">
        <f>"["&amp;$C238&amp;"]["&amp;$D238&amp;"]["&amp;$F238&amp;"]"</f>
        <v>[S05_AggregateTotalEmissionsByCRF][3][TotalCombustionEmissionsTCo2e]</v>
      </c>
    </row>
    <row r="239" spans="1:15" x14ac:dyDescent="0.3">
      <c r="A239" t="s">
        <v>2277</v>
      </c>
      <c r="B239" t="s">
        <v>1846</v>
      </c>
      <c r="C239" t="s">
        <v>1849</v>
      </c>
      <c r="D239">
        <v>4</v>
      </c>
      <c r="E239" t="s">
        <v>1447</v>
      </c>
      <c r="F239" t="s">
        <v>1853</v>
      </c>
      <c r="G239" t="s">
        <v>1806</v>
      </c>
      <c r="H239" t="s">
        <v>2279</v>
      </c>
      <c r="I239" t="s">
        <v>2279</v>
      </c>
      <c r="J239">
        <v>84789.1</v>
      </c>
      <c r="K239" t="s">
        <v>2279</v>
      </c>
      <c r="L239" t="s">
        <v>2279</v>
      </c>
      <c r="M239" t="s">
        <v>2279</v>
      </c>
      <c r="N239" t="s">
        <v>2279</v>
      </c>
      <c r="O239" s="190" t="str">
        <f>"["&amp;$C239&amp;"]["&amp;$D239&amp;"]["&amp;$F239&amp;"]"</f>
        <v>[S05_AggregateTotalEmissionsByCRF][4][TotalCombustionEmissionsTCo2e]</v>
      </c>
    </row>
    <row r="240" spans="1:15" x14ac:dyDescent="0.3">
      <c r="A240" t="s">
        <v>2277</v>
      </c>
      <c r="B240" t="s">
        <v>1846</v>
      </c>
      <c r="C240" t="s">
        <v>1849</v>
      </c>
      <c r="D240">
        <v>5</v>
      </c>
      <c r="E240" t="s">
        <v>1447</v>
      </c>
      <c r="F240" t="s">
        <v>1853</v>
      </c>
      <c r="G240" t="s">
        <v>1806</v>
      </c>
      <c r="H240" t="s">
        <v>2279</v>
      </c>
      <c r="I240" t="s">
        <v>2279</v>
      </c>
      <c r="J240">
        <v>840904.7</v>
      </c>
      <c r="K240" t="s">
        <v>2279</v>
      </c>
      <c r="L240" t="s">
        <v>2279</v>
      </c>
      <c r="M240" t="s">
        <v>2279</v>
      </c>
      <c r="N240" t="s">
        <v>2279</v>
      </c>
      <c r="O240" s="190" t="str">
        <f>"["&amp;$C240&amp;"]["&amp;$D240&amp;"]["&amp;$F240&amp;"]"</f>
        <v>[S05_AggregateTotalEmissionsByCRF][5][TotalCombustionEmissionsTCo2e]</v>
      </c>
    </row>
    <row r="241" spans="1:15" x14ac:dyDescent="0.3">
      <c r="A241" t="s">
        <v>2277</v>
      </c>
      <c r="B241" t="s">
        <v>1846</v>
      </c>
      <c r="C241" t="s">
        <v>1849</v>
      </c>
      <c r="D241">
        <v>6</v>
      </c>
      <c r="E241" t="s">
        <v>1447</v>
      </c>
      <c r="F241" t="s">
        <v>1853</v>
      </c>
      <c r="G241" t="s">
        <v>1806</v>
      </c>
      <c r="H241" t="s">
        <v>2279</v>
      </c>
      <c r="I241" t="s">
        <v>2279</v>
      </c>
      <c r="J241">
        <v>20362.8</v>
      </c>
      <c r="K241" t="s">
        <v>2279</v>
      </c>
      <c r="L241" t="s">
        <v>2279</v>
      </c>
      <c r="M241" t="s">
        <v>2279</v>
      </c>
      <c r="N241" t="s">
        <v>2279</v>
      </c>
      <c r="O241" s="190" t="str">
        <f>"["&amp;$C241&amp;"]["&amp;$D241&amp;"]["&amp;$F241&amp;"]"</f>
        <v>[S05_AggregateTotalEmissionsByCRF][6][TotalCombustionEmissionsTCo2e]</v>
      </c>
    </row>
    <row r="242" spans="1:15" x14ac:dyDescent="0.3">
      <c r="A242" t="s">
        <v>2277</v>
      </c>
      <c r="B242" t="s">
        <v>1846</v>
      </c>
      <c r="C242" t="s">
        <v>1849</v>
      </c>
      <c r="D242">
        <v>7</v>
      </c>
      <c r="E242" t="s">
        <v>1447</v>
      </c>
      <c r="F242" t="s">
        <v>1853</v>
      </c>
      <c r="G242" t="s">
        <v>1806</v>
      </c>
      <c r="H242" t="s">
        <v>2279</v>
      </c>
      <c r="I242" t="s">
        <v>2279</v>
      </c>
      <c r="J242">
        <v>3625.5</v>
      </c>
      <c r="K242" t="s">
        <v>2279</v>
      </c>
      <c r="L242" t="s">
        <v>2279</v>
      </c>
      <c r="M242" t="s">
        <v>2279</v>
      </c>
      <c r="N242" t="s">
        <v>2279</v>
      </c>
      <c r="O242" s="190" t="str">
        <f>"["&amp;$C242&amp;"]["&amp;$D242&amp;"]["&amp;$F242&amp;"]"</f>
        <v>[S05_AggregateTotalEmissionsByCRF][7][TotalCombustionEmissionsTCo2e]</v>
      </c>
    </row>
    <row r="243" spans="1:15" x14ac:dyDescent="0.3">
      <c r="A243" t="s">
        <v>2277</v>
      </c>
      <c r="B243" t="s">
        <v>1846</v>
      </c>
      <c r="C243" t="s">
        <v>1849</v>
      </c>
      <c r="D243">
        <v>8</v>
      </c>
      <c r="E243" t="s">
        <v>1447</v>
      </c>
      <c r="F243" t="s">
        <v>1853</v>
      </c>
      <c r="G243" t="s">
        <v>1806</v>
      </c>
      <c r="H243" t="s">
        <v>2279</v>
      </c>
      <c r="I243" t="s">
        <v>2279</v>
      </c>
      <c r="J243">
        <v>12.2</v>
      </c>
      <c r="K243" t="s">
        <v>2279</v>
      </c>
      <c r="L243" t="s">
        <v>2279</v>
      </c>
      <c r="M243" t="s">
        <v>2279</v>
      </c>
      <c r="N243" t="s">
        <v>2279</v>
      </c>
      <c r="O243" s="190" t="str">
        <f>"["&amp;$C243&amp;"]["&amp;$D243&amp;"]["&amp;$F243&amp;"]"</f>
        <v>[S05_AggregateTotalEmissionsByCRF][8][TotalCombustionEmissionsTCo2e]</v>
      </c>
    </row>
    <row r="244" spans="1:15" x14ac:dyDescent="0.3">
      <c r="A244" t="s">
        <v>2277</v>
      </c>
      <c r="B244" t="s">
        <v>1846</v>
      </c>
      <c r="C244" t="s">
        <v>1849</v>
      </c>
      <c r="D244">
        <v>9</v>
      </c>
      <c r="E244" t="s">
        <v>1447</v>
      </c>
      <c r="F244" t="s">
        <v>1853</v>
      </c>
      <c r="G244" t="s">
        <v>1806</v>
      </c>
      <c r="H244" t="s">
        <v>2279</v>
      </c>
      <c r="I244" t="s">
        <v>2279</v>
      </c>
      <c r="J244">
        <v>569859</v>
      </c>
      <c r="K244" t="s">
        <v>2279</v>
      </c>
      <c r="L244" t="s">
        <v>2279</v>
      </c>
      <c r="M244" t="s">
        <v>2279</v>
      </c>
      <c r="N244" t="s">
        <v>2279</v>
      </c>
      <c r="O244" s="190" t="str">
        <f>"["&amp;$C244&amp;"]["&amp;$D244&amp;"]["&amp;$F244&amp;"]"</f>
        <v>[S05_AggregateTotalEmissionsByCRF][9][TotalCombustionEmissionsTCo2e]</v>
      </c>
    </row>
    <row r="245" spans="1:15" x14ac:dyDescent="0.3">
      <c r="A245" t="s">
        <v>2277</v>
      </c>
      <c r="B245" t="s">
        <v>1846</v>
      </c>
      <c r="C245" t="s">
        <v>1849</v>
      </c>
      <c r="D245">
        <v>10</v>
      </c>
      <c r="E245" t="s">
        <v>1447</v>
      </c>
      <c r="F245" t="s">
        <v>1853</v>
      </c>
      <c r="G245" t="s">
        <v>1806</v>
      </c>
      <c r="H245" t="s">
        <v>2279</v>
      </c>
      <c r="I245" t="s">
        <v>2279</v>
      </c>
      <c r="J245">
        <v>459193.3</v>
      </c>
      <c r="K245" t="s">
        <v>2279</v>
      </c>
      <c r="L245" t="s">
        <v>2279</v>
      </c>
      <c r="M245" t="s">
        <v>2279</v>
      </c>
      <c r="N245" t="s">
        <v>2279</v>
      </c>
      <c r="O245" s="190" t="str">
        <f>"["&amp;$C245&amp;"]["&amp;$D245&amp;"]["&amp;$F245&amp;"]"</f>
        <v>[S05_AggregateTotalEmissionsByCRF][10][TotalCombustionEmissionsTCo2e]</v>
      </c>
    </row>
    <row r="246" spans="1:15" x14ac:dyDescent="0.3">
      <c r="A246" t="s">
        <v>2277</v>
      </c>
      <c r="B246" t="s">
        <v>1846</v>
      </c>
      <c r="C246" t="s">
        <v>1849</v>
      </c>
      <c r="D246">
        <v>11</v>
      </c>
      <c r="E246" t="s">
        <v>1447</v>
      </c>
      <c r="F246" t="s">
        <v>1853</v>
      </c>
      <c r="G246" t="s">
        <v>1806</v>
      </c>
      <c r="H246" t="s">
        <v>2279</v>
      </c>
      <c r="I246" t="s">
        <v>2279</v>
      </c>
      <c r="J246">
        <v>269783.8</v>
      </c>
      <c r="K246" t="s">
        <v>2279</v>
      </c>
      <c r="L246" t="s">
        <v>2279</v>
      </c>
      <c r="M246" t="s">
        <v>2279</v>
      </c>
      <c r="N246" t="s">
        <v>2279</v>
      </c>
      <c r="O246" s="190" t="str">
        <f>"["&amp;$C246&amp;"]["&amp;$D246&amp;"]["&amp;$F246&amp;"]"</f>
        <v>[S05_AggregateTotalEmissionsByCRF][11][TotalCombustionEmissionsTCo2e]</v>
      </c>
    </row>
    <row r="247" spans="1:15" x14ac:dyDescent="0.3">
      <c r="A247" t="s">
        <v>2277</v>
      </c>
      <c r="B247" t="s">
        <v>1846</v>
      </c>
      <c r="C247" t="s">
        <v>1849</v>
      </c>
      <c r="D247">
        <v>12</v>
      </c>
      <c r="E247" t="s">
        <v>1447</v>
      </c>
      <c r="F247" t="s">
        <v>1853</v>
      </c>
      <c r="G247" t="s">
        <v>1806</v>
      </c>
      <c r="H247" t="s">
        <v>2279</v>
      </c>
      <c r="I247" t="s">
        <v>2279</v>
      </c>
      <c r="J247">
        <v>1818.9</v>
      </c>
      <c r="K247" t="s">
        <v>2279</v>
      </c>
      <c r="L247" t="s">
        <v>2279</v>
      </c>
      <c r="M247" t="s">
        <v>2279</v>
      </c>
      <c r="N247" t="s">
        <v>2279</v>
      </c>
      <c r="O247" s="190" t="str">
        <f>"["&amp;$C247&amp;"]["&amp;$D247&amp;"]["&amp;$F247&amp;"]"</f>
        <v>[S05_AggregateTotalEmissionsByCRF][12][TotalCombustionEmissionsTCo2e]</v>
      </c>
    </row>
    <row r="248" spans="1:15" x14ac:dyDescent="0.3">
      <c r="A248" t="s">
        <v>2277</v>
      </c>
      <c r="B248" t="s">
        <v>1846</v>
      </c>
      <c r="C248" t="s">
        <v>1849</v>
      </c>
      <c r="D248">
        <v>13</v>
      </c>
      <c r="E248" t="s">
        <v>1447</v>
      </c>
      <c r="F248" t="s">
        <v>1853</v>
      </c>
      <c r="G248" t="s">
        <v>1806</v>
      </c>
      <c r="H248" t="s">
        <v>2279</v>
      </c>
      <c r="I248" t="s">
        <v>2279</v>
      </c>
      <c r="J248">
        <v>1244110.7</v>
      </c>
      <c r="K248" t="s">
        <v>2279</v>
      </c>
      <c r="L248" t="s">
        <v>2279</v>
      </c>
      <c r="M248" t="s">
        <v>2279</v>
      </c>
      <c r="N248" t="s">
        <v>2279</v>
      </c>
      <c r="O248" s="190" t="str">
        <f>"["&amp;$C248&amp;"]["&amp;$D248&amp;"]["&amp;$F248&amp;"]"</f>
        <v>[S05_AggregateTotalEmissionsByCRF][13][TotalCombustionEmissionsTCo2e]</v>
      </c>
    </row>
    <row r="249" spans="1:15" x14ac:dyDescent="0.3">
      <c r="A249" t="s">
        <v>2277</v>
      </c>
      <c r="B249" t="s">
        <v>1846</v>
      </c>
      <c r="C249" t="s">
        <v>1849</v>
      </c>
      <c r="D249">
        <v>14</v>
      </c>
      <c r="E249" t="s">
        <v>1447</v>
      </c>
      <c r="F249" t="s">
        <v>1853</v>
      </c>
      <c r="G249" t="s">
        <v>1806</v>
      </c>
      <c r="H249" t="s">
        <v>2279</v>
      </c>
      <c r="I249" t="s">
        <v>2279</v>
      </c>
      <c r="J249">
        <v>101594.5</v>
      </c>
      <c r="K249" t="s">
        <v>2279</v>
      </c>
      <c r="L249" t="s">
        <v>2279</v>
      </c>
      <c r="M249" t="s">
        <v>2279</v>
      </c>
      <c r="N249" t="s">
        <v>2279</v>
      </c>
      <c r="O249" s="190" t="str">
        <f>"["&amp;$C249&amp;"]["&amp;$D249&amp;"]["&amp;$F249&amp;"]"</f>
        <v>[S05_AggregateTotalEmissionsByCRF][14][TotalCombustionEmissionsTCo2e]</v>
      </c>
    </row>
    <row r="250" spans="1:15" x14ac:dyDescent="0.3">
      <c r="A250" t="s">
        <v>2277</v>
      </c>
      <c r="B250" t="s">
        <v>1846</v>
      </c>
      <c r="C250" t="s">
        <v>1849</v>
      </c>
      <c r="D250">
        <v>15</v>
      </c>
      <c r="E250" t="s">
        <v>1447</v>
      </c>
      <c r="F250" t="s">
        <v>1853</v>
      </c>
      <c r="G250" t="s">
        <v>1806</v>
      </c>
      <c r="H250" t="s">
        <v>2279</v>
      </c>
      <c r="I250" t="s">
        <v>2279</v>
      </c>
      <c r="J250">
        <v>450808</v>
      </c>
      <c r="K250" t="s">
        <v>2279</v>
      </c>
      <c r="L250" t="s">
        <v>2279</v>
      </c>
      <c r="M250" t="s">
        <v>2279</v>
      </c>
      <c r="N250" t="s">
        <v>2279</v>
      </c>
      <c r="O250" s="190" t="str">
        <f>"["&amp;$C250&amp;"]["&amp;$D250&amp;"]["&amp;$F250&amp;"]"</f>
        <v>[S05_AggregateTotalEmissionsByCRF][15][TotalCombustionEmissionsTCo2e]</v>
      </c>
    </row>
    <row r="251" spans="1:15" x14ac:dyDescent="0.3">
      <c r="A251" t="s">
        <v>2277</v>
      </c>
      <c r="B251" t="s">
        <v>1846</v>
      </c>
      <c r="C251" t="s">
        <v>1849</v>
      </c>
      <c r="D251">
        <v>16</v>
      </c>
      <c r="E251" t="s">
        <v>1447</v>
      </c>
      <c r="F251" t="s">
        <v>1853</v>
      </c>
      <c r="G251" t="s">
        <v>1806</v>
      </c>
      <c r="H251" t="s">
        <v>2279</v>
      </c>
      <c r="I251" t="s">
        <v>2279</v>
      </c>
      <c r="J251">
        <v>457871</v>
      </c>
      <c r="K251" t="s">
        <v>2279</v>
      </c>
      <c r="L251" t="s">
        <v>2279</v>
      </c>
      <c r="M251" t="s">
        <v>2279</v>
      </c>
      <c r="N251" t="s">
        <v>2279</v>
      </c>
      <c r="O251" s="190" t="str">
        <f>"["&amp;$C251&amp;"]["&amp;$D251&amp;"]["&amp;$F251&amp;"]"</f>
        <v>[S05_AggregateTotalEmissionsByCRF][16][TotalCombustionEmissionsTCo2e]</v>
      </c>
    </row>
    <row r="252" spans="1:15" x14ac:dyDescent="0.3">
      <c r="A252" t="s">
        <v>2277</v>
      </c>
      <c r="B252" t="s">
        <v>1846</v>
      </c>
      <c r="C252" t="s">
        <v>1849</v>
      </c>
      <c r="D252">
        <v>17</v>
      </c>
      <c r="E252" t="s">
        <v>1447</v>
      </c>
      <c r="F252" t="s">
        <v>1853</v>
      </c>
      <c r="G252" t="s">
        <v>1806</v>
      </c>
      <c r="H252" t="s">
        <v>2279</v>
      </c>
      <c r="I252" t="s">
        <v>2279</v>
      </c>
      <c r="J252">
        <v>195774</v>
      </c>
      <c r="K252" t="s">
        <v>2279</v>
      </c>
      <c r="L252" t="s">
        <v>2279</v>
      </c>
      <c r="M252" t="s">
        <v>2279</v>
      </c>
      <c r="N252" t="s">
        <v>2279</v>
      </c>
      <c r="O252" s="190" t="str">
        <f>"["&amp;$C252&amp;"]["&amp;$D252&amp;"]["&amp;$F252&amp;"]"</f>
        <v>[S05_AggregateTotalEmissionsByCRF][17][TotalCombustionEmissionsTCo2e]</v>
      </c>
    </row>
    <row r="253" spans="1:15" x14ac:dyDescent="0.3">
      <c r="A253" t="s">
        <v>2277</v>
      </c>
      <c r="B253" t="s">
        <v>1846</v>
      </c>
      <c r="C253" t="s">
        <v>1849</v>
      </c>
      <c r="D253">
        <v>1</v>
      </c>
      <c r="E253" t="s">
        <v>1447</v>
      </c>
      <c r="F253" t="s">
        <v>1854</v>
      </c>
      <c r="G253" t="s">
        <v>1806</v>
      </c>
      <c r="H253" t="s">
        <v>2279</v>
      </c>
      <c r="I253" t="s">
        <v>2279</v>
      </c>
      <c r="J253">
        <v>0</v>
      </c>
      <c r="K253" t="s">
        <v>2279</v>
      </c>
      <c r="L253" t="s">
        <v>2279</v>
      </c>
      <c r="M253" t="s">
        <v>2279</v>
      </c>
      <c r="N253" t="s">
        <v>2279</v>
      </c>
      <c r="O253" s="190" t="str">
        <f>"["&amp;$C253&amp;"]["&amp;$D253&amp;"]["&amp;$F253&amp;"]"</f>
        <v>[S05_AggregateTotalEmissionsByCRF][1][TotalProcessEmissionsTCo2e]</v>
      </c>
    </row>
    <row r="254" spans="1:15" x14ac:dyDescent="0.3">
      <c r="A254" t="s">
        <v>2277</v>
      </c>
      <c r="B254" t="s">
        <v>1846</v>
      </c>
      <c r="C254" t="s">
        <v>1849</v>
      </c>
      <c r="D254">
        <v>2</v>
      </c>
      <c r="E254" t="s">
        <v>1447</v>
      </c>
      <c r="F254" t="s">
        <v>1854</v>
      </c>
      <c r="G254" t="s">
        <v>1806</v>
      </c>
      <c r="H254" t="s">
        <v>2279</v>
      </c>
      <c r="I254" t="s">
        <v>2279</v>
      </c>
      <c r="J254">
        <v>1179</v>
      </c>
      <c r="K254" t="s">
        <v>2279</v>
      </c>
      <c r="L254" t="s">
        <v>2279</v>
      </c>
      <c r="M254" t="s">
        <v>2279</v>
      </c>
      <c r="N254" t="s">
        <v>2279</v>
      </c>
      <c r="O254" s="190" t="str">
        <f>"["&amp;$C254&amp;"]["&amp;$D254&amp;"]["&amp;$F254&amp;"]"</f>
        <v>[S05_AggregateTotalEmissionsByCRF][2][TotalProcessEmissionsTCo2e]</v>
      </c>
    </row>
    <row r="255" spans="1:15" x14ac:dyDescent="0.3">
      <c r="A255" t="s">
        <v>2277</v>
      </c>
      <c r="B255" t="s">
        <v>1846</v>
      </c>
      <c r="C255" t="s">
        <v>1849</v>
      </c>
      <c r="D255">
        <v>3</v>
      </c>
      <c r="E255" t="s">
        <v>1447</v>
      </c>
      <c r="F255" t="s">
        <v>1854</v>
      </c>
      <c r="G255" t="s">
        <v>1806</v>
      </c>
      <c r="H255" t="s">
        <v>2279</v>
      </c>
      <c r="I255" t="s">
        <v>2279</v>
      </c>
      <c r="J255">
        <v>819233.1</v>
      </c>
      <c r="K255" t="s">
        <v>2279</v>
      </c>
      <c r="L255" t="s">
        <v>2279</v>
      </c>
      <c r="M255" t="s">
        <v>2279</v>
      </c>
      <c r="N255" t="s">
        <v>2279</v>
      </c>
      <c r="O255" s="190" t="str">
        <f>"["&amp;$C255&amp;"]["&amp;$D255&amp;"]["&amp;$F255&amp;"]"</f>
        <v>[S05_AggregateTotalEmissionsByCRF][3][TotalProcessEmissionsTCo2e]</v>
      </c>
    </row>
    <row r="256" spans="1:15" x14ac:dyDescent="0.3">
      <c r="A256" t="s">
        <v>2277</v>
      </c>
      <c r="B256" t="s">
        <v>1846</v>
      </c>
      <c r="C256" t="s">
        <v>1849</v>
      </c>
      <c r="D256">
        <v>4</v>
      </c>
      <c r="E256" t="s">
        <v>1447</v>
      </c>
      <c r="F256" t="s">
        <v>1854</v>
      </c>
      <c r="G256" t="s">
        <v>1806</v>
      </c>
      <c r="H256" t="s">
        <v>2279</v>
      </c>
      <c r="I256" t="s">
        <v>2279</v>
      </c>
      <c r="J256">
        <v>44007.4</v>
      </c>
      <c r="K256" t="s">
        <v>2279</v>
      </c>
      <c r="L256" t="s">
        <v>2279</v>
      </c>
      <c r="M256" t="s">
        <v>2279</v>
      </c>
      <c r="N256" t="s">
        <v>2279</v>
      </c>
      <c r="O256" s="190" t="str">
        <f>"["&amp;$C256&amp;"]["&amp;$D256&amp;"]["&amp;$F256&amp;"]"</f>
        <v>[S05_AggregateTotalEmissionsByCRF][4][TotalProcessEmissionsTCo2e]</v>
      </c>
    </row>
    <row r="257" spans="1:15" x14ac:dyDescent="0.3">
      <c r="A257" t="s">
        <v>2277</v>
      </c>
      <c r="B257" t="s">
        <v>1846</v>
      </c>
      <c r="C257" t="s">
        <v>1849</v>
      </c>
      <c r="D257">
        <v>5</v>
      </c>
      <c r="E257" t="s">
        <v>1447</v>
      </c>
      <c r="F257" t="s">
        <v>1854</v>
      </c>
      <c r="G257" t="s">
        <v>1806</v>
      </c>
      <c r="H257" t="s">
        <v>2279</v>
      </c>
      <c r="I257" t="s">
        <v>2279</v>
      </c>
      <c r="J257">
        <v>0</v>
      </c>
      <c r="K257" t="s">
        <v>2279</v>
      </c>
      <c r="L257" t="s">
        <v>2279</v>
      </c>
      <c r="M257" t="s">
        <v>2279</v>
      </c>
      <c r="N257" t="s">
        <v>2279</v>
      </c>
      <c r="O257" s="190" t="str">
        <f>"["&amp;$C257&amp;"]["&amp;$D257&amp;"]["&amp;$F257&amp;"]"</f>
        <v>[S05_AggregateTotalEmissionsByCRF][5][TotalProcessEmissionsTCo2e]</v>
      </c>
    </row>
    <row r="258" spans="1:15" x14ac:dyDescent="0.3">
      <c r="A258" t="s">
        <v>2277</v>
      </c>
      <c r="B258" t="s">
        <v>1846</v>
      </c>
      <c r="C258" t="s">
        <v>1849</v>
      </c>
      <c r="D258">
        <v>6</v>
      </c>
      <c r="E258" t="s">
        <v>1447</v>
      </c>
      <c r="F258" t="s">
        <v>1854</v>
      </c>
      <c r="G258" t="s">
        <v>1806</v>
      </c>
      <c r="H258" t="s">
        <v>2279</v>
      </c>
      <c r="I258" t="s">
        <v>2279</v>
      </c>
      <c r="J258">
        <v>45864.800000000003</v>
      </c>
      <c r="K258" t="s">
        <v>2279</v>
      </c>
      <c r="L258" t="s">
        <v>2279</v>
      </c>
      <c r="M258" t="s">
        <v>2279</v>
      </c>
      <c r="N258" t="s">
        <v>2279</v>
      </c>
      <c r="O258" s="190" t="str">
        <f>"["&amp;$C258&amp;"]["&amp;$D258&amp;"]["&amp;$F258&amp;"]"</f>
        <v>[S05_AggregateTotalEmissionsByCRF][6][TotalProcessEmissionsTCo2e]</v>
      </c>
    </row>
    <row r="259" spans="1:15" x14ac:dyDescent="0.3">
      <c r="A259" t="s">
        <v>2277</v>
      </c>
      <c r="B259" t="s">
        <v>1846</v>
      </c>
      <c r="C259" t="s">
        <v>1849</v>
      </c>
      <c r="D259">
        <v>7</v>
      </c>
      <c r="E259" t="s">
        <v>1447</v>
      </c>
      <c r="F259" t="s">
        <v>1854</v>
      </c>
      <c r="G259" t="s">
        <v>1806</v>
      </c>
      <c r="H259" t="s">
        <v>2279</v>
      </c>
      <c r="I259" t="s">
        <v>2279</v>
      </c>
      <c r="J259">
        <v>66639.399999999994</v>
      </c>
      <c r="K259" t="s">
        <v>2279</v>
      </c>
      <c r="L259" t="s">
        <v>2279</v>
      </c>
      <c r="M259" t="s">
        <v>2279</v>
      </c>
      <c r="N259" t="s">
        <v>2279</v>
      </c>
      <c r="O259" s="190" t="str">
        <f>"["&amp;$C259&amp;"]["&amp;$D259&amp;"]["&amp;$F259&amp;"]"</f>
        <v>[S05_AggregateTotalEmissionsByCRF][7][TotalProcessEmissionsTCo2e]</v>
      </c>
    </row>
    <row r="260" spans="1:15" x14ac:dyDescent="0.3">
      <c r="A260" t="s">
        <v>2277</v>
      </c>
      <c r="B260" t="s">
        <v>1846</v>
      </c>
      <c r="C260" t="s">
        <v>1849</v>
      </c>
      <c r="D260">
        <v>8</v>
      </c>
      <c r="E260" t="s">
        <v>1447</v>
      </c>
      <c r="F260" t="s">
        <v>1854</v>
      </c>
      <c r="G260" t="s">
        <v>1806</v>
      </c>
      <c r="H260" t="s">
        <v>2279</v>
      </c>
      <c r="I260" t="s">
        <v>2279</v>
      </c>
      <c r="J260">
        <v>65977.600000000006</v>
      </c>
      <c r="K260" t="s">
        <v>2279</v>
      </c>
      <c r="L260" t="s">
        <v>2279</v>
      </c>
      <c r="M260" t="s">
        <v>2279</v>
      </c>
      <c r="N260" t="s">
        <v>2279</v>
      </c>
      <c r="O260" s="190" t="str">
        <f>"["&amp;$C260&amp;"]["&amp;$D260&amp;"]["&amp;$F260&amp;"]"</f>
        <v>[S05_AggregateTotalEmissionsByCRF][8][TotalProcessEmissionsTCo2e]</v>
      </c>
    </row>
    <row r="261" spans="1:15" x14ac:dyDescent="0.3">
      <c r="A261" t="s">
        <v>2277</v>
      </c>
      <c r="B261" t="s">
        <v>1846</v>
      </c>
      <c r="C261" t="s">
        <v>1849</v>
      </c>
      <c r="D261">
        <v>9</v>
      </c>
      <c r="E261" t="s">
        <v>1447</v>
      </c>
      <c r="F261" t="s">
        <v>1854</v>
      </c>
      <c r="G261" t="s">
        <v>1806</v>
      </c>
      <c r="H261" t="s">
        <v>2279</v>
      </c>
      <c r="I261" t="s">
        <v>2279</v>
      </c>
      <c r="J261">
        <v>0</v>
      </c>
      <c r="K261" t="s">
        <v>2279</v>
      </c>
      <c r="L261" t="s">
        <v>2279</v>
      </c>
      <c r="M261" t="s">
        <v>2279</v>
      </c>
      <c r="N261" t="s">
        <v>2279</v>
      </c>
      <c r="O261" s="190" t="str">
        <f>"["&amp;$C261&amp;"]["&amp;$D261&amp;"]["&amp;$F261&amp;"]"</f>
        <v>[S05_AggregateTotalEmissionsByCRF][9][TotalProcessEmissionsTCo2e]</v>
      </c>
    </row>
    <row r="262" spans="1:15" x14ac:dyDescent="0.3">
      <c r="A262" t="s">
        <v>2277</v>
      </c>
      <c r="B262" t="s">
        <v>1846</v>
      </c>
      <c r="C262" t="s">
        <v>1849</v>
      </c>
      <c r="D262">
        <v>10</v>
      </c>
      <c r="E262" t="s">
        <v>1447</v>
      </c>
      <c r="F262" t="s">
        <v>1854</v>
      </c>
      <c r="G262" t="s">
        <v>1806</v>
      </c>
      <c r="H262" t="s">
        <v>2279</v>
      </c>
      <c r="I262" t="s">
        <v>2279</v>
      </c>
      <c r="J262">
        <v>9799.5</v>
      </c>
      <c r="K262" t="s">
        <v>2279</v>
      </c>
      <c r="L262" t="s">
        <v>2279</v>
      </c>
      <c r="M262" t="s">
        <v>2279</v>
      </c>
      <c r="N262" t="s">
        <v>2279</v>
      </c>
      <c r="O262" s="190" t="str">
        <f>"["&amp;$C262&amp;"]["&amp;$D262&amp;"]["&amp;$F262&amp;"]"</f>
        <v>[S05_AggregateTotalEmissionsByCRF][10][TotalProcessEmissionsTCo2e]</v>
      </c>
    </row>
    <row r="263" spans="1:15" x14ac:dyDescent="0.3">
      <c r="A263" t="s">
        <v>2277</v>
      </c>
      <c r="B263" t="s">
        <v>1846</v>
      </c>
      <c r="C263" t="s">
        <v>1849</v>
      </c>
      <c r="D263">
        <v>11</v>
      </c>
      <c r="E263" t="s">
        <v>1447</v>
      </c>
      <c r="F263" t="s">
        <v>1854</v>
      </c>
      <c r="G263" t="s">
        <v>1806</v>
      </c>
      <c r="H263" t="s">
        <v>2279</v>
      </c>
      <c r="I263" t="s">
        <v>2279</v>
      </c>
      <c r="J263">
        <v>0</v>
      </c>
      <c r="K263" t="s">
        <v>2279</v>
      </c>
      <c r="L263" t="s">
        <v>2279</v>
      </c>
      <c r="M263" t="s">
        <v>2279</v>
      </c>
      <c r="N263" t="s">
        <v>2279</v>
      </c>
      <c r="O263" s="190" t="str">
        <f>"["&amp;$C263&amp;"]["&amp;$D263&amp;"]["&amp;$F263&amp;"]"</f>
        <v>[S05_AggregateTotalEmissionsByCRF][11][TotalProcessEmissionsTCo2e]</v>
      </c>
    </row>
    <row r="264" spans="1:15" x14ac:dyDescent="0.3">
      <c r="A264" t="s">
        <v>2277</v>
      </c>
      <c r="B264" t="s">
        <v>1846</v>
      </c>
      <c r="C264" t="s">
        <v>1849</v>
      </c>
      <c r="D264">
        <v>12</v>
      </c>
      <c r="E264" t="s">
        <v>1447</v>
      </c>
      <c r="F264" t="s">
        <v>1854</v>
      </c>
      <c r="G264" t="s">
        <v>1806</v>
      </c>
      <c r="H264" t="s">
        <v>2279</v>
      </c>
      <c r="I264" t="s">
        <v>2279</v>
      </c>
      <c r="J264">
        <v>0</v>
      </c>
      <c r="K264" t="s">
        <v>2279</v>
      </c>
      <c r="L264" t="s">
        <v>2279</v>
      </c>
      <c r="M264" t="s">
        <v>2279</v>
      </c>
      <c r="N264" t="s">
        <v>2279</v>
      </c>
      <c r="O264" s="190" t="str">
        <f>"["&amp;$C264&amp;"]["&amp;$D264&amp;"]["&amp;$F264&amp;"]"</f>
        <v>[S05_AggregateTotalEmissionsByCRF][12][TotalProcessEmissionsTCo2e]</v>
      </c>
    </row>
    <row r="265" spans="1:15" x14ac:dyDescent="0.3">
      <c r="A265" t="s">
        <v>2277</v>
      </c>
      <c r="B265" t="s">
        <v>1846</v>
      </c>
      <c r="C265" t="s">
        <v>1849</v>
      </c>
      <c r="D265">
        <v>13</v>
      </c>
      <c r="E265" t="s">
        <v>1447</v>
      </c>
      <c r="F265" t="s">
        <v>1854</v>
      </c>
      <c r="G265" t="s">
        <v>1806</v>
      </c>
      <c r="H265" t="s">
        <v>2279</v>
      </c>
      <c r="I265" t="s">
        <v>2279</v>
      </c>
      <c r="J265">
        <v>2105918.6</v>
      </c>
      <c r="K265" t="s">
        <v>2279</v>
      </c>
      <c r="L265" t="s">
        <v>2279</v>
      </c>
      <c r="M265" t="s">
        <v>2279</v>
      </c>
      <c r="N265" t="s">
        <v>2279</v>
      </c>
      <c r="O265" s="190" t="str">
        <f>"["&amp;$C265&amp;"]["&amp;$D265&amp;"]["&amp;$F265&amp;"]"</f>
        <v>[S05_AggregateTotalEmissionsByCRF][13][TotalProcessEmissionsTCo2e]</v>
      </c>
    </row>
    <row r="266" spans="1:15" x14ac:dyDescent="0.3">
      <c r="A266" t="s">
        <v>2277</v>
      </c>
      <c r="B266" t="s">
        <v>1846</v>
      </c>
      <c r="C266" t="s">
        <v>1849</v>
      </c>
      <c r="D266">
        <v>14</v>
      </c>
      <c r="E266" t="s">
        <v>1447</v>
      </c>
      <c r="F266" t="s">
        <v>1854</v>
      </c>
      <c r="G266" t="s">
        <v>1806</v>
      </c>
      <c r="H266" t="s">
        <v>2279</v>
      </c>
      <c r="I266" t="s">
        <v>2279</v>
      </c>
      <c r="J266">
        <v>376726.6</v>
      </c>
      <c r="K266" t="s">
        <v>2279</v>
      </c>
      <c r="L266" t="s">
        <v>2279</v>
      </c>
      <c r="M266" t="s">
        <v>2279</v>
      </c>
      <c r="N266" t="s">
        <v>2279</v>
      </c>
      <c r="O266" s="190" t="str">
        <f>"["&amp;$C266&amp;"]["&amp;$D266&amp;"]["&amp;$F266&amp;"]"</f>
        <v>[S05_AggregateTotalEmissionsByCRF][14][TotalProcessEmissionsTCo2e]</v>
      </c>
    </row>
    <row r="267" spans="1:15" x14ac:dyDescent="0.3">
      <c r="A267" t="s">
        <v>2277</v>
      </c>
      <c r="B267" t="s">
        <v>1846</v>
      </c>
      <c r="C267" t="s">
        <v>1849</v>
      </c>
      <c r="D267">
        <v>15</v>
      </c>
      <c r="E267" t="s">
        <v>1447</v>
      </c>
      <c r="F267" t="s">
        <v>1854</v>
      </c>
      <c r="G267" t="s">
        <v>1806</v>
      </c>
      <c r="H267" t="s">
        <v>2279</v>
      </c>
      <c r="I267" t="s">
        <v>2279</v>
      </c>
      <c r="J267">
        <v>157873</v>
      </c>
      <c r="K267" t="s">
        <v>2279</v>
      </c>
      <c r="L267" t="s">
        <v>2279</v>
      </c>
      <c r="M267" t="s">
        <v>2279</v>
      </c>
      <c r="N267" t="s">
        <v>2279</v>
      </c>
      <c r="O267" s="190" t="str">
        <f>"["&amp;$C267&amp;"]["&amp;$D267&amp;"]["&amp;$F267&amp;"]"</f>
        <v>[S05_AggregateTotalEmissionsByCRF][15][TotalProcessEmissionsTCo2e]</v>
      </c>
    </row>
    <row r="268" spans="1:15" x14ac:dyDescent="0.3">
      <c r="A268" t="s">
        <v>2277</v>
      </c>
      <c r="B268" t="s">
        <v>1846</v>
      </c>
      <c r="C268" t="s">
        <v>1849</v>
      </c>
      <c r="D268">
        <v>16</v>
      </c>
      <c r="E268" t="s">
        <v>1447</v>
      </c>
      <c r="F268" t="s">
        <v>1854</v>
      </c>
      <c r="G268" t="s">
        <v>1806</v>
      </c>
      <c r="H268" t="s">
        <v>2279</v>
      </c>
      <c r="I268" t="s">
        <v>2279</v>
      </c>
      <c r="J268">
        <v>55406.400000000001</v>
      </c>
      <c r="K268" t="s">
        <v>2279</v>
      </c>
      <c r="L268" t="s">
        <v>2279</v>
      </c>
      <c r="M268" t="s">
        <v>2279</v>
      </c>
      <c r="N268" t="s">
        <v>2279</v>
      </c>
      <c r="O268" s="190" t="str">
        <f>"["&amp;$C268&amp;"]["&amp;$D268&amp;"]["&amp;$F268&amp;"]"</f>
        <v>[S05_AggregateTotalEmissionsByCRF][16][TotalProcessEmissionsTCo2e]</v>
      </c>
    </row>
    <row r="269" spans="1:15" x14ac:dyDescent="0.3">
      <c r="A269" t="s">
        <v>2277</v>
      </c>
      <c r="B269" t="s">
        <v>1846</v>
      </c>
      <c r="C269" t="s">
        <v>1849</v>
      </c>
      <c r="D269">
        <v>17</v>
      </c>
      <c r="E269" t="s">
        <v>1447</v>
      </c>
      <c r="F269" t="s">
        <v>1854</v>
      </c>
      <c r="G269" t="s">
        <v>1806</v>
      </c>
      <c r="H269" t="s">
        <v>2279</v>
      </c>
      <c r="I269" t="s">
        <v>2279</v>
      </c>
      <c r="J269">
        <v>0</v>
      </c>
      <c r="K269" t="s">
        <v>2279</v>
      </c>
      <c r="L269" t="s">
        <v>2279</v>
      </c>
      <c r="M269" t="s">
        <v>2279</v>
      </c>
      <c r="N269" t="s">
        <v>2279</v>
      </c>
      <c r="O269" s="190" t="str">
        <f>"["&amp;$C269&amp;"]["&amp;$D269&amp;"]["&amp;$F269&amp;"]"</f>
        <v>[S05_AggregateTotalEmissionsByCRF][17][TotalProcessEmissionsTCo2e]</v>
      </c>
    </row>
    <row r="270" spans="1:15" x14ac:dyDescent="0.3">
      <c r="A270" t="s">
        <v>2277</v>
      </c>
      <c r="B270" t="s">
        <v>1847</v>
      </c>
      <c r="C270" t="s">
        <v>1855</v>
      </c>
      <c r="D270">
        <v>1</v>
      </c>
      <c r="E270" t="s">
        <v>1447</v>
      </c>
      <c r="F270" t="s">
        <v>1856</v>
      </c>
      <c r="G270" t="s">
        <v>1737</v>
      </c>
      <c r="H270" t="s">
        <v>2279</v>
      </c>
      <c r="I270" t="s">
        <v>2279</v>
      </c>
      <c r="J270" t="s">
        <v>2279</v>
      </c>
      <c r="K270" t="s">
        <v>2279</v>
      </c>
      <c r="L270" t="s">
        <v>1455</v>
      </c>
      <c r="M270" t="s">
        <v>2279</v>
      </c>
      <c r="N270" t="s">
        <v>2279</v>
      </c>
      <c r="O270" s="190" t="str">
        <f>"["&amp;$C270&amp;"]["&amp;$D270&amp;"]["&amp;$F270&amp;"]"</f>
        <v>[S05_DefaultValues][1][InstallationCategory]</v>
      </c>
    </row>
    <row r="271" spans="1:15" x14ac:dyDescent="0.3">
      <c r="A271" t="s">
        <v>2277</v>
      </c>
      <c r="B271" t="s">
        <v>1847</v>
      </c>
      <c r="C271" t="s">
        <v>1855</v>
      </c>
      <c r="D271">
        <v>2</v>
      </c>
      <c r="E271" t="s">
        <v>1447</v>
      </c>
      <c r="F271" t="s">
        <v>1856</v>
      </c>
      <c r="G271" t="s">
        <v>1737</v>
      </c>
      <c r="H271" t="s">
        <v>2279</v>
      </c>
      <c r="I271" t="s">
        <v>2279</v>
      </c>
      <c r="J271" t="s">
        <v>2279</v>
      </c>
      <c r="K271" t="s">
        <v>2279</v>
      </c>
      <c r="L271" t="s">
        <v>1483</v>
      </c>
      <c r="M271" t="s">
        <v>2279</v>
      </c>
      <c r="N271" t="s">
        <v>2279</v>
      </c>
      <c r="O271" s="190" t="str">
        <f>"["&amp;$C271&amp;"]["&amp;$D271&amp;"]["&amp;$F271&amp;"]"</f>
        <v>[S05_DefaultValues][2][InstallationCategory]</v>
      </c>
    </row>
    <row r="272" spans="1:15" x14ac:dyDescent="0.3">
      <c r="A272" t="s">
        <v>2277</v>
      </c>
      <c r="B272" t="s">
        <v>1847</v>
      </c>
      <c r="C272" t="s">
        <v>1855</v>
      </c>
      <c r="D272">
        <v>3</v>
      </c>
      <c r="E272" t="s">
        <v>1447</v>
      </c>
      <c r="F272" t="s">
        <v>1856</v>
      </c>
      <c r="G272" t="s">
        <v>1737</v>
      </c>
      <c r="H272" t="s">
        <v>2279</v>
      </c>
      <c r="I272" t="s">
        <v>2279</v>
      </c>
      <c r="J272" t="s">
        <v>2279</v>
      </c>
      <c r="K272" t="s">
        <v>2279</v>
      </c>
      <c r="L272" t="s">
        <v>1483</v>
      </c>
      <c r="M272" t="s">
        <v>2279</v>
      </c>
      <c r="N272" t="s">
        <v>2279</v>
      </c>
      <c r="O272" s="190" t="str">
        <f>"["&amp;$C272&amp;"]["&amp;$D272&amp;"]["&amp;$F272&amp;"]"</f>
        <v>[S05_DefaultValues][3][InstallationCategory]</v>
      </c>
    </row>
    <row r="273" spans="1:15" x14ac:dyDescent="0.3">
      <c r="A273" t="s">
        <v>2277</v>
      </c>
      <c r="B273" t="s">
        <v>1847</v>
      </c>
      <c r="C273" t="s">
        <v>1855</v>
      </c>
      <c r="D273">
        <v>4</v>
      </c>
      <c r="E273" t="s">
        <v>1447</v>
      </c>
      <c r="F273" t="s">
        <v>1856</v>
      </c>
      <c r="G273" t="s">
        <v>1737</v>
      </c>
      <c r="H273" t="s">
        <v>2279</v>
      </c>
      <c r="I273" t="s">
        <v>2279</v>
      </c>
      <c r="J273" t="s">
        <v>2279</v>
      </c>
      <c r="K273" t="s">
        <v>2279</v>
      </c>
      <c r="L273" t="s">
        <v>1483</v>
      </c>
      <c r="M273" t="s">
        <v>2279</v>
      </c>
      <c r="N273" t="s">
        <v>2279</v>
      </c>
      <c r="O273" s="190" t="str">
        <f>"["&amp;$C273&amp;"]["&amp;$D273&amp;"]["&amp;$F273&amp;"]"</f>
        <v>[S05_DefaultValues][4][InstallationCategory]</v>
      </c>
    </row>
    <row r="274" spans="1:15" x14ac:dyDescent="0.3">
      <c r="A274" t="s">
        <v>2277</v>
      </c>
      <c r="B274" t="s">
        <v>1847</v>
      </c>
      <c r="C274" t="s">
        <v>1855</v>
      </c>
      <c r="D274">
        <v>5</v>
      </c>
      <c r="E274" t="s">
        <v>1447</v>
      </c>
      <c r="F274" t="s">
        <v>1856</v>
      </c>
      <c r="G274" t="s">
        <v>1737</v>
      </c>
      <c r="H274" t="s">
        <v>2279</v>
      </c>
      <c r="I274" t="s">
        <v>2279</v>
      </c>
      <c r="J274" t="s">
        <v>2279</v>
      </c>
      <c r="K274" t="s">
        <v>2279</v>
      </c>
      <c r="L274" t="s">
        <v>1483</v>
      </c>
      <c r="M274" t="s">
        <v>2279</v>
      </c>
      <c r="N274" t="s">
        <v>2279</v>
      </c>
      <c r="O274" s="190" t="str">
        <f>"["&amp;$C274&amp;"]["&amp;$D274&amp;"]["&amp;$F274&amp;"]"</f>
        <v>[S05_DefaultValues][5][InstallationCategory]</v>
      </c>
    </row>
    <row r="275" spans="1:15" x14ac:dyDescent="0.3">
      <c r="A275" t="s">
        <v>2277</v>
      </c>
      <c r="B275" t="s">
        <v>1847</v>
      </c>
      <c r="C275" t="s">
        <v>1855</v>
      </c>
      <c r="D275">
        <v>6</v>
      </c>
      <c r="E275" t="s">
        <v>1447</v>
      </c>
      <c r="F275" t="s">
        <v>1856</v>
      </c>
      <c r="G275" t="s">
        <v>1737</v>
      </c>
      <c r="H275" t="s">
        <v>2279</v>
      </c>
      <c r="I275" t="s">
        <v>2279</v>
      </c>
      <c r="J275" t="s">
        <v>2279</v>
      </c>
      <c r="K275" t="s">
        <v>2279</v>
      </c>
      <c r="L275" t="s">
        <v>1483</v>
      </c>
      <c r="M275" t="s">
        <v>2279</v>
      </c>
      <c r="N275" t="s">
        <v>2279</v>
      </c>
      <c r="O275" s="190" t="str">
        <f>"["&amp;$C275&amp;"]["&amp;$D275&amp;"]["&amp;$F275&amp;"]"</f>
        <v>[S05_DefaultValues][6][InstallationCategory]</v>
      </c>
    </row>
    <row r="276" spans="1:15" x14ac:dyDescent="0.3">
      <c r="A276" t="s">
        <v>2277</v>
      </c>
      <c r="B276" t="s">
        <v>1847</v>
      </c>
      <c r="C276" t="s">
        <v>1855</v>
      </c>
      <c r="D276">
        <v>7</v>
      </c>
      <c r="E276" t="s">
        <v>1447</v>
      </c>
      <c r="F276" t="s">
        <v>1856</v>
      </c>
      <c r="G276" t="s">
        <v>1737</v>
      </c>
      <c r="H276" t="s">
        <v>2279</v>
      </c>
      <c r="I276" t="s">
        <v>2279</v>
      </c>
      <c r="J276" t="s">
        <v>2279</v>
      </c>
      <c r="K276" t="s">
        <v>2279</v>
      </c>
      <c r="L276" t="s">
        <v>1483</v>
      </c>
      <c r="M276" t="s">
        <v>2279</v>
      </c>
      <c r="N276" t="s">
        <v>2279</v>
      </c>
      <c r="O276" s="190" t="str">
        <f>"["&amp;$C276&amp;"]["&amp;$D276&amp;"]["&amp;$F276&amp;"]"</f>
        <v>[S05_DefaultValues][7][InstallationCategory]</v>
      </c>
    </row>
    <row r="277" spans="1:15" x14ac:dyDescent="0.3">
      <c r="A277" t="s">
        <v>2277</v>
      </c>
      <c r="B277" t="s">
        <v>1847</v>
      </c>
      <c r="C277" t="s">
        <v>1855</v>
      </c>
      <c r="D277">
        <v>8</v>
      </c>
      <c r="E277" t="s">
        <v>1447</v>
      </c>
      <c r="F277" t="s">
        <v>1856</v>
      </c>
      <c r="G277" t="s">
        <v>1737</v>
      </c>
      <c r="H277" t="s">
        <v>2279</v>
      </c>
      <c r="I277" t="s">
        <v>2279</v>
      </c>
      <c r="J277" t="s">
        <v>2279</v>
      </c>
      <c r="K277" t="s">
        <v>2279</v>
      </c>
      <c r="L277" t="s">
        <v>1483</v>
      </c>
      <c r="M277" t="s">
        <v>2279</v>
      </c>
      <c r="N277" t="s">
        <v>2279</v>
      </c>
      <c r="O277" s="190" t="str">
        <f>"["&amp;$C277&amp;"]["&amp;$D277&amp;"]["&amp;$F277&amp;"]"</f>
        <v>[S05_DefaultValues][8][InstallationCategory]</v>
      </c>
    </row>
    <row r="278" spans="1:15" x14ac:dyDescent="0.3">
      <c r="A278" t="s">
        <v>2277</v>
      </c>
      <c r="B278" t="s">
        <v>1847</v>
      </c>
      <c r="C278" t="s">
        <v>1855</v>
      </c>
      <c r="D278">
        <v>9</v>
      </c>
      <c r="E278" t="s">
        <v>1447</v>
      </c>
      <c r="F278" t="s">
        <v>1856</v>
      </c>
      <c r="G278" t="s">
        <v>1737</v>
      </c>
      <c r="H278" t="s">
        <v>2279</v>
      </c>
      <c r="I278" t="s">
        <v>2279</v>
      </c>
      <c r="J278" t="s">
        <v>2279</v>
      </c>
      <c r="K278" t="s">
        <v>2279</v>
      </c>
      <c r="L278" t="s">
        <v>1483</v>
      </c>
      <c r="M278" t="s">
        <v>2279</v>
      </c>
      <c r="N278" t="s">
        <v>2279</v>
      </c>
      <c r="O278" s="190" t="str">
        <f>"["&amp;$C278&amp;"]["&amp;$D278&amp;"]["&amp;$F278&amp;"]"</f>
        <v>[S05_DefaultValues][9][InstallationCategory]</v>
      </c>
    </row>
    <row r="279" spans="1:15" x14ac:dyDescent="0.3">
      <c r="A279" t="s">
        <v>2277</v>
      </c>
      <c r="B279" t="s">
        <v>1847</v>
      </c>
      <c r="C279" t="s">
        <v>1855</v>
      </c>
      <c r="D279">
        <v>10</v>
      </c>
      <c r="E279" t="s">
        <v>1447</v>
      </c>
      <c r="F279" t="s">
        <v>1856</v>
      </c>
      <c r="G279" t="s">
        <v>1737</v>
      </c>
      <c r="H279" t="s">
        <v>2279</v>
      </c>
      <c r="I279" t="s">
        <v>2279</v>
      </c>
      <c r="J279" t="s">
        <v>2279</v>
      </c>
      <c r="K279" t="s">
        <v>2279</v>
      </c>
      <c r="L279" t="s">
        <v>1427</v>
      </c>
      <c r="M279" t="s">
        <v>2279</v>
      </c>
      <c r="N279" t="s">
        <v>2279</v>
      </c>
      <c r="O279" s="190" t="str">
        <f>"["&amp;$C279&amp;"]["&amp;$D279&amp;"]["&amp;$F279&amp;"]"</f>
        <v>[S05_DefaultValues][10][InstallationCategory]</v>
      </c>
    </row>
    <row r="280" spans="1:15" x14ac:dyDescent="0.3">
      <c r="A280" t="s">
        <v>2277</v>
      </c>
      <c r="B280" t="s">
        <v>1847</v>
      </c>
      <c r="C280" t="s">
        <v>1855</v>
      </c>
      <c r="D280">
        <v>11</v>
      </c>
      <c r="E280" t="s">
        <v>1447</v>
      </c>
      <c r="F280" t="s">
        <v>1856</v>
      </c>
      <c r="G280" t="s">
        <v>1737</v>
      </c>
      <c r="H280" t="s">
        <v>2279</v>
      </c>
      <c r="I280" t="s">
        <v>2279</v>
      </c>
      <c r="J280" t="s">
        <v>2279</v>
      </c>
      <c r="K280" t="s">
        <v>2279</v>
      </c>
      <c r="L280" t="s">
        <v>1455</v>
      </c>
      <c r="M280" t="s">
        <v>2279</v>
      </c>
      <c r="N280" t="s">
        <v>2279</v>
      </c>
      <c r="O280" s="190" t="str">
        <f>"["&amp;$C280&amp;"]["&amp;$D280&amp;"]["&amp;$F280&amp;"]"</f>
        <v>[S05_DefaultValues][11][InstallationCategory]</v>
      </c>
    </row>
    <row r="281" spans="1:15" x14ac:dyDescent="0.3">
      <c r="A281" t="s">
        <v>2277</v>
      </c>
      <c r="B281" t="s">
        <v>1847</v>
      </c>
      <c r="C281" t="s">
        <v>1855</v>
      </c>
      <c r="D281">
        <v>12</v>
      </c>
      <c r="E281" t="s">
        <v>1447</v>
      </c>
      <c r="F281" t="s">
        <v>1856</v>
      </c>
      <c r="G281" t="s">
        <v>1737</v>
      </c>
      <c r="H281" t="s">
        <v>2279</v>
      </c>
      <c r="I281" t="s">
        <v>2279</v>
      </c>
      <c r="J281" t="s">
        <v>2279</v>
      </c>
      <c r="K281" t="s">
        <v>2279</v>
      </c>
      <c r="L281" t="s">
        <v>1455</v>
      </c>
      <c r="M281" t="s">
        <v>2279</v>
      </c>
      <c r="N281" t="s">
        <v>2279</v>
      </c>
      <c r="O281" s="190" t="str">
        <f>"["&amp;$C281&amp;"]["&amp;$D281&amp;"]["&amp;$F281&amp;"]"</f>
        <v>[S05_DefaultValues][12][InstallationCategory]</v>
      </c>
    </row>
    <row r="282" spans="1:15" x14ac:dyDescent="0.3">
      <c r="A282" t="s">
        <v>2277</v>
      </c>
      <c r="B282" t="s">
        <v>1847</v>
      </c>
      <c r="C282" t="s">
        <v>1855</v>
      </c>
      <c r="D282">
        <v>13</v>
      </c>
      <c r="E282" t="s">
        <v>1447</v>
      </c>
      <c r="F282" t="s">
        <v>1856</v>
      </c>
      <c r="G282" t="s">
        <v>1737</v>
      </c>
      <c r="H282" t="s">
        <v>2279</v>
      </c>
      <c r="I282" t="s">
        <v>2279</v>
      </c>
      <c r="J282" t="s">
        <v>2279</v>
      </c>
      <c r="K282" t="s">
        <v>2279</v>
      </c>
      <c r="L282" t="s">
        <v>1455</v>
      </c>
      <c r="M282" t="s">
        <v>2279</v>
      </c>
      <c r="N282" t="s">
        <v>2279</v>
      </c>
      <c r="O282" s="190" t="str">
        <f>"["&amp;$C282&amp;"]["&amp;$D282&amp;"]["&amp;$F282&amp;"]"</f>
        <v>[S05_DefaultValues][13][InstallationCategory]</v>
      </c>
    </row>
    <row r="283" spans="1:15" x14ac:dyDescent="0.3">
      <c r="A283" t="s">
        <v>2277</v>
      </c>
      <c r="B283" t="s">
        <v>1847</v>
      </c>
      <c r="C283" t="s">
        <v>1855</v>
      </c>
      <c r="D283">
        <v>14</v>
      </c>
      <c r="E283" t="s">
        <v>1447</v>
      </c>
      <c r="F283" t="s">
        <v>1856</v>
      </c>
      <c r="G283" t="s">
        <v>1737</v>
      </c>
      <c r="H283" t="s">
        <v>2279</v>
      </c>
      <c r="I283" t="s">
        <v>2279</v>
      </c>
      <c r="J283" t="s">
        <v>2279</v>
      </c>
      <c r="K283" t="s">
        <v>2279</v>
      </c>
      <c r="L283" t="s">
        <v>1455</v>
      </c>
      <c r="M283" t="s">
        <v>2279</v>
      </c>
      <c r="N283" t="s">
        <v>2279</v>
      </c>
      <c r="O283" s="190" t="str">
        <f>"["&amp;$C283&amp;"]["&amp;$D283&amp;"]["&amp;$F283&amp;"]"</f>
        <v>[S05_DefaultValues][14][InstallationCategory]</v>
      </c>
    </row>
    <row r="284" spans="1:15" x14ac:dyDescent="0.3">
      <c r="A284" t="s">
        <v>2277</v>
      </c>
      <c r="B284" t="s">
        <v>1847</v>
      </c>
      <c r="C284" t="s">
        <v>1855</v>
      </c>
      <c r="D284">
        <v>15</v>
      </c>
      <c r="E284" t="s">
        <v>1447</v>
      </c>
      <c r="F284" t="s">
        <v>1856</v>
      </c>
      <c r="G284" t="s">
        <v>1737</v>
      </c>
      <c r="H284" t="s">
        <v>2279</v>
      </c>
      <c r="I284" t="s">
        <v>2279</v>
      </c>
      <c r="J284" t="s">
        <v>2279</v>
      </c>
      <c r="K284" t="s">
        <v>2279</v>
      </c>
      <c r="L284" t="s">
        <v>1455</v>
      </c>
      <c r="M284" t="s">
        <v>2279</v>
      </c>
      <c r="N284" t="s">
        <v>2279</v>
      </c>
      <c r="O284" s="190" t="str">
        <f>"["&amp;$C284&amp;"]["&amp;$D284&amp;"]["&amp;$F284&amp;"]"</f>
        <v>[S05_DefaultValues][15][InstallationCategory]</v>
      </c>
    </row>
    <row r="285" spans="1:15" x14ac:dyDescent="0.3">
      <c r="A285" t="s">
        <v>2277</v>
      </c>
      <c r="B285" t="s">
        <v>1847</v>
      </c>
      <c r="C285" t="s">
        <v>1855</v>
      </c>
      <c r="D285">
        <v>16</v>
      </c>
      <c r="E285" t="s">
        <v>1447</v>
      </c>
      <c r="F285" t="s">
        <v>1856</v>
      </c>
      <c r="G285" t="s">
        <v>1737</v>
      </c>
      <c r="H285" t="s">
        <v>2279</v>
      </c>
      <c r="I285" t="s">
        <v>2279</v>
      </c>
      <c r="J285" t="s">
        <v>2279</v>
      </c>
      <c r="K285" t="s">
        <v>2279</v>
      </c>
      <c r="L285" t="s">
        <v>1455</v>
      </c>
      <c r="M285" t="s">
        <v>2279</v>
      </c>
      <c r="N285" t="s">
        <v>2279</v>
      </c>
      <c r="O285" s="190" t="str">
        <f>"["&amp;$C285&amp;"]["&amp;$D285&amp;"]["&amp;$F285&amp;"]"</f>
        <v>[S05_DefaultValues][16][InstallationCategory]</v>
      </c>
    </row>
    <row r="286" spans="1:15" x14ac:dyDescent="0.3">
      <c r="A286" t="s">
        <v>2277</v>
      </c>
      <c r="B286" t="s">
        <v>1847</v>
      </c>
      <c r="C286" t="s">
        <v>1855</v>
      </c>
      <c r="D286">
        <v>17</v>
      </c>
      <c r="E286" t="s">
        <v>1447</v>
      </c>
      <c r="F286" t="s">
        <v>1856</v>
      </c>
      <c r="G286" t="s">
        <v>1737</v>
      </c>
      <c r="H286" t="s">
        <v>2279</v>
      </c>
      <c r="I286" t="s">
        <v>2279</v>
      </c>
      <c r="J286" t="s">
        <v>2279</v>
      </c>
      <c r="K286" t="s">
        <v>2279</v>
      </c>
      <c r="L286" t="s">
        <v>1455</v>
      </c>
      <c r="M286" t="s">
        <v>2279</v>
      </c>
      <c r="N286" t="s">
        <v>2279</v>
      </c>
      <c r="O286" s="190" t="str">
        <f>"["&amp;$C286&amp;"]["&amp;$D286&amp;"]["&amp;$F286&amp;"]"</f>
        <v>[S05_DefaultValues][17][InstallationCategory]</v>
      </c>
    </row>
    <row r="287" spans="1:15" x14ac:dyDescent="0.3">
      <c r="A287" t="s">
        <v>2277</v>
      </c>
      <c r="B287" t="s">
        <v>1847</v>
      </c>
      <c r="C287" t="s">
        <v>1855</v>
      </c>
      <c r="D287">
        <v>18</v>
      </c>
      <c r="E287" t="s">
        <v>1447</v>
      </c>
      <c r="F287" t="s">
        <v>1856</v>
      </c>
      <c r="G287" t="s">
        <v>1737</v>
      </c>
      <c r="H287" t="s">
        <v>2279</v>
      </c>
      <c r="I287" t="s">
        <v>2279</v>
      </c>
      <c r="J287" t="s">
        <v>2279</v>
      </c>
      <c r="K287" t="s">
        <v>2279</v>
      </c>
      <c r="L287" t="s">
        <v>1455</v>
      </c>
      <c r="M287" t="s">
        <v>2279</v>
      </c>
      <c r="N287" t="s">
        <v>2279</v>
      </c>
      <c r="O287" s="190" t="str">
        <f>"["&amp;$C287&amp;"]["&amp;$D287&amp;"]["&amp;$F287&amp;"]"</f>
        <v>[S05_DefaultValues][18][InstallationCategory]</v>
      </c>
    </row>
    <row r="288" spans="1:15" x14ac:dyDescent="0.3">
      <c r="A288" t="s">
        <v>2277</v>
      </c>
      <c r="B288" t="s">
        <v>1847</v>
      </c>
      <c r="C288" t="s">
        <v>1855</v>
      </c>
      <c r="D288">
        <v>19</v>
      </c>
      <c r="E288" t="s">
        <v>1447</v>
      </c>
      <c r="F288" t="s">
        <v>1856</v>
      </c>
      <c r="G288" t="s">
        <v>1737</v>
      </c>
      <c r="H288" t="s">
        <v>2279</v>
      </c>
      <c r="I288" t="s">
        <v>2279</v>
      </c>
      <c r="J288" t="s">
        <v>2279</v>
      </c>
      <c r="K288" t="s">
        <v>2279</v>
      </c>
      <c r="L288" t="s">
        <v>1455</v>
      </c>
      <c r="M288" t="s">
        <v>2279</v>
      </c>
      <c r="N288" t="s">
        <v>2279</v>
      </c>
      <c r="O288" s="190" t="str">
        <f>"["&amp;$C288&amp;"]["&amp;$D288&amp;"]["&amp;$F288&amp;"]"</f>
        <v>[S05_DefaultValues][19][InstallationCategory]</v>
      </c>
    </row>
    <row r="289" spans="1:15" x14ac:dyDescent="0.3">
      <c r="A289" t="s">
        <v>2277</v>
      </c>
      <c r="B289" t="s">
        <v>1847</v>
      </c>
      <c r="C289" t="s">
        <v>1855</v>
      </c>
      <c r="D289">
        <v>20</v>
      </c>
      <c r="E289" t="s">
        <v>1447</v>
      </c>
      <c r="F289" t="s">
        <v>1856</v>
      </c>
      <c r="G289" t="s">
        <v>1737</v>
      </c>
      <c r="H289" t="s">
        <v>2279</v>
      </c>
      <c r="I289" t="s">
        <v>2279</v>
      </c>
      <c r="J289" t="s">
        <v>2279</v>
      </c>
      <c r="K289" t="s">
        <v>2279</v>
      </c>
      <c r="L289" t="s">
        <v>1455</v>
      </c>
      <c r="M289" t="s">
        <v>2279</v>
      </c>
      <c r="N289" t="s">
        <v>2279</v>
      </c>
      <c r="O289" s="190" t="str">
        <f>"["&amp;$C289&amp;"]["&amp;$D289&amp;"]["&amp;$F289&amp;"]"</f>
        <v>[S05_DefaultValues][20][InstallationCategory]</v>
      </c>
    </row>
    <row r="290" spans="1:15" x14ac:dyDescent="0.3">
      <c r="A290" t="s">
        <v>2277</v>
      </c>
      <c r="B290" t="s">
        <v>1847</v>
      </c>
      <c r="C290" t="s">
        <v>1855</v>
      </c>
      <c r="D290">
        <v>21</v>
      </c>
      <c r="E290" t="s">
        <v>1447</v>
      </c>
      <c r="F290" t="s">
        <v>1856</v>
      </c>
      <c r="G290" t="s">
        <v>1737</v>
      </c>
      <c r="H290" t="s">
        <v>2279</v>
      </c>
      <c r="I290" t="s">
        <v>2279</v>
      </c>
      <c r="J290" t="s">
        <v>2279</v>
      </c>
      <c r="K290" t="s">
        <v>2279</v>
      </c>
      <c r="L290" t="s">
        <v>1455</v>
      </c>
      <c r="M290" t="s">
        <v>2279</v>
      </c>
      <c r="N290" t="s">
        <v>2279</v>
      </c>
      <c r="O290" s="190" t="str">
        <f>"["&amp;$C290&amp;"]["&amp;$D290&amp;"]["&amp;$F290&amp;"]"</f>
        <v>[S05_DefaultValues][21][InstallationCategory]</v>
      </c>
    </row>
    <row r="291" spans="1:15" x14ac:dyDescent="0.3">
      <c r="A291" t="s">
        <v>2277</v>
      </c>
      <c r="B291" t="s">
        <v>1847</v>
      </c>
      <c r="C291" t="s">
        <v>1855</v>
      </c>
      <c r="D291">
        <v>22</v>
      </c>
      <c r="E291" t="s">
        <v>1447</v>
      </c>
      <c r="F291" t="s">
        <v>1856</v>
      </c>
      <c r="G291" t="s">
        <v>1737</v>
      </c>
      <c r="H291" t="s">
        <v>2279</v>
      </c>
      <c r="I291" t="s">
        <v>2279</v>
      </c>
      <c r="J291" t="s">
        <v>2279</v>
      </c>
      <c r="K291" t="s">
        <v>2279</v>
      </c>
      <c r="L291" t="s">
        <v>1455</v>
      </c>
      <c r="M291" t="s">
        <v>2279</v>
      </c>
      <c r="N291" t="s">
        <v>2279</v>
      </c>
      <c r="O291" s="190" t="str">
        <f>"["&amp;$C291&amp;"]["&amp;$D291&amp;"]["&amp;$F291&amp;"]"</f>
        <v>[S05_DefaultValues][22][InstallationCategory]</v>
      </c>
    </row>
    <row r="292" spans="1:15" x14ac:dyDescent="0.3">
      <c r="A292" t="s">
        <v>2277</v>
      </c>
      <c r="B292" t="s">
        <v>1847</v>
      </c>
      <c r="C292" t="s">
        <v>1855</v>
      </c>
      <c r="D292">
        <v>23</v>
      </c>
      <c r="E292" t="s">
        <v>1447</v>
      </c>
      <c r="F292" t="s">
        <v>1856</v>
      </c>
      <c r="G292" t="s">
        <v>1737</v>
      </c>
      <c r="H292" t="s">
        <v>2279</v>
      </c>
      <c r="I292" t="s">
        <v>2279</v>
      </c>
      <c r="J292" t="s">
        <v>2279</v>
      </c>
      <c r="K292" t="s">
        <v>2279</v>
      </c>
      <c r="L292" t="s">
        <v>1455</v>
      </c>
      <c r="M292" t="s">
        <v>2279</v>
      </c>
      <c r="N292" t="s">
        <v>2279</v>
      </c>
      <c r="O292" s="190" t="str">
        <f>"["&amp;$C292&amp;"]["&amp;$D292&amp;"]["&amp;$F292&amp;"]"</f>
        <v>[S05_DefaultValues][23][InstallationCategory]</v>
      </c>
    </row>
    <row r="293" spans="1:15" x14ac:dyDescent="0.3">
      <c r="A293" t="s">
        <v>2277</v>
      </c>
      <c r="B293" t="s">
        <v>1847</v>
      </c>
      <c r="C293" t="s">
        <v>1855</v>
      </c>
      <c r="D293">
        <v>24</v>
      </c>
      <c r="E293" t="s">
        <v>1447</v>
      </c>
      <c r="F293" t="s">
        <v>1856</v>
      </c>
      <c r="G293" t="s">
        <v>1737</v>
      </c>
      <c r="H293" t="s">
        <v>2279</v>
      </c>
      <c r="I293" t="s">
        <v>2279</v>
      </c>
      <c r="J293" t="s">
        <v>2279</v>
      </c>
      <c r="K293" t="s">
        <v>2279</v>
      </c>
      <c r="L293" t="s">
        <v>1455</v>
      </c>
      <c r="M293" t="s">
        <v>2279</v>
      </c>
      <c r="N293" t="s">
        <v>2279</v>
      </c>
      <c r="O293" s="190" t="str">
        <f>"["&amp;$C293&amp;"]["&amp;$D293&amp;"]["&amp;$F293&amp;"]"</f>
        <v>[S05_DefaultValues][24][InstallationCategory]</v>
      </c>
    </row>
    <row r="294" spans="1:15" x14ac:dyDescent="0.3">
      <c r="A294" t="s">
        <v>2277</v>
      </c>
      <c r="B294" t="s">
        <v>1847</v>
      </c>
      <c r="C294" t="s">
        <v>1855</v>
      </c>
      <c r="D294">
        <v>25</v>
      </c>
      <c r="E294" t="s">
        <v>1447</v>
      </c>
      <c r="F294" t="s">
        <v>1856</v>
      </c>
      <c r="G294" t="s">
        <v>1737</v>
      </c>
      <c r="H294" t="s">
        <v>2279</v>
      </c>
      <c r="I294" t="s">
        <v>2279</v>
      </c>
      <c r="J294" t="s">
        <v>2279</v>
      </c>
      <c r="K294" t="s">
        <v>2279</v>
      </c>
      <c r="L294" t="s">
        <v>1455</v>
      </c>
      <c r="M294" t="s">
        <v>2279</v>
      </c>
      <c r="N294" t="s">
        <v>2279</v>
      </c>
      <c r="O294" s="190" t="str">
        <f>"["&amp;$C294&amp;"]["&amp;$D294&amp;"]["&amp;$F294&amp;"]"</f>
        <v>[S05_DefaultValues][25][InstallationCategory]</v>
      </c>
    </row>
    <row r="295" spans="1:15" x14ac:dyDescent="0.3">
      <c r="A295" t="s">
        <v>2277</v>
      </c>
      <c r="B295" t="s">
        <v>1847</v>
      </c>
      <c r="C295" t="s">
        <v>1855</v>
      </c>
      <c r="D295">
        <v>1</v>
      </c>
      <c r="E295" t="s">
        <v>1447</v>
      </c>
      <c r="F295" t="s">
        <v>1857</v>
      </c>
      <c r="G295" t="s">
        <v>1741</v>
      </c>
      <c r="H295" t="s">
        <v>2336</v>
      </c>
      <c r="I295" t="s">
        <v>2279</v>
      </c>
      <c r="J295" t="s">
        <v>2279</v>
      </c>
      <c r="K295" t="s">
        <v>2279</v>
      </c>
      <c r="L295" t="s">
        <v>2279</v>
      </c>
      <c r="M295" t="s">
        <v>2279</v>
      </c>
      <c r="N295" t="s">
        <v>2279</v>
      </c>
      <c r="O295" s="190" t="str">
        <f>"["&amp;$C295&amp;"]["&amp;$D295&amp;"]["&amp;$F295&amp;"]"</f>
        <v>[S05_DefaultValues][1][FuelMaterialType]</v>
      </c>
    </row>
    <row r="296" spans="1:15" x14ac:dyDescent="0.3">
      <c r="A296" t="s">
        <v>2277</v>
      </c>
      <c r="B296" t="s">
        <v>1847</v>
      </c>
      <c r="C296" t="s">
        <v>1855</v>
      </c>
      <c r="D296">
        <v>2</v>
      </c>
      <c r="E296" t="s">
        <v>1447</v>
      </c>
      <c r="F296" t="s">
        <v>1857</v>
      </c>
      <c r="G296" t="s">
        <v>1741</v>
      </c>
      <c r="H296" t="s">
        <v>2336</v>
      </c>
      <c r="I296" t="s">
        <v>2279</v>
      </c>
      <c r="J296" t="s">
        <v>2279</v>
      </c>
      <c r="K296" t="s">
        <v>2279</v>
      </c>
      <c r="L296" t="s">
        <v>2279</v>
      </c>
      <c r="M296" t="s">
        <v>2279</v>
      </c>
      <c r="N296" t="s">
        <v>2279</v>
      </c>
      <c r="O296" s="190" t="str">
        <f>"["&amp;$C296&amp;"]["&amp;$D296&amp;"]["&amp;$F296&amp;"]"</f>
        <v>[S05_DefaultValues][2][FuelMaterialType]</v>
      </c>
    </row>
    <row r="297" spans="1:15" x14ac:dyDescent="0.3">
      <c r="A297" t="s">
        <v>2277</v>
      </c>
      <c r="B297" t="s">
        <v>1847</v>
      </c>
      <c r="C297" t="s">
        <v>1855</v>
      </c>
      <c r="D297">
        <v>3</v>
      </c>
      <c r="E297" t="s">
        <v>1447</v>
      </c>
      <c r="F297" t="s">
        <v>1857</v>
      </c>
      <c r="G297" t="s">
        <v>1741</v>
      </c>
      <c r="H297" t="s">
        <v>2337</v>
      </c>
      <c r="I297" t="s">
        <v>2279</v>
      </c>
      <c r="J297" t="s">
        <v>2279</v>
      </c>
      <c r="K297" t="s">
        <v>2279</v>
      </c>
      <c r="L297" t="s">
        <v>2279</v>
      </c>
      <c r="M297" t="s">
        <v>2279</v>
      </c>
      <c r="N297" t="s">
        <v>2279</v>
      </c>
      <c r="O297" s="190" t="str">
        <f>"["&amp;$C297&amp;"]["&amp;$D297&amp;"]["&amp;$F297&amp;"]"</f>
        <v>[S05_DefaultValues][3][FuelMaterialType]</v>
      </c>
    </row>
    <row r="298" spans="1:15" x14ac:dyDescent="0.3">
      <c r="A298" t="s">
        <v>2277</v>
      </c>
      <c r="B298" t="s">
        <v>1847</v>
      </c>
      <c r="C298" t="s">
        <v>1855</v>
      </c>
      <c r="D298">
        <v>4</v>
      </c>
      <c r="E298" t="s">
        <v>1447</v>
      </c>
      <c r="F298" t="s">
        <v>1857</v>
      </c>
      <c r="G298" t="s">
        <v>1741</v>
      </c>
      <c r="H298" t="s">
        <v>2338</v>
      </c>
      <c r="I298" t="s">
        <v>2279</v>
      </c>
      <c r="J298" t="s">
        <v>2279</v>
      </c>
      <c r="K298" t="s">
        <v>2279</v>
      </c>
      <c r="L298" t="s">
        <v>2279</v>
      </c>
      <c r="M298" t="s">
        <v>2279</v>
      </c>
      <c r="N298" t="s">
        <v>2279</v>
      </c>
      <c r="O298" s="190" t="str">
        <f>"["&amp;$C298&amp;"]["&amp;$D298&amp;"]["&amp;$F298&amp;"]"</f>
        <v>[S05_DefaultValues][4][FuelMaterialType]</v>
      </c>
    </row>
    <row r="299" spans="1:15" x14ac:dyDescent="0.3">
      <c r="A299" t="s">
        <v>2277</v>
      </c>
      <c r="B299" t="s">
        <v>1847</v>
      </c>
      <c r="C299" t="s">
        <v>1855</v>
      </c>
      <c r="D299">
        <v>5</v>
      </c>
      <c r="E299" t="s">
        <v>1447</v>
      </c>
      <c r="F299" t="s">
        <v>1857</v>
      </c>
      <c r="G299" t="s">
        <v>1741</v>
      </c>
      <c r="H299" t="s">
        <v>2339</v>
      </c>
      <c r="I299" t="s">
        <v>2279</v>
      </c>
      <c r="J299" t="s">
        <v>2279</v>
      </c>
      <c r="K299" t="s">
        <v>2279</v>
      </c>
      <c r="L299" t="s">
        <v>2279</v>
      </c>
      <c r="M299" t="s">
        <v>2279</v>
      </c>
      <c r="N299" t="s">
        <v>2279</v>
      </c>
      <c r="O299" s="190" t="str">
        <f>"["&amp;$C299&amp;"]["&amp;$D299&amp;"]["&amp;$F299&amp;"]"</f>
        <v>[S05_DefaultValues][5][FuelMaterialType]</v>
      </c>
    </row>
    <row r="300" spans="1:15" x14ac:dyDescent="0.3">
      <c r="A300" t="s">
        <v>2277</v>
      </c>
      <c r="B300" t="s">
        <v>1847</v>
      </c>
      <c r="C300" t="s">
        <v>1855</v>
      </c>
      <c r="D300">
        <v>6</v>
      </c>
      <c r="E300" t="s">
        <v>1447</v>
      </c>
      <c r="F300" t="s">
        <v>1857</v>
      </c>
      <c r="G300" t="s">
        <v>1741</v>
      </c>
      <c r="H300" t="s">
        <v>2340</v>
      </c>
      <c r="I300" t="s">
        <v>2279</v>
      </c>
      <c r="J300" t="s">
        <v>2279</v>
      </c>
      <c r="K300" t="s">
        <v>2279</v>
      </c>
      <c r="L300" t="s">
        <v>2279</v>
      </c>
      <c r="M300" t="s">
        <v>2279</v>
      </c>
      <c r="N300" t="s">
        <v>2279</v>
      </c>
      <c r="O300" s="190" t="str">
        <f>"["&amp;$C300&amp;"]["&amp;$D300&amp;"]["&amp;$F300&amp;"]"</f>
        <v>[S05_DefaultValues][6][FuelMaterialType]</v>
      </c>
    </row>
    <row r="301" spans="1:15" x14ac:dyDescent="0.3">
      <c r="A301" t="s">
        <v>2277</v>
      </c>
      <c r="B301" t="s">
        <v>1847</v>
      </c>
      <c r="C301" t="s">
        <v>1855</v>
      </c>
      <c r="D301">
        <v>7</v>
      </c>
      <c r="E301" t="s">
        <v>1447</v>
      </c>
      <c r="F301" t="s">
        <v>1857</v>
      </c>
      <c r="G301" t="s">
        <v>1741</v>
      </c>
      <c r="H301" t="s">
        <v>2341</v>
      </c>
      <c r="I301" t="s">
        <v>2279</v>
      </c>
      <c r="J301" t="s">
        <v>2279</v>
      </c>
      <c r="K301" t="s">
        <v>2279</v>
      </c>
      <c r="L301" t="s">
        <v>2279</v>
      </c>
      <c r="M301" t="s">
        <v>2279</v>
      </c>
      <c r="N301" t="s">
        <v>2279</v>
      </c>
      <c r="O301" s="190" t="str">
        <f>"["&amp;$C301&amp;"]["&amp;$D301&amp;"]["&amp;$F301&amp;"]"</f>
        <v>[S05_DefaultValues][7][FuelMaterialType]</v>
      </c>
    </row>
    <row r="302" spans="1:15" x14ac:dyDescent="0.3">
      <c r="A302" t="s">
        <v>2277</v>
      </c>
      <c r="B302" t="s">
        <v>1847</v>
      </c>
      <c r="C302" t="s">
        <v>1855</v>
      </c>
      <c r="D302">
        <v>8</v>
      </c>
      <c r="E302" t="s">
        <v>1447</v>
      </c>
      <c r="F302" t="s">
        <v>1857</v>
      </c>
      <c r="G302" t="s">
        <v>1741</v>
      </c>
      <c r="H302" t="s">
        <v>2342</v>
      </c>
      <c r="I302" t="s">
        <v>2279</v>
      </c>
      <c r="J302" t="s">
        <v>2279</v>
      </c>
      <c r="K302" t="s">
        <v>2279</v>
      </c>
      <c r="L302" t="s">
        <v>2279</v>
      </c>
      <c r="M302" t="s">
        <v>2279</v>
      </c>
      <c r="N302" t="s">
        <v>2279</v>
      </c>
      <c r="O302" s="190" t="str">
        <f>"["&amp;$C302&amp;"]["&amp;$D302&amp;"]["&amp;$F302&amp;"]"</f>
        <v>[S05_DefaultValues][8][FuelMaterialType]</v>
      </c>
    </row>
    <row r="303" spans="1:15" x14ac:dyDescent="0.3">
      <c r="A303" t="s">
        <v>2277</v>
      </c>
      <c r="B303" t="s">
        <v>1847</v>
      </c>
      <c r="C303" t="s">
        <v>1855</v>
      </c>
      <c r="D303">
        <v>9</v>
      </c>
      <c r="E303" t="s">
        <v>1447</v>
      </c>
      <c r="F303" t="s">
        <v>1857</v>
      </c>
      <c r="G303" t="s">
        <v>1741</v>
      </c>
      <c r="H303" t="s">
        <v>2343</v>
      </c>
      <c r="I303" t="s">
        <v>2279</v>
      </c>
      <c r="J303" t="s">
        <v>2279</v>
      </c>
      <c r="K303" t="s">
        <v>2279</v>
      </c>
      <c r="L303" t="s">
        <v>2279</v>
      </c>
      <c r="M303" t="s">
        <v>2279</v>
      </c>
      <c r="N303" t="s">
        <v>2279</v>
      </c>
      <c r="O303" s="190" t="str">
        <f>"["&amp;$C303&amp;"]["&amp;$D303&amp;"]["&amp;$F303&amp;"]"</f>
        <v>[S05_DefaultValues][9][FuelMaterialType]</v>
      </c>
    </row>
    <row r="304" spans="1:15" x14ac:dyDescent="0.3">
      <c r="A304" t="s">
        <v>2277</v>
      </c>
      <c r="B304" t="s">
        <v>1847</v>
      </c>
      <c r="C304" t="s">
        <v>1855</v>
      </c>
      <c r="D304">
        <v>10</v>
      </c>
      <c r="E304" t="s">
        <v>1447</v>
      </c>
      <c r="F304" t="s">
        <v>1857</v>
      </c>
      <c r="G304" t="s">
        <v>1741</v>
      </c>
      <c r="H304" t="s">
        <v>2344</v>
      </c>
      <c r="I304" t="s">
        <v>2279</v>
      </c>
      <c r="J304" t="s">
        <v>2279</v>
      </c>
      <c r="K304" t="s">
        <v>2279</v>
      </c>
      <c r="L304" t="s">
        <v>2279</v>
      </c>
      <c r="M304" t="s">
        <v>2279</v>
      </c>
      <c r="N304" t="s">
        <v>2279</v>
      </c>
      <c r="O304" s="190" t="str">
        <f>"["&amp;$C304&amp;"]["&amp;$D304&amp;"]["&amp;$F304&amp;"]"</f>
        <v>[S05_DefaultValues][10][FuelMaterialType]</v>
      </c>
    </row>
    <row r="305" spans="1:15" x14ac:dyDescent="0.3">
      <c r="A305" t="s">
        <v>2277</v>
      </c>
      <c r="B305" t="s">
        <v>1847</v>
      </c>
      <c r="C305" t="s">
        <v>1855</v>
      </c>
      <c r="D305">
        <v>11</v>
      </c>
      <c r="E305" t="s">
        <v>1447</v>
      </c>
      <c r="F305" t="s">
        <v>1857</v>
      </c>
      <c r="G305" t="s">
        <v>1741</v>
      </c>
      <c r="H305" t="s">
        <v>2344</v>
      </c>
      <c r="I305" t="s">
        <v>2279</v>
      </c>
      <c r="J305" t="s">
        <v>2279</v>
      </c>
      <c r="K305" t="s">
        <v>2279</v>
      </c>
      <c r="L305" t="s">
        <v>2279</v>
      </c>
      <c r="M305" t="s">
        <v>2279</v>
      </c>
      <c r="N305" t="s">
        <v>2279</v>
      </c>
      <c r="O305" s="190" t="str">
        <f>"["&amp;$C305&amp;"]["&amp;$D305&amp;"]["&amp;$F305&amp;"]"</f>
        <v>[S05_DefaultValues][11][FuelMaterialType]</v>
      </c>
    </row>
    <row r="306" spans="1:15" x14ac:dyDescent="0.3">
      <c r="A306" t="s">
        <v>2277</v>
      </c>
      <c r="B306" t="s">
        <v>1847</v>
      </c>
      <c r="C306" t="s">
        <v>1855</v>
      </c>
      <c r="D306">
        <v>12</v>
      </c>
      <c r="E306" t="s">
        <v>1447</v>
      </c>
      <c r="F306" t="s">
        <v>1857</v>
      </c>
      <c r="G306" t="s">
        <v>1741</v>
      </c>
      <c r="H306" t="s">
        <v>2345</v>
      </c>
      <c r="I306" t="s">
        <v>2279</v>
      </c>
      <c r="J306" t="s">
        <v>2279</v>
      </c>
      <c r="K306" t="s">
        <v>2279</v>
      </c>
      <c r="L306" t="s">
        <v>2279</v>
      </c>
      <c r="M306" t="s">
        <v>2279</v>
      </c>
      <c r="N306" t="s">
        <v>2279</v>
      </c>
      <c r="O306" s="190" t="str">
        <f>"["&amp;$C306&amp;"]["&amp;$D306&amp;"]["&amp;$F306&amp;"]"</f>
        <v>[S05_DefaultValues][12][FuelMaterialType]</v>
      </c>
    </row>
    <row r="307" spans="1:15" x14ac:dyDescent="0.3">
      <c r="A307" t="s">
        <v>2277</v>
      </c>
      <c r="B307" t="s">
        <v>1847</v>
      </c>
      <c r="C307" t="s">
        <v>1855</v>
      </c>
      <c r="D307">
        <v>13</v>
      </c>
      <c r="E307" t="s">
        <v>1447</v>
      </c>
      <c r="F307" t="s">
        <v>1857</v>
      </c>
      <c r="G307" t="s">
        <v>1741</v>
      </c>
      <c r="H307" t="s">
        <v>2346</v>
      </c>
      <c r="I307" t="s">
        <v>2279</v>
      </c>
      <c r="J307" t="s">
        <v>2279</v>
      </c>
      <c r="K307" t="s">
        <v>2279</v>
      </c>
      <c r="L307" t="s">
        <v>2279</v>
      </c>
      <c r="M307" t="s">
        <v>2279</v>
      </c>
      <c r="N307" t="s">
        <v>2279</v>
      </c>
      <c r="O307" s="190" t="str">
        <f>"["&amp;$C307&amp;"]["&amp;$D307&amp;"]["&amp;$F307&amp;"]"</f>
        <v>[S05_DefaultValues][13][FuelMaterialType]</v>
      </c>
    </row>
    <row r="308" spans="1:15" x14ac:dyDescent="0.3">
      <c r="A308" t="s">
        <v>2277</v>
      </c>
      <c r="B308" t="s">
        <v>1847</v>
      </c>
      <c r="C308" t="s">
        <v>1855</v>
      </c>
      <c r="D308">
        <v>14</v>
      </c>
      <c r="E308" t="s">
        <v>1447</v>
      </c>
      <c r="F308" t="s">
        <v>1857</v>
      </c>
      <c r="G308" t="s">
        <v>1741</v>
      </c>
      <c r="H308" t="s">
        <v>2347</v>
      </c>
      <c r="I308" t="s">
        <v>2279</v>
      </c>
      <c r="J308" t="s">
        <v>2279</v>
      </c>
      <c r="K308" t="s">
        <v>2279</v>
      </c>
      <c r="L308" t="s">
        <v>2279</v>
      </c>
      <c r="M308" t="s">
        <v>2279</v>
      </c>
      <c r="N308" t="s">
        <v>2279</v>
      </c>
      <c r="O308" s="190" t="str">
        <f>"["&amp;$C308&amp;"]["&amp;$D308&amp;"]["&amp;$F308&amp;"]"</f>
        <v>[S05_DefaultValues][14][FuelMaterialType]</v>
      </c>
    </row>
    <row r="309" spans="1:15" x14ac:dyDescent="0.3">
      <c r="A309" t="s">
        <v>2277</v>
      </c>
      <c r="B309" t="s">
        <v>1847</v>
      </c>
      <c r="C309" t="s">
        <v>1855</v>
      </c>
      <c r="D309">
        <v>15</v>
      </c>
      <c r="E309" t="s">
        <v>1447</v>
      </c>
      <c r="F309" t="s">
        <v>1857</v>
      </c>
      <c r="G309" t="s">
        <v>1741</v>
      </c>
      <c r="H309" t="s">
        <v>2348</v>
      </c>
      <c r="I309" t="s">
        <v>2279</v>
      </c>
      <c r="J309" t="s">
        <v>2279</v>
      </c>
      <c r="K309" t="s">
        <v>2279</v>
      </c>
      <c r="L309" t="s">
        <v>2279</v>
      </c>
      <c r="M309" t="s">
        <v>2279</v>
      </c>
      <c r="N309" t="s">
        <v>2279</v>
      </c>
      <c r="O309" s="190" t="str">
        <f>"["&amp;$C309&amp;"]["&amp;$D309&amp;"]["&amp;$F309&amp;"]"</f>
        <v>[S05_DefaultValues][15][FuelMaterialType]</v>
      </c>
    </row>
    <row r="310" spans="1:15" x14ac:dyDescent="0.3">
      <c r="A310" t="s">
        <v>2277</v>
      </c>
      <c r="B310" t="s">
        <v>1847</v>
      </c>
      <c r="C310" t="s">
        <v>1855</v>
      </c>
      <c r="D310">
        <v>16</v>
      </c>
      <c r="E310" t="s">
        <v>1447</v>
      </c>
      <c r="F310" t="s">
        <v>1857</v>
      </c>
      <c r="G310" t="s">
        <v>1741</v>
      </c>
      <c r="H310" t="s">
        <v>2349</v>
      </c>
      <c r="I310" t="s">
        <v>2279</v>
      </c>
      <c r="J310" t="s">
        <v>2279</v>
      </c>
      <c r="K310" t="s">
        <v>2279</v>
      </c>
      <c r="L310" t="s">
        <v>2279</v>
      </c>
      <c r="M310" t="s">
        <v>2279</v>
      </c>
      <c r="N310" t="s">
        <v>2279</v>
      </c>
      <c r="O310" s="190" t="str">
        <f>"["&amp;$C310&amp;"]["&amp;$D310&amp;"]["&amp;$F310&amp;"]"</f>
        <v>[S05_DefaultValues][16][FuelMaterialType]</v>
      </c>
    </row>
    <row r="311" spans="1:15" x14ac:dyDescent="0.3">
      <c r="A311" t="s">
        <v>2277</v>
      </c>
      <c r="B311" t="s">
        <v>1847</v>
      </c>
      <c r="C311" t="s">
        <v>1855</v>
      </c>
      <c r="D311">
        <v>17</v>
      </c>
      <c r="E311" t="s">
        <v>1447</v>
      </c>
      <c r="F311" t="s">
        <v>1857</v>
      </c>
      <c r="G311" t="s">
        <v>1741</v>
      </c>
      <c r="H311" t="s">
        <v>2350</v>
      </c>
      <c r="I311" t="s">
        <v>2279</v>
      </c>
      <c r="J311" t="s">
        <v>2279</v>
      </c>
      <c r="K311" t="s">
        <v>2279</v>
      </c>
      <c r="L311" t="s">
        <v>2279</v>
      </c>
      <c r="M311" t="s">
        <v>2279</v>
      </c>
      <c r="N311" t="s">
        <v>2279</v>
      </c>
      <c r="O311" s="190" t="str">
        <f>"["&amp;$C311&amp;"]["&amp;$D311&amp;"]["&amp;$F311&amp;"]"</f>
        <v>[S05_DefaultValues][17][FuelMaterialType]</v>
      </c>
    </row>
    <row r="312" spans="1:15" x14ac:dyDescent="0.3">
      <c r="A312" t="s">
        <v>2277</v>
      </c>
      <c r="B312" t="s">
        <v>1847</v>
      </c>
      <c r="C312" t="s">
        <v>1855</v>
      </c>
      <c r="D312">
        <v>18</v>
      </c>
      <c r="E312" t="s">
        <v>1447</v>
      </c>
      <c r="F312" t="s">
        <v>1857</v>
      </c>
      <c r="G312" t="s">
        <v>1741</v>
      </c>
      <c r="H312" t="s">
        <v>2351</v>
      </c>
      <c r="I312" t="s">
        <v>2279</v>
      </c>
      <c r="J312" t="s">
        <v>2279</v>
      </c>
      <c r="K312" t="s">
        <v>2279</v>
      </c>
      <c r="L312" t="s">
        <v>2279</v>
      </c>
      <c r="M312" t="s">
        <v>2279</v>
      </c>
      <c r="N312" t="s">
        <v>2279</v>
      </c>
      <c r="O312" s="190" t="str">
        <f>"["&amp;$C312&amp;"]["&amp;$D312&amp;"]["&amp;$F312&amp;"]"</f>
        <v>[S05_DefaultValues][18][FuelMaterialType]</v>
      </c>
    </row>
    <row r="313" spans="1:15" x14ac:dyDescent="0.3">
      <c r="A313" t="s">
        <v>2277</v>
      </c>
      <c r="B313" t="s">
        <v>1847</v>
      </c>
      <c r="C313" t="s">
        <v>1855</v>
      </c>
      <c r="D313">
        <v>19</v>
      </c>
      <c r="E313" t="s">
        <v>1447</v>
      </c>
      <c r="F313" t="s">
        <v>1857</v>
      </c>
      <c r="G313" t="s">
        <v>1741</v>
      </c>
      <c r="H313" t="s">
        <v>2352</v>
      </c>
      <c r="I313" t="s">
        <v>2279</v>
      </c>
      <c r="J313" t="s">
        <v>2279</v>
      </c>
      <c r="K313" t="s">
        <v>2279</v>
      </c>
      <c r="L313" t="s">
        <v>2279</v>
      </c>
      <c r="M313" t="s">
        <v>2279</v>
      </c>
      <c r="N313" t="s">
        <v>2279</v>
      </c>
      <c r="O313" s="190" t="str">
        <f>"["&amp;$C313&amp;"]["&amp;$D313&amp;"]["&amp;$F313&amp;"]"</f>
        <v>[S05_DefaultValues][19][FuelMaterialType]</v>
      </c>
    </row>
    <row r="314" spans="1:15" x14ac:dyDescent="0.3">
      <c r="A314" t="s">
        <v>2277</v>
      </c>
      <c r="B314" t="s">
        <v>1847</v>
      </c>
      <c r="C314" t="s">
        <v>1855</v>
      </c>
      <c r="D314">
        <v>20</v>
      </c>
      <c r="E314" t="s">
        <v>1447</v>
      </c>
      <c r="F314" t="s">
        <v>1857</v>
      </c>
      <c r="G314" t="s">
        <v>1741</v>
      </c>
      <c r="H314" t="s">
        <v>2353</v>
      </c>
      <c r="I314" t="s">
        <v>2279</v>
      </c>
      <c r="J314" t="s">
        <v>2279</v>
      </c>
      <c r="K314" t="s">
        <v>2279</v>
      </c>
      <c r="L314" t="s">
        <v>2279</v>
      </c>
      <c r="M314" t="s">
        <v>2279</v>
      </c>
      <c r="N314" t="s">
        <v>2279</v>
      </c>
      <c r="O314" s="190" t="str">
        <f>"["&amp;$C314&amp;"]["&amp;$D314&amp;"]["&amp;$F314&amp;"]"</f>
        <v>[S05_DefaultValues][20][FuelMaterialType]</v>
      </c>
    </row>
    <row r="315" spans="1:15" x14ac:dyDescent="0.3">
      <c r="A315" t="s">
        <v>2277</v>
      </c>
      <c r="B315" t="s">
        <v>1847</v>
      </c>
      <c r="C315" t="s">
        <v>1855</v>
      </c>
      <c r="D315">
        <v>21</v>
      </c>
      <c r="E315" t="s">
        <v>1447</v>
      </c>
      <c r="F315" t="s">
        <v>1857</v>
      </c>
      <c r="G315" t="s">
        <v>1741</v>
      </c>
      <c r="H315" t="s">
        <v>2354</v>
      </c>
      <c r="I315" t="s">
        <v>2279</v>
      </c>
      <c r="J315" t="s">
        <v>2279</v>
      </c>
      <c r="K315" t="s">
        <v>2279</v>
      </c>
      <c r="L315" t="s">
        <v>2279</v>
      </c>
      <c r="M315" t="s">
        <v>2279</v>
      </c>
      <c r="N315" t="s">
        <v>2279</v>
      </c>
      <c r="O315" s="190" t="str">
        <f>"["&amp;$C315&amp;"]["&amp;$D315&amp;"]["&amp;$F315&amp;"]"</f>
        <v>[S05_DefaultValues][21][FuelMaterialType]</v>
      </c>
    </row>
    <row r="316" spans="1:15" x14ac:dyDescent="0.3">
      <c r="A316" t="s">
        <v>2277</v>
      </c>
      <c r="B316" t="s">
        <v>1847</v>
      </c>
      <c r="C316" t="s">
        <v>1855</v>
      </c>
      <c r="D316">
        <v>22</v>
      </c>
      <c r="E316" t="s">
        <v>1447</v>
      </c>
      <c r="F316" t="s">
        <v>1857</v>
      </c>
      <c r="G316" t="s">
        <v>1741</v>
      </c>
      <c r="H316" t="s">
        <v>2355</v>
      </c>
      <c r="I316" t="s">
        <v>2279</v>
      </c>
      <c r="J316" t="s">
        <v>2279</v>
      </c>
      <c r="K316" t="s">
        <v>2279</v>
      </c>
      <c r="L316" t="s">
        <v>2279</v>
      </c>
      <c r="M316" t="s">
        <v>2279</v>
      </c>
      <c r="N316" t="s">
        <v>2279</v>
      </c>
      <c r="O316" s="190" t="str">
        <f>"["&amp;$C316&amp;"]["&amp;$D316&amp;"]["&amp;$F316&amp;"]"</f>
        <v>[S05_DefaultValues][22][FuelMaterialType]</v>
      </c>
    </row>
    <row r="317" spans="1:15" x14ac:dyDescent="0.3">
      <c r="A317" t="s">
        <v>2277</v>
      </c>
      <c r="B317" t="s">
        <v>1847</v>
      </c>
      <c r="C317" t="s">
        <v>1855</v>
      </c>
      <c r="D317">
        <v>23</v>
      </c>
      <c r="E317" t="s">
        <v>1447</v>
      </c>
      <c r="F317" t="s">
        <v>1857</v>
      </c>
      <c r="G317" t="s">
        <v>1741</v>
      </c>
      <c r="H317" t="s">
        <v>2356</v>
      </c>
      <c r="I317" t="s">
        <v>2279</v>
      </c>
      <c r="J317" t="s">
        <v>2279</v>
      </c>
      <c r="K317" t="s">
        <v>2279</v>
      </c>
      <c r="L317" t="s">
        <v>2279</v>
      </c>
      <c r="M317" t="s">
        <v>2279</v>
      </c>
      <c r="N317" t="s">
        <v>2279</v>
      </c>
      <c r="O317" s="190" t="str">
        <f>"["&amp;$C317&amp;"]["&amp;$D317&amp;"]["&amp;$F317&amp;"]"</f>
        <v>[S05_DefaultValues][23][FuelMaterialType]</v>
      </c>
    </row>
    <row r="318" spans="1:15" x14ac:dyDescent="0.3">
      <c r="A318" t="s">
        <v>2277</v>
      </c>
      <c r="B318" t="s">
        <v>1847</v>
      </c>
      <c r="C318" t="s">
        <v>1855</v>
      </c>
      <c r="D318">
        <v>24</v>
      </c>
      <c r="E318" t="s">
        <v>1447</v>
      </c>
      <c r="F318" t="s">
        <v>1857</v>
      </c>
      <c r="G318" t="s">
        <v>1741</v>
      </c>
      <c r="H318" t="s">
        <v>2357</v>
      </c>
      <c r="I318" t="s">
        <v>2279</v>
      </c>
      <c r="J318" t="s">
        <v>2279</v>
      </c>
      <c r="K318" t="s">
        <v>2279</v>
      </c>
      <c r="L318" t="s">
        <v>2279</v>
      </c>
      <c r="M318" t="s">
        <v>2279</v>
      </c>
      <c r="N318" t="s">
        <v>2279</v>
      </c>
      <c r="O318" s="190" t="str">
        <f>"["&amp;$C318&amp;"]["&amp;$D318&amp;"]["&amp;$F318&amp;"]"</f>
        <v>[S05_DefaultValues][24][FuelMaterialType]</v>
      </c>
    </row>
    <row r="319" spans="1:15" x14ac:dyDescent="0.3">
      <c r="A319" t="s">
        <v>2277</v>
      </c>
      <c r="B319" t="s">
        <v>1847</v>
      </c>
      <c r="C319" t="s">
        <v>1855</v>
      </c>
      <c r="D319">
        <v>25</v>
      </c>
      <c r="E319" t="s">
        <v>1447</v>
      </c>
      <c r="F319" t="s">
        <v>1857</v>
      </c>
      <c r="G319" t="s">
        <v>1741</v>
      </c>
      <c r="H319" t="s">
        <v>2358</v>
      </c>
      <c r="I319" t="s">
        <v>2279</v>
      </c>
      <c r="J319" t="s">
        <v>2279</v>
      </c>
      <c r="K319" t="s">
        <v>2279</v>
      </c>
      <c r="L319" t="s">
        <v>2279</v>
      </c>
      <c r="M319" t="s">
        <v>2279</v>
      </c>
      <c r="N319" t="s">
        <v>2279</v>
      </c>
      <c r="O319" s="190" t="str">
        <f>"["&amp;$C319&amp;"]["&amp;$D319&amp;"]["&amp;$F319&amp;"]"</f>
        <v>[S05_DefaultValues][25][FuelMaterialType]</v>
      </c>
    </row>
    <row r="320" spans="1:15" x14ac:dyDescent="0.3">
      <c r="A320" t="s">
        <v>2277</v>
      </c>
      <c r="B320" t="s">
        <v>1847</v>
      </c>
      <c r="C320" t="s">
        <v>1855</v>
      </c>
      <c r="D320">
        <v>1</v>
      </c>
      <c r="E320" t="s">
        <v>1447</v>
      </c>
      <c r="F320" t="s">
        <v>1858</v>
      </c>
      <c r="G320" t="s">
        <v>1748</v>
      </c>
      <c r="H320" t="s">
        <v>2279</v>
      </c>
      <c r="I320">
        <v>4</v>
      </c>
      <c r="J320" t="s">
        <v>2279</v>
      </c>
      <c r="K320" t="s">
        <v>2279</v>
      </c>
      <c r="L320" t="s">
        <v>2279</v>
      </c>
      <c r="M320" t="s">
        <v>2279</v>
      </c>
      <c r="N320" t="s">
        <v>2279</v>
      </c>
      <c r="O320" s="190" t="str">
        <f>"["&amp;$C320&amp;"]["&amp;$D320&amp;"]["&amp;$F320&amp;"]"</f>
        <v>[S05_DefaultValues][1][InstallationNumber]</v>
      </c>
    </row>
    <row r="321" spans="1:15" x14ac:dyDescent="0.3">
      <c r="A321" t="s">
        <v>2277</v>
      </c>
      <c r="B321" t="s">
        <v>1847</v>
      </c>
      <c r="C321" t="s">
        <v>1855</v>
      </c>
      <c r="D321">
        <v>2</v>
      </c>
      <c r="E321" t="s">
        <v>1447</v>
      </c>
      <c r="F321" t="s">
        <v>1858</v>
      </c>
      <c r="G321" t="s">
        <v>1748</v>
      </c>
      <c r="H321" t="s">
        <v>2279</v>
      </c>
      <c r="I321">
        <v>4</v>
      </c>
      <c r="J321" t="s">
        <v>2279</v>
      </c>
      <c r="K321" t="s">
        <v>2279</v>
      </c>
      <c r="L321" t="s">
        <v>2279</v>
      </c>
      <c r="M321" t="s">
        <v>2279</v>
      </c>
      <c r="N321" t="s">
        <v>2279</v>
      </c>
      <c r="O321" s="190" t="str">
        <f>"["&amp;$C321&amp;"]["&amp;$D321&amp;"]["&amp;$F321&amp;"]"</f>
        <v>[S05_DefaultValues][2][InstallationNumber]</v>
      </c>
    </row>
    <row r="322" spans="1:15" x14ac:dyDescent="0.3">
      <c r="A322" t="s">
        <v>2277</v>
      </c>
      <c r="B322" t="s">
        <v>1847</v>
      </c>
      <c r="C322" t="s">
        <v>1855</v>
      </c>
      <c r="D322">
        <v>3</v>
      </c>
      <c r="E322" t="s">
        <v>1447</v>
      </c>
      <c r="F322" t="s">
        <v>1858</v>
      </c>
      <c r="G322" t="s">
        <v>1748</v>
      </c>
      <c r="H322" t="s">
        <v>2279</v>
      </c>
      <c r="I322">
        <v>1</v>
      </c>
      <c r="J322" t="s">
        <v>2279</v>
      </c>
      <c r="K322" t="s">
        <v>2279</v>
      </c>
      <c r="L322" t="s">
        <v>2279</v>
      </c>
      <c r="M322" t="s">
        <v>2279</v>
      </c>
      <c r="N322" t="s">
        <v>2279</v>
      </c>
      <c r="O322" s="190" t="str">
        <f>"["&amp;$C322&amp;"]["&amp;$D322&amp;"]["&amp;$F322&amp;"]"</f>
        <v>[S05_DefaultValues][3][InstallationNumber]</v>
      </c>
    </row>
    <row r="323" spans="1:15" x14ac:dyDescent="0.3">
      <c r="A323" t="s">
        <v>2277</v>
      </c>
      <c r="B323" t="s">
        <v>1847</v>
      </c>
      <c r="C323" t="s">
        <v>1855</v>
      </c>
      <c r="D323">
        <v>4</v>
      </c>
      <c r="E323" t="s">
        <v>1447</v>
      </c>
      <c r="F323" t="s">
        <v>1858</v>
      </c>
      <c r="G323" t="s">
        <v>1748</v>
      </c>
      <c r="H323" t="s">
        <v>2279</v>
      </c>
      <c r="I323">
        <v>1</v>
      </c>
      <c r="J323" t="s">
        <v>2279</v>
      </c>
      <c r="K323" t="s">
        <v>2279</v>
      </c>
      <c r="L323" t="s">
        <v>2279</v>
      </c>
      <c r="M323" t="s">
        <v>2279</v>
      </c>
      <c r="N323" t="s">
        <v>2279</v>
      </c>
      <c r="O323" s="190" t="str">
        <f>"["&amp;$C323&amp;"]["&amp;$D323&amp;"]["&amp;$F323&amp;"]"</f>
        <v>[S05_DefaultValues][4][InstallationNumber]</v>
      </c>
    </row>
    <row r="324" spans="1:15" x14ac:dyDescent="0.3">
      <c r="A324" t="s">
        <v>2277</v>
      </c>
      <c r="B324" t="s">
        <v>1847</v>
      </c>
      <c r="C324" t="s">
        <v>1855</v>
      </c>
      <c r="D324">
        <v>5</v>
      </c>
      <c r="E324" t="s">
        <v>1447</v>
      </c>
      <c r="F324" t="s">
        <v>1858</v>
      </c>
      <c r="G324" t="s">
        <v>1748</v>
      </c>
      <c r="H324" t="s">
        <v>2279</v>
      </c>
      <c r="I324">
        <v>1</v>
      </c>
      <c r="J324" t="s">
        <v>2279</v>
      </c>
      <c r="K324" t="s">
        <v>2279</v>
      </c>
      <c r="L324" t="s">
        <v>2279</v>
      </c>
      <c r="M324" t="s">
        <v>2279</v>
      </c>
      <c r="N324" t="s">
        <v>2279</v>
      </c>
      <c r="O324" s="190" t="str">
        <f>"["&amp;$C324&amp;"]["&amp;$D324&amp;"]["&amp;$F324&amp;"]"</f>
        <v>[S05_DefaultValues][5][InstallationNumber]</v>
      </c>
    </row>
    <row r="325" spans="1:15" x14ac:dyDescent="0.3">
      <c r="A325" t="s">
        <v>2277</v>
      </c>
      <c r="B325" t="s">
        <v>1847</v>
      </c>
      <c r="C325" t="s">
        <v>1855</v>
      </c>
      <c r="D325">
        <v>6</v>
      </c>
      <c r="E325" t="s">
        <v>1447</v>
      </c>
      <c r="F325" t="s">
        <v>1858</v>
      </c>
      <c r="G325" t="s">
        <v>1748</v>
      </c>
      <c r="H325" t="s">
        <v>2279</v>
      </c>
      <c r="I325">
        <v>1</v>
      </c>
      <c r="J325" t="s">
        <v>2279</v>
      </c>
      <c r="K325" t="s">
        <v>2279</v>
      </c>
      <c r="L325" t="s">
        <v>2279</v>
      </c>
      <c r="M325" t="s">
        <v>2279</v>
      </c>
      <c r="N325" t="s">
        <v>2279</v>
      </c>
      <c r="O325" s="190" t="str">
        <f>"["&amp;$C325&amp;"]["&amp;$D325&amp;"]["&amp;$F325&amp;"]"</f>
        <v>[S05_DefaultValues][6][InstallationNumber]</v>
      </c>
    </row>
    <row r="326" spans="1:15" x14ac:dyDescent="0.3">
      <c r="A326" t="s">
        <v>2277</v>
      </c>
      <c r="B326" t="s">
        <v>1847</v>
      </c>
      <c r="C326" t="s">
        <v>1855</v>
      </c>
      <c r="D326">
        <v>7</v>
      </c>
      <c r="E326" t="s">
        <v>1447</v>
      </c>
      <c r="F326" t="s">
        <v>1858</v>
      </c>
      <c r="G326" t="s">
        <v>1748</v>
      </c>
      <c r="H326" t="s">
        <v>2279</v>
      </c>
      <c r="I326">
        <v>1</v>
      </c>
      <c r="J326" t="s">
        <v>2279</v>
      </c>
      <c r="K326" t="s">
        <v>2279</v>
      </c>
      <c r="L326" t="s">
        <v>2279</v>
      </c>
      <c r="M326" t="s">
        <v>2279</v>
      </c>
      <c r="N326" t="s">
        <v>2279</v>
      </c>
      <c r="O326" s="190" t="str">
        <f>"["&amp;$C326&amp;"]["&amp;$D326&amp;"]["&amp;$F326&amp;"]"</f>
        <v>[S05_DefaultValues][7][InstallationNumber]</v>
      </c>
    </row>
    <row r="327" spans="1:15" x14ac:dyDescent="0.3">
      <c r="A327" t="s">
        <v>2277</v>
      </c>
      <c r="B327" t="s">
        <v>1847</v>
      </c>
      <c r="C327" t="s">
        <v>1855</v>
      </c>
      <c r="D327">
        <v>8</v>
      </c>
      <c r="E327" t="s">
        <v>1447</v>
      </c>
      <c r="F327" t="s">
        <v>1858</v>
      </c>
      <c r="G327" t="s">
        <v>1748</v>
      </c>
      <c r="H327" t="s">
        <v>2279</v>
      </c>
      <c r="I327">
        <v>1</v>
      </c>
      <c r="J327" t="s">
        <v>2279</v>
      </c>
      <c r="K327" t="s">
        <v>2279</v>
      </c>
      <c r="L327" t="s">
        <v>2279</v>
      </c>
      <c r="M327" t="s">
        <v>2279</v>
      </c>
      <c r="N327" t="s">
        <v>2279</v>
      </c>
      <c r="O327" s="190" t="str">
        <f>"["&amp;$C327&amp;"]["&amp;$D327&amp;"]["&amp;$F327&amp;"]"</f>
        <v>[S05_DefaultValues][8][InstallationNumber]</v>
      </c>
    </row>
    <row r="328" spans="1:15" x14ac:dyDescent="0.3">
      <c r="A328" t="s">
        <v>2277</v>
      </c>
      <c r="B328" t="s">
        <v>1847</v>
      </c>
      <c r="C328" t="s">
        <v>1855</v>
      </c>
      <c r="D328">
        <v>9</v>
      </c>
      <c r="E328" t="s">
        <v>1447</v>
      </c>
      <c r="F328" t="s">
        <v>1858</v>
      </c>
      <c r="G328" t="s">
        <v>1748</v>
      </c>
      <c r="H328" t="s">
        <v>2279</v>
      </c>
      <c r="I328">
        <v>1</v>
      </c>
      <c r="J328" t="s">
        <v>2279</v>
      </c>
      <c r="K328" t="s">
        <v>2279</v>
      </c>
      <c r="L328" t="s">
        <v>2279</v>
      </c>
      <c r="M328" t="s">
        <v>2279</v>
      </c>
      <c r="N328" t="s">
        <v>2279</v>
      </c>
      <c r="O328" s="190" t="str">
        <f>"["&amp;$C328&amp;"]["&amp;$D328&amp;"]["&amp;$F328&amp;"]"</f>
        <v>[S05_DefaultValues][9][InstallationNumber]</v>
      </c>
    </row>
    <row r="329" spans="1:15" x14ac:dyDescent="0.3">
      <c r="A329" t="s">
        <v>2277</v>
      </c>
      <c r="B329" t="s">
        <v>1847</v>
      </c>
      <c r="C329" t="s">
        <v>1855</v>
      </c>
      <c r="D329">
        <v>10</v>
      </c>
      <c r="E329" t="s">
        <v>1447</v>
      </c>
      <c r="F329" t="s">
        <v>1858</v>
      </c>
      <c r="G329" t="s">
        <v>1748</v>
      </c>
      <c r="H329" t="s">
        <v>2279</v>
      </c>
      <c r="I329">
        <v>1</v>
      </c>
      <c r="J329" t="s">
        <v>2279</v>
      </c>
      <c r="K329" t="s">
        <v>2279</v>
      </c>
      <c r="L329" t="s">
        <v>2279</v>
      </c>
      <c r="M329" t="s">
        <v>2279</v>
      </c>
      <c r="N329" t="s">
        <v>2279</v>
      </c>
      <c r="O329" s="190" t="str">
        <f>"["&amp;$C329&amp;"]["&amp;$D329&amp;"]["&amp;$F329&amp;"]"</f>
        <v>[S05_DefaultValues][10][InstallationNumber]</v>
      </c>
    </row>
    <row r="330" spans="1:15" x14ac:dyDescent="0.3">
      <c r="A330" t="s">
        <v>2277</v>
      </c>
      <c r="B330" t="s">
        <v>1847</v>
      </c>
      <c r="C330" t="s">
        <v>1855</v>
      </c>
      <c r="D330">
        <v>11</v>
      </c>
      <c r="E330" t="s">
        <v>1447</v>
      </c>
      <c r="F330" t="s">
        <v>1858</v>
      </c>
      <c r="G330" t="s">
        <v>1748</v>
      </c>
      <c r="H330" t="s">
        <v>2279</v>
      </c>
      <c r="I330">
        <v>2</v>
      </c>
      <c r="J330" t="s">
        <v>2279</v>
      </c>
      <c r="K330" t="s">
        <v>2279</v>
      </c>
      <c r="L330" t="s">
        <v>2279</v>
      </c>
      <c r="M330" t="s">
        <v>2279</v>
      </c>
      <c r="N330" t="s">
        <v>2279</v>
      </c>
      <c r="O330" s="190" t="str">
        <f>"["&amp;$C330&amp;"]["&amp;$D330&amp;"]["&amp;$F330&amp;"]"</f>
        <v>[S05_DefaultValues][11][InstallationNumber]</v>
      </c>
    </row>
    <row r="331" spans="1:15" x14ac:dyDescent="0.3">
      <c r="A331" t="s">
        <v>2277</v>
      </c>
      <c r="B331" t="s">
        <v>1847</v>
      </c>
      <c r="C331" t="s">
        <v>1855</v>
      </c>
      <c r="D331">
        <v>12</v>
      </c>
      <c r="E331" t="s">
        <v>1447</v>
      </c>
      <c r="F331" t="s">
        <v>1858</v>
      </c>
      <c r="G331" t="s">
        <v>1748</v>
      </c>
      <c r="H331" t="s">
        <v>2279</v>
      </c>
      <c r="I331">
        <v>1</v>
      </c>
      <c r="J331" t="s">
        <v>2279</v>
      </c>
      <c r="K331" t="s">
        <v>2279</v>
      </c>
      <c r="L331" t="s">
        <v>2279</v>
      </c>
      <c r="M331" t="s">
        <v>2279</v>
      </c>
      <c r="N331" t="s">
        <v>2279</v>
      </c>
      <c r="O331" s="190" t="str">
        <f>"["&amp;$C331&amp;"]["&amp;$D331&amp;"]["&amp;$F331&amp;"]"</f>
        <v>[S05_DefaultValues][12][InstallationNumber]</v>
      </c>
    </row>
    <row r="332" spans="1:15" x14ac:dyDescent="0.3">
      <c r="A332" t="s">
        <v>2277</v>
      </c>
      <c r="B332" t="s">
        <v>1847</v>
      </c>
      <c r="C332" t="s">
        <v>1855</v>
      </c>
      <c r="D332">
        <v>13</v>
      </c>
      <c r="E332" t="s">
        <v>1447</v>
      </c>
      <c r="F332" t="s">
        <v>1858</v>
      </c>
      <c r="G332" t="s">
        <v>1748</v>
      </c>
      <c r="H332" t="s">
        <v>2279</v>
      </c>
      <c r="I332">
        <v>1</v>
      </c>
      <c r="J332" t="s">
        <v>2279</v>
      </c>
      <c r="K332" t="s">
        <v>2279</v>
      </c>
      <c r="L332" t="s">
        <v>2279</v>
      </c>
      <c r="M332" t="s">
        <v>2279</v>
      </c>
      <c r="N332" t="s">
        <v>2279</v>
      </c>
      <c r="O332" s="190" t="str">
        <f>"["&amp;$C332&amp;"]["&amp;$D332&amp;"]["&amp;$F332&amp;"]"</f>
        <v>[S05_DefaultValues][13][InstallationNumber]</v>
      </c>
    </row>
    <row r="333" spans="1:15" x14ac:dyDescent="0.3">
      <c r="A333" t="s">
        <v>2277</v>
      </c>
      <c r="B333" t="s">
        <v>1847</v>
      </c>
      <c r="C333" t="s">
        <v>1855</v>
      </c>
      <c r="D333">
        <v>14</v>
      </c>
      <c r="E333" t="s">
        <v>1447</v>
      </c>
      <c r="F333" t="s">
        <v>1858</v>
      </c>
      <c r="G333" t="s">
        <v>1748</v>
      </c>
      <c r="H333" t="s">
        <v>2279</v>
      </c>
      <c r="I333">
        <v>1</v>
      </c>
      <c r="J333" t="s">
        <v>2279</v>
      </c>
      <c r="K333" t="s">
        <v>2279</v>
      </c>
      <c r="L333" t="s">
        <v>2279</v>
      </c>
      <c r="M333" t="s">
        <v>2279</v>
      </c>
      <c r="N333" t="s">
        <v>2279</v>
      </c>
      <c r="O333" s="190" t="str">
        <f>"["&amp;$C333&amp;"]["&amp;$D333&amp;"]["&amp;$F333&amp;"]"</f>
        <v>[S05_DefaultValues][14][InstallationNumber]</v>
      </c>
    </row>
    <row r="334" spans="1:15" x14ac:dyDescent="0.3">
      <c r="A334" t="s">
        <v>2277</v>
      </c>
      <c r="B334" t="s">
        <v>1847</v>
      </c>
      <c r="C334" t="s">
        <v>1855</v>
      </c>
      <c r="D334">
        <v>15</v>
      </c>
      <c r="E334" t="s">
        <v>1447</v>
      </c>
      <c r="F334" t="s">
        <v>1858</v>
      </c>
      <c r="G334" t="s">
        <v>1748</v>
      </c>
      <c r="H334" t="s">
        <v>2279</v>
      </c>
      <c r="I334">
        <v>1</v>
      </c>
      <c r="J334" t="s">
        <v>2279</v>
      </c>
      <c r="K334" t="s">
        <v>2279</v>
      </c>
      <c r="L334" t="s">
        <v>2279</v>
      </c>
      <c r="M334" t="s">
        <v>2279</v>
      </c>
      <c r="N334" t="s">
        <v>2279</v>
      </c>
      <c r="O334" s="190" t="str">
        <f>"["&amp;$C334&amp;"]["&amp;$D334&amp;"]["&amp;$F334&amp;"]"</f>
        <v>[S05_DefaultValues][15][InstallationNumber]</v>
      </c>
    </row>
    <row r="335" spans="1:15" x14ac:dyDescent="0.3">
      <c r="A335" t="s">
        <v>2277</v>
      </c>
      <c r="B335" t="s">
        <v>1847</v>
      </c>
      <c r="C335" t="s">
        <v>1855</v>
      </c>
      <c r="D335">
        <v>16</v>
      </c>
      <c r="E335" t="s">
        <v>1447</v>
      </c>
      <c r="F335" t="s">
        <v>1858</v>
      </c>
      <c r="G335" t="s">
        <v>1748</v>
      </c>
      <c r="H335" t="s">
        <v>2279</v>
      </c>
      <c r="I335">
        <v>1</v>
      </c>
      <c r="J335" t="s">
        <v>2279</v>
      </c>
      <c r="K335" t="s">
        <v>2279</v>
      </c>
      <c r="L335" t="s">
        <v>2279</v>
      </c>
      <c r="M335" t="s">
        <v>2279</v>
      </c>
      <c r="N335" t="s">
        <v>2279</v>
      </c>
      <c r="O335" s="190" t="str">
        <f>"["&amp;$C335&amp;"]["&amp;$D335&amp;"]["&amp;$F335&amp;"]"</f>
        <v>[S05_DefaultValues][16][InstallationNumber]</v>
      </c>
    </row>
    <row r="336" spans="1:15" x14ac:dyDescent="0.3">
      <c r="A336" t="s">
        <v>2277</v>
      </c>
      <c r="B336" t="s">
        <v>1847</v>
      </c>
      <c r="C336" t="s">
        <v>1855</v>
      </c>
      <c r="D336">
        <v>17</v>
      </c>
      <c r="E336" t="s">
        <v>1447</v>
      </c>
      <c r="F336" t="s">
        <v>1858</v>
      </c>
      <c r="G336" t="s">
        <v>1748</v>
      </c>
      <c r="H336" t="s">
        <v>2279</v>
      </c>
      <c r="I336">
        <v>1</v>
      </c>
      <c r="J336" t="s">
        <v>2279</v>
      </c>
      <c r="K336" t="s">
        <v>2279</v>
      </c>
      <c r="L336" t="s">
        <v>2279</v>
      </c>
      <c r="M336" t="s">
        <v>2279</v>
      </c>
      <c r="N336" t="s">
        <v>2279</v>
      </c>
      <c r="O336" s="190" t="str">
        <f>"["&amp;$C336&amp;"]["&amp;$D336&amp;"]["&amp;$F336&amp;"]"</f>
        <v>[S05_DefaultValues][17][InstallationNumber]</v>
      </c>
    </row>
    <row r="337" spans="1:15" x14ac:dyDescent="0.3">
      <c r="A337" t="s">
        <v>2277</v>
      </c>
      <c r="B337" t="s">
        <v>1847</v>
      </c>
      <c r="C337" t="s">
        <v>1855</v>
      </c>
      <c r="D337">
        <v>18</v>
      </c>
      <c r="E337" t="s">
        <v>1447</v>
      </c>
      <c r="F337" t="s">
        <v>1858</v>
      </c>
      <c r="G337" t="s">
        <v>1748</v>
      </c>
      <c r="H337" t="s">
        <v>2279</v>
      </c>
      <c r="I337">
        <v>1</v>
      </c>
      <c r="J337" t="s">
        <v>2279</v>
      </c>
      <c r="K337" t="s">
        <v>2279</v>
      </c>
      <c r="L337" t="s">
        <v>2279</v>
      </c>
      <c r="M337" t="s">
        <v>2279</v>
      </c>
      <c r="N337" t="s">
        <v>2279</v>
      </c>
      <c r="O337" s="190" t="str">
        <f>"["&amp;$C337&amp;"]["&amp;$D337&amp;"]["&amp;$F337&amp;"]"</f>
        <v>[S05_DefaultValues][18][InstallationNumber]</v>
      </c>
    </row>
    <row r="338" spans="1:15" x14ac:dyDescent="0.3">
      <c r="A338" t="s">
        <v>2277</v>
      </c>
      <c r="B338" t="s">
        <v>1847</v>
      </c>
      <c r="C338" t="s">
        <v>1855</v>
      </c>
      <c r="D338">
        <v>19</v>
      </c>
      <c r="E338" t="s">
        <v>1447</v>
      </c>
      <c r="F338" t="s">
        <v>1858</v>
      </c>
      <c r="G338" t="s">
        <v>1748</v>
      </c>
      <c r="H338" t="s">
        <v>2279</v>
      </c>
      <c r="I338">
        <v>1</v>
      </c>
      <c r="J338" t="s">
        <v>2279</v>
      </c>
      <c r="K338" t="s">
        <v>2279</v>
      </c>
      <c r="L338" t="s">
        <v>2279</v>
      </c>
      <c r="M338" t="s">
        <v>2279</v>
      </c>
      <c r="N338" t="s">
        <v>2279</v>
      </c>
      <c r="O338" s="190" t="str">
        <f>"["&amp;$C338&amp;"]["&amp;$D338&amp;"]["&amp;$F338&amp;"]"</f>
        <v>[S05_DefaultValues][19][InstallationNumber]</v>
      </c>
    </row>
    <row r="339" spans="1:15" x14ac:dyDescent="0.3">
      <c r="A339" t="s">
        <v>2277</v>
      </c>
      <c r="B339" t="s">
        <v>1847</v>
      </c>
      <c r="C339" t="s">
        <v>1855</v>
      </c>
      <c r="D339">
        <v>20</v>
      </c>
      <c r="E339" t="s">
        <v>1447</v>
      </c>
      <c r="F339" t="s">
        <v>1858</v>
      </c>
      <c r="G339" t="s">
        <v>1748</v>
      </c>
      <c r="H339" t="s">
        <v>2279</v>
      </c>
      <c r="I339">
        <v>1</v>
      </c>
      <c r="J339" t="s">
        <v>2279</v>
      </c>
      <c r="K339" t="s">
        <v>2279</v>
      </c>
      <c r="L339" t="s">
        <v>2279</v>
      </c>
      <c r="M339" t="s">
        <v>2279</v>
      </c>
      <c r="N339" t="s">
        <v>2279</v>
      </c>
      <c r="O339" s="190" t="str">
        <f>"["&amp;$C339&amp;"]["&amp;$D339&amp;"]["&amp;$F339&amp;"]"</f>
        <v>[S05_DefaultValues][20][InstallationNumber]</v>
      </c>
    </row>
    <row r="340" spans="1:15" x14ac:dyDescent="0.3">
      <c r="A340" t="s">
        <v>2277</v>
      </c>
      <c r="B340" t="s">
        <v>1847</v>
      </c>
      <c r="C340" t="s">
        <v>1855</v>
      </c>
      <c r="D340">
        <v>21</v>
      </c>
      <c r="E340" t="s">
        <v>1447</v>
      </c>
      <c r="F340" t="s">
        <v>1858</v>
      </c>
      <c r="G340" t="s">
        <v>1748</v>
      </c>
      <c r="H340" t="s">
        <v>2279</v>
      </c>
      <c r="I340">
        <v>1</v>
      </c>
      <c r="J340" t="s">
        <v>2279</v>
      </c>
      <c r="K340" t="s">
        <v>2279</v>
      </c>
      <c r="L340" t="s">
        <v>2279</v>
      </c>
      <c r="M340" t="s">
        <v>2279</v>
      </c>
      <c r="N340" t="s">
        <v>2279</v>
      </c>
      <c r="O340" s="190" t="str">
        <f>"["&amp;$C340&amp;"]["&amp;$D340&amp;"]["&amp;$F340&amp;"]"</f>
        <v>[S05_DefaultValues][21][InstallationNumber]</v>
      </c>
    </row>
    <row r="341" spans="1:15" x14ac:dyDescent="0.3">
      <c r="A341" t="s">
        <v>2277</v>
      </c>
      <c r="B341" t="s">
        <v>1847</v>
      </c>
      <c r="C341" t="s">
        <v>1855</v>
      </c>
      <c r="D341">
        <v>22</v>
      </c>
      <c r="E341" t="s">
        <v>1447</v>
      </c>
      <c r="F341" t="s">
        <v>1858</v>
      </c>
      <c r="G341" t="s">
        <v>1748</v>
      </c>
      <c r="H341" t="s">
        <v>2279</v>
      </c>
      <c r="I341">
        <v>1</v>
      </c>
      <c r="J341" t="s">
        <v>2279</v>
      </c>
      <c r="K341" t="s">
        <v>2279</v>
      </c>
      <c r="L341" t="s">
        <v>2279</v>
      </c>
      <c r="M341" t="s">
        <v>2279</v>
      </c>
      <c r="N341" t="s">
        <v>2279</v>
      </c>
      <c r="O341" s="190" t="str">
        <f>"["&amp;$C341&amp;"]["&amp;$D341&amp;"]["&amp;$F341&amp;"]"</f>
        <v>[S05_DefaultValues][22][InstallationNumber]</v>
      </c>
    </row>
    <row r="342" spans="1:15" x14ac:dyDescent="0.3">
      <c r="A342" t="s">
        <v>2277</v>
      </c>
      <c r="B342" t="s">
        <v>1847</v>
      </c>
      <c r="C342" t="s">
        <v>1855</v>
      </c>
      <c r="D342">
        <v>23</v>
      </c>
      <c r="E342" t="s">
        <v>1447</v>
      </c>
      <c r="F342" t="s">
        <v>1858</v>
      </c>
      <c r="G342" t="s">
        <v>1748</v>
      </c>
      <c r="H342" t="s">
        <v>2279</v>
      </c>
      <c r="I342">
        <v>1</v>
      </c>
      <c r="J342" t="s">
        <v>2279</v>
      </c>
      <c r="K342" t="s">
        <v>2279</v>
      </c>
      <c r="L342" t="s">
        <v>2279</v>
      </c>
      <c r="M342" t="s">
        <v>2279</v>
      </c>
      <c r="N342" t="s">
        <v>2279</v>
      </c>
      <c r="O342" s="190" t="str">
        <f>"["&amp;$C342&amp;"]["&amp;$D342&amp;"]["&amp;$F342&amp;"]"</f>
        <v>[S05_DefaultValues][23][InstallationNumber]</v>
      </c>
    </row>
    <row r="343" spans="1:15" x14ac:dyDescent="0.3">
      <c r="A343" t="s">
        <v>2277</v>
      </c>
      <c r="B343" t="s">
        <v>1847</v>
      </c>
      <c r="C343" t="s">
        <v>1855</v>
      </c>
      <c r="D343">
        <v>24</v>
      </c>
      <c r="E343" t="s">
        <v>1447</v>
      </c>
      <c r="F343" t="s">
        <v>1858</v>
      </c>
      <c r="G343" t="s">
        <v>1748</v>
      </c>
      <c r="H343" t="s">
        <v>2279</v>
      </c>
      <c r="I343">
        <v>1</v>
      </c>
      <c r="J343" t="s">
        <v>2279</v>
      </c>
      <c r="K343" t="s">
        <v>2279</v>
      </c>
      <c r="L343" t="s">
        <v>2279</v>
      </c>
      <c r="M343" t="s">
        <v>2279</v>
      </c>
      <c r="N343" t="s">
        <v>2279</v>
      </c>
      <c r="O343" s="190" t="str">
        <f>"["&amp;$C343&amp;"]["&amp;$D343&amp;"]["&amp;$F343&amp;"]"</f>
        <v>[S05_DefaultValues][24][InstallationNumber]</v>
      </c>
    </row>
    <row r="344" spans="1:15" x14ac:dyDescent="0.3">
      <c r="A344" t="s">
        <v>2277</v>
      </c>
      <c r="B344" t="s">
        <v>1847</v>
      </c>
      <c r="C344" t="s">
        <v>1855</v>
      </c>
      <c r="D344">
        <v>25</v>
      </c>
      <c r="E344" t="s">
        <v>1447</v>
      </c>
      <c r="F344" t="s">
        <v>1858</v>
      </c>
      <c r="G344" t="s">
        <v>1748</v>
      </c>
      <c r="H344" t="s">
        <v>2279</v>
      </c>
      <c r="I344">
        <v>1</v>
      </c>
      <c r="J344" t="s">
        <v>2279</v>
      </c>
      <c r="K344" t="s">
        <v>2279</v>
      </c>
      <c r="L344" t="s">
        <v>2279</v>
      </c>
      <c r="M344" t="s">
        <v>2279</v>
      </c>
      <c r="N344" t="s">
        <v>2279</v>
      </c>
      <c r="O344" s="190" t="str">
        <f>"["&amp;$C344&amp;"]["&amp;$D344&amp;"]["&amp;$F344&amp;"]"</f>
        <v>[S05_DefaultValues][25][InstallationNumber]</v>
      </c>
    </row>
    <row r="345" spans="1:15" x14ac:dyDescent="0.3">
      <c r="A345" t="s">
        <v>2277</v>
      </c>
      <c r="B345" t="s">
        <v>1874</v>
      </c>
      <c r="C345" t="s">
        <v>1875</v>
      </c>
      <c r="D345">
        <v>1</v>
      </c>
      <c r="E345" t="s">
        <v>1447</v>
      </c>
      <c r="F345" t="s">
        <v>1876</v>
      </c>
      <c r="G345" t="s">
        <v>1737</v>
      </c>
      <c r="H345" t="s">
        <v>2279</v>
      </c>
      <c r="I345" t="s">
        <v>2279</v>
      </c>
      <c r="J345" t="s">
        <v>2279</v>
      </c>
      <c r="K345" t="s">
        <v>2279</v>
      </c>
      <c r="L345" t="s">
        <v>1430</v>
      </c>
      <c r="M345" t="s">
        <v>2279</v>
      </c>
      <c r="N345" t="s">
        <v>2279</v>
      </c>
      <c r="O345" s="190" t="str">
        <f>"["&amp;$C345&amp;"]["&amp;$D345&amp;"]["&amp;$F345&amp;"]"</f>
        <v>[S05_CategoryBHighestTierNotApplied][1][MonitoringMethodology]</v>
      </c>
    </row>
    <row r="346" spans="1:15" x14ac:dyDescent="0.3">
      <c r="A346" t="s">
        <v>2277</v>
      </c>
      <c r="B346" t="s">
        <v>1874</v>
      </c>
      <c r="C346" t="s">
        <v>1875</v>
      </c>
      <c r="D346">
        <v>1</v>
      </c>
      <c r="E346" t="s">
        <v>1447</v>
      </c>
      <c r="F346" t="s">
        <v>1877</v>
      </c>
      <c r="G346" t="s">
        <v>1737</v>
      </c>
      <c r="H346" t="s">
        <v>2279</v>
      </c>
      <c r="I346" t="s">
        <v>2279</v>
      </c>
      <c r="J346" t="s">
        <v>2279</v>
      </c>
      <c r="K346" t="s">
        <v>2279</v>
      </c>
      <c r="L346" t="s">
        <v>1518</v>
      </c>
      <c r="M346" t="s">
        <v>2279</v>
      </c>
      <c r="N346" t="s">
        <v>2279</v>
      </c>
      <c r="O346" s="190" t="str">
        <f>"["&amp;$C346&amp;"]["&amp;$D346&amp;"]["&amp;$F346&amp;"]"</f>
        <v>[S05_CategoryBHighestTierNotApplied][1][CategoryBMainActivity]</v>
      </c>
    </row>
    <row r="347" spans="1:15" x14ac:dyDescent="0.3">
      <c r="A347" t="s">
        <v>2277</v>
      </c>
      <c r="B347" t="s">
        <v>1874</v>
      </c>
      <c r="C347" t="s">
        <v>1875</v>
      </c>
      <c r="D347">
        <v>1</v>
      </c>
      <c r="E347" t="s">
        <v>1447</v>
      </c>
      <c r="F347" t="s">
        <v>1878</v>
      </c>
      <c r="G347" t="s">
        <v>1748</v>
      </c>
      <c r="H347" t="s">
        <v>2279</v>
      </c>
      <c r="I347">
        <v>2</v>
      </c>
      <c r="J347" t="s">
        <v>2279</v>
      </c>
      <c r="K347" t="s">
        <v>2279</v>
      </c>
      <c r="L347" t="s">
        <v>2279</v>
      </c>
      <c r="M347" t="s">
        <v>2279</v>
      </c>
      <c r="N347" t="s">
        <v>2279</v>
      </c>
      <c r="O347" s="190" t="str">
        <f>"["&amp;$C347&amp;"]["&amp;$D347&amp;"]["&amp;$F347&amp;"]"</f>
        <v>[S05_CategoryBHighestTierNotApplied][1][CategoryBInstallationsAffected]</v>
      </c>
    </row>
    <row r="348" spans="1:15" x14ac:dyDescent="0.3">
      <c r="A348" t="s">
        <v>2277</v>
      </c>
      <c r="B348" t="s">
        <v>1879</v>
      </c>
      <c r="C348" t="s">
        <v>1880</v>
      </c>
      <c r="D348">
        <v>0</v>
      </c>
      <c r="E348" t="s">
        <v>1447</v>
      </c>
      <c r="F348" t="s">
        <v>1880</v>
      </c>
      <c r="G348" t="s">
        <v>1759</v>
      </c>
      <c r="H348" t="s">
        <v>2279</v>
      </c>
      <c r="I348" t="s">
        <v>2279</v>
      </c>
      <c r="J348" t="s">
        <v>2279</v>
      </c>
      <c r="K348" t="s">
        <v>2279</v>
      </c>
      <c r="L348" t="s">
        <v>1447</v>
      </c>
      <c r="M348" t="s">
        <v>2279</v>
      </c>
      <c r="N348" t="s">
        <v>2279</v>
      </c>
      <c r="O348" s="190" t="str">
        <f>"["&amp;$C348&amp;"]["&amp;$D348&amp;"]["&amp;$F348&amp;"]"</f>
        <v>[FallBackApproachApplied][0][FallBackApproachApplied]</v>
      </c>
    </row>
    <row r="349" spans="1:15" x14ac:dyDescent="0.3">
      <c r="A349" t="s">
        <v>2277</v>
      </c>
      <c r="B349" t="s">
        <v>1886</v>
      </c>
      <c r="C349" t="s">
        <v>1887</v>
      </c>
      <c r="D349">
        <v>1</v>
      </c>
      <c r="E349" t="s">
        <v>1447</v>
      </c>
      <c r="F349" t="s">
        <v>1856</v>
      </c>
      <c r="G349" t="s">
        <v>1737</v>
      </c>
      <c r="H349" t="s">
        <v>2279</v>
      </c>
      <c r="I349" t="s">
        <v>2279</v>
      </c>
      <c r="J349" t="s">
        <v>2279</v>
      </c>
      <c r="K349" t="s">
        <v>2279</v>
      </c>
      <c r="L349" t="s">
        <v>1460</v>
      </c>
      <c r="M349" t="s">
        <v>2279</v>
      </c>
      <c r="N349" t="s">
        <v>2279</v>
      </c>
      <c r="O349" s="190" t="str">
        <f>"["&amp;$C349&amp;"]["&amp;$D349&amp;"]["&amp;$F349&amp;"]"</f>
        <v>[S05_ImprovementReportArt69][1][InstallationCategory]</v>
      </c>
    </row>
    <row r="350" spans="1:15" x14ac:dyDescent="0.3">
      <c r="A350" t="s">
        <v>2277</v>
      </c>
      <c r="B350" t="s">
        <v>1886</v>
      </c>
      <c r="C350" t="s">
        <v>1887</v>
      </c>
      <c r="D350">
        <v>2</v>
      </c>
      <c r="E350" t="s">
        <v>1447</v>
      </c>
      <c r="F350" t="s">
        <v>1856</v>
      </c>
      <c r="G350" t="s">
        <v>1737</v>
      </c>
      <c r="H350" t="s">
        <v>2279</v>
      </c>
      <c r="I350" t="s">
        <v>2279</v>
      </c>
      <c r="J350" t="s">
        <v>2279</v>
      </c>
      <c r="K350" t="s">
        <v>2279</v>
      </c>
      <c r="L350" t="s">
        <v>1487</v>
      </c>
      <c r="M350" t="s">
        <v>2279</v>
      </c>
      <c r="N350" t="s">
        <v>2279</v>
      </c>
      <c r="O350" s="190" t="str">
        <f>"["&amp;$C350&amp;"]["&amp;$D350&amp;"]["&amp;$F350&amp;"]"</f>
        <v>[S05_ImprovementReportArt69][2][InstallationCategory]</v>
      </c>
    </row>
    <row r="351" spans="1:15" x14ac:dyDescent="0.3">
      <c r="A351" t="s">
        <v>2277</v>
      </c>
      <c r="B351" t="s">
        <v>1886</v>
      </c>
      <c r="C351" t="s">
        <v>1887</v>
      </c>
      <c r="D351">
        <v>3</v>
      </c>
      <c r="E351" t="s">
        <v>1447</v>
      </c>
      <c r="F351" t="s">
        <v>1856</v>
      </c>
      <c r="G351" t="s">
        <v>1737</v>
      </c>
      <c r="H351" t="s">
        <v>2279</v>
      </c>
      <c r="I351" t="s">
        <v>2279</v>
      </c>
      <c r="J351" t="s">
        <v>2279</v>
      </c>
      <c r="K351" t="s">
        <v>2279</v>
      </c>
      <c r="L351" t="s">
        <v>1432</v>
      </c>
      <c r="M351" t="s">
        <v>2279</v>
      </c>
      <c r="N351" t="s">
        <v>2279</v>
      </c>
      <c r="O351" s="190" t="str">
        <f>"["&amp;$C351&amp;"]["&amp;$D351&amp;"]["&amp;$F351&amp;"]"</f>
        <v>[S05_ImprovementReportArt69][3][InstallationCategory]</v>
      </c>
    </row>
    <row r="352" spans="1:15" x14ac:dyDescent="0.3">
      <c r="A352" t="s">
        <v>2277</v>
      </c>
      <c r="B352" t="s">
        <v>1886</v>
      </c>
      <c r="C352" t="s">
        <v>1887</v>
      </c>
      <c r="D352">
        <v>4</v>
      </c>
      <c r="E352" t="s">
        <v>1447</v>
      </c>
      <c r="F352" t="s">
        <v>1856</v>
      </c>
      <c r="G352" t="s">
        <v>1737</v>
      </c>
      <c r="H352" t="s">
        <v>2279</v>
      </c>
      <c r="I352" t="s">
        <v>2279</v>
      </c>
      <c r="J352" t="s">
        <v>2279</v>
      </c>
      <c r="K352" t="s">
        <v>2279</v>
      </c>
      <c r="L352" t="s">
        <v>1460</v>
      </c>
      <c r="M352" t="s">
        <v>2279</v>
      </c>
      <c r="N352" t="s">
        <v>2279</v>
      </c>
      <c r="O352" s="190" t="str">
        <f>"["&amp;$C352&amp;"]["&amp;$D352&amp;"]["&amp;$F352&amp;"]"</f>
        <v>[S05_ImprovementReportArt69][4][InstallationCategory]</v>
      </c>
    </row>
    <row r="353" spans="1:15" x14ac:dyDescent="0.3">
      <c r="A353" t="s">
        <v>2277</v>
      </c>
      <c r="B353" t="s">
        <v>1886</v>
      </c>
      <c r="C353" t="s">
        <v>1887</v>
      </c>
      <c r="D353">
        <v>5</v>
      </c>
      <c r="E353" t="s">
        <v>1447</v>
      </c>
      <c r="F353" t="s">
        <v>1856</v>
      </c>
      <c r="G353" t="s">
        <v>1737</v>
      </c>
      <c r="H353" t="s">
        <v>2279</v>
      </c>
      <c r="I353" t="s">
        <v>2279</v>
      </c>
      <c r="J353" t="s">
        <v>2279</v>
      </c>
      <c r="K353" t="s">
        <v>2279</v>
      </c>
      <c r="L353" t="s">
        <v>1432</v>
      </c>
      <c r="M353" t="s">
        <v>2279</v>
      </c>
      <c r="N353" t="s">
        <v>2279</v>
      </c>
      <c r="O353" s="190" t="str">
        <f>"["&amp;$C353&amp;"]["&amp;$D353&amp;"]["&amp;$F353&amp;"]"</f>
        <v>[S05_ImprovementReportArt69][5][InstallationCategory]</v>
      </c>
    </row>
    <row r="354" spans="1:15" x14ac:dyDescent="0.3">
      <c r="A354" t="s">
        <v>2277</v>
      </c>
      <c r="B354" t="s">
        <v>1886</v>
      </c>
      <c r="C354" t="s">
        <v>1887</v>
      </c>
      <c r="D354">
        <v>6</v>
      </c>
      <c r="E354" t="s">
        <v>1447</v>
      </c>
      <c r="F354" t="s">
        <v>1856</v>
      </c>
      <c r="G354" t="s">
        <v>1737</v>
      </c>
      <c r="H354" t="s">
        <v>2279</v>
      </c>
      <c r="I354" t="s">
        <v>2279</v>
      </c>
      <c r="J354" t="s">
        <v>2279</v>
      </c>
      <c r="K354" t="s">
        <v>2279</v>
      </c>
      <c r="L354" t="s">
        <v>1460</v>
      </c>
      <c r="M354" t="s">
        <v>2279</v>
      </c>
      <c r="N354" t="s">
        <v>2279</v>
      </c>
      <c r="O354" s="190" t="str">
        <f>"["&amp;$C354&amp;"]["&amp;$D354&amp;"]["&amp;$F354&amp;"]"</f>
        <v>[S05_ImprovementReportArt69][6][InstallationCategory]</v>
      </c>
    </row>
    <row r="355" spans="1:15" x14ac:dyDescent="0.3">
      <c r="A355" t="s">
        <v>2277</v>
      </c>
      <c r="B355" t="s">
        <v>1886</v>
      </c>
      <c r="C355" t="s">
        <v>1887</v>
      </c>
      <c r="D355">
        <v>7</v>
      </c>
      <c r="E355" t="s">
        <v>1447</v>
      </c>
      <c r="F355" t="s">
        <v>1856</v>
      </c>
      <c r="G355" t="s">
        <v>1737</v>
      </c>
      <c r="H355" t="s">
        <v>2279</v>
      </c>
      <c r="I355" t="s">
        <v>2279</v>
      </c>
      <c r="J355" t="s">
        <v>2279</v>
      </c>
      <c r="K355" t="s">
        <v>2279</v>
      </c>
      <c r="L355" t="s">
        <v>1460</v>
      </c>
      <c r="M355" t="s">
        <v>2279</v>
      </c>
      <c r="N355" t="s">
        <v>2279</v>
      </c>
      <c r="O355" s="190" t="str">
        <f>"["&amp;$C355&amp;"]["&amp;$D355&amp;"]["&amp;$F355&amp;"]"</f>
        <v>[S05_ImprovementReportArt69][7][InstallationCategory]</v>
      </c>
    </row>
    <row r="356" spans="1:15" x14ac:dyDescent="0.3">
      <c r="A356" t="s">
        <v>2277</v>
      </c>
      <c r="B356" t="s">
        <v>1886</v>
      </c>
      <c r="C356" t="s">
        <v>1887</v>
      </c>
      <c r="D356">
        <v>8</v>
      </c>
      <c r="E356" t="s">
        <v>1447</v>
      </c>
      <c r="F356" t="s">
        <v>1856</v>
      </c>
      <c r="G356" t="s">
        <v>1737</v>
      </c>
      <c r="H356" t="s">
        <v>2279</v>
      </c>
      <c r="I356" t="s">
        <v>2279</v>
      </c>
      <c r="J356" t="s">
        <v>2279</v>
      </c>
      <c r="K356" t="s">
        <v>2279</v>
      </c>
      <c r="L356" t="s">
        <v>1460</v>
      </c>
      <c r="M356" t="s">
        <v>2279</v>
      </c>
      <c r="N356" t="s">
        <v>2279</v>
      </c>
      <c r="O356" s="190" t="str">
        <f>"["&amp;$C356&amp;"]["&amp;$D356&amp;"]["&amp;$F356&amp;"]"</f>
        <v>[S05_ImprovementReportArt69][8][InstallationCategory]</v>
      </c>
    </row>
    <row r="357" spans="1:15" x14ac:dyDescent="0.3">
      <c r="A357" t="s">
        <v>2277</v>
      </c>
      <c r="B357" t="s">
        <v>1886</v>
      </c>
      <c r="C357" t="s">
        <v>1887</v>
      </c>
      <c r="D357">
        <v>9</v>
      </c>
      <c r="E357" t="s">
        <v>1447</v>
      </c>
      <c r="F357" t="s">
        <v>1856</v>
      </c>
      <c r="G357" t="s">
        <v>1737</v>
      </c>
      <c r="H357" t="s">
        <v>2279</v>
      </c>
      <c r="I357" t="s">
        <v>2279</v>
      </c>
      <c r="J357" t="s">
        <v>2279</v>
      </c>
      <c r="K357" t="s">
        <v>2279</v>
      </c>
      <c r="L357" t="s">
        <v>1487</v>
      </c>
      <c r="M357" t="s">
        <v>2279</v>
      </c>
      <c r="N357" t="s">
        <v>2279</v>
      </c>
      <c r="O357" s="190" t="str">
        <f>"["&amp;$C357&amp;"]["&amp;$D357&amp;"]["&amp;$F357&amp;"]"</f>
        <v>[S05_ImprovementReportArt69][9][InstallationCategory]</v>
      </c>
    </row>
    <row r="358" spans="1:15" x14ac:dyDescent="0.3">
      <c r="A358" t="s">
        <v>2277</v>
      </c>
      <c r="B358" t="s">
        <v>1886</v>
      </c>
      <c r="C358" t="s">
        <v>1887</v>
      </c>
      <c r="D358">
        <v>10</v>
      </c>
      <c r="E358" t="s">
        <v>1447</v>
      </c>
      <c r="F358" t="s">
        <v>1856</v>
      </c>
      <c r="G358" t="s">
        <v>1737</v>
      </c>
      <c r="H358" t="s">
        <v>2279</v>
      </c>
      <c r="I358" t="s">
        <v>2279</v>
      </c>
      <c r="J358" t="s">
        <v>2279</v>
      </c>
      <c r="K358" t="s">
        <v>2279</v>
      </c>
      <c r="L358" t="s">
        <v>1432</v>
      </c>
      <c r="M358" t="s">
        <v>2279</v>
      </c>
      <c r="N358" t="s">
        <v>2279</v>
      </c>
      <c r="O358" s="190" t="str">
        <f>"["&amp;$C358&amp;"]["&amp;$D358&amp;"]["&amp;$F358&amp;"]"</f>
        <v>[S05_ImprovementReportArt69][10][InstallationCategory]</v>
      </c>
    </row>
    <row r="359" spans="1:15" x14ac:dyDescent="0.3">
      <c r="A359" t="s">
        <v>2277</v>
      </c>
      <c r="B359" t="s">
        <v>1886</v>
      </c>
      <c r="C359" t="s">
        <v>1887</v>
      </c>
      <c r="D359">
        <v>11</v>
      </c>
      <c r="E359" t="s">
        <v>1447</v>
      </c>
      <c r="F359" t="s">
        <v>1856</v>
      </c>
      <c r="G359" t="s">
        <v>1737</v>
      </c>
      <c r="H359" t="s">
        <v>2279</v>
      </c>
      <c r="I359" t="s">
        <v>2279</v>
      </c>
      <c r="J359" t="s">
        <v>2279</v>
      </c>
      <c r="K359" t="s">
        <v>2279</v>
      </c>
      <c r="L359" t="s">
        <v>1487</v>
      </c>
      <c r="M359" t="s">
        <v>2279</v>
      </c>
      <c r="N359" t="s">
        <v>2279</v>
      </c>
      <c r="O359" s="190" t="str">
        <f>"["&amp;$C359&amp;"]["&amp;$D359&amp;"]["&amp;$F359&amp;"]"</f>
        <v>[S05_ImprovementReportArt69][11][InstallationCategory]</v>
      </c>
    </row>
    <row r="360" spans="1:15" x14ac:dyDescent="0.3">
      <c r="A360" t="s">
        <v>2277</v>
      </c>
      <c r="B360" t="s">
        <v>1886</v>
      </c>
      <c r="C360" t="s">
        <v>1887</v>
      </c>
      <c r="D360">
        <v>12</v>
      </c>
      <c r="E360" t="s">
        <v>1447</v>
      </c>
      <c r="F360" t="s">
        <v>1856</v>
      </c>
      <c r="G360" t="s">
        <v>1737</v>
      </c>
      <c r="H360" t="s">
        <v>2279</v>
      </c>
      <c r="I360" t="s">
        <v>2279</v>
      </c>
      <c r="J360" t="s">
        <v>2279</v>
      </c>
      <c r="K360" t="s">
        <v>2279</v>
      </c>
      <c r="L360" t="s">
        <v>1460</v>
      </c>
      <c r="M360" t="s">
        <v>2279</v>
      </c>
      <c r="N360" t="s">
        <v>2279</v>
      </c>
      <c r="O360" s="190" t="str">
        <f>"["&amp;$C360&amp;"]["&amp;$D360&amp;"]["&amp;$F360&amp;"]"</f>
        <v>[S05_ImprovementReportArt69][12][InstallationCategory]</v>
      </c>
    </row>
    <row r="361" spans="1:15" x14ac:dyDescent="0.3">
      <c r="A361" t="s">
        <v>2277</v>
      </c>
      <c r="B361" t="s">
        <v>1886</v>
      </c>
      <c r="C361" t="s">
        <v>1887</v>
      </c>
      <c r="D361">
        <v>1</v>
      </c>
      <c r="E361" t="s">
        <v>1447</v>
      </c>
      <c r="F361" t="s">
        <v>1888</v>
      </c>
      <c r="G361" t="s">
        <v>1737</v>
      </c>
      <c r="H361" t="s">
        <v>2279</v>
      </c>
      <c r="I361" t="s">
        <v>2279</v>
      </c>
      <c r="J361" t="s">
        <v>2279</v>
      </c>
      <c r="K361" t="s">
        <v>2279</v>
      </c>
      <c r="L361" t="s">
        <v>1518</v>
      </c>
      <c r="M361" t="s">
        <v>2279</v>
      </c>
      <c r="N361" t="s">
        <v>2279</v>
      </c>
      <c r="O361" s="190" t="str">
        <f>"["&amp;$C361&amp;"]["&amp;$D361&amp;"]["&amp;$F361&amp;"]"</f>
        <v>[S05_ImprovementReportArt69][1][Annex1Activity]</v>
      </c>
    </row>
    <row r="362" spans="1:15" x14ac:dyDescent="0.3">
      <c r="A362" t="s">
        <v>2277</v>
      </c>
      <c r="B362" t="s">
        <v>1886</v>
      </c>
      <c r="C362" t="s">
        <v>1887</v>
      </c>
      <c r="D362">
        <v>2</v>
      </c>
      <c r="E362" t="s">
        <v>1447</v>
      </c>
      <c r="F362" t="s">
        <v>1888</v>
      </c>
      <c r="G362" t="s">
        <v>1737</v>
      </c>
      <c r="H362" t="s">
        <v>2279</v>
      </c>
      <c r="I362" t="s">
        <v>2279</v>
      </c>
      <c r="J362" t="s">
        <v>2279</v>
      </c>
      <c r="K362" t="s">
        <v>2279</v>
      </c>
      <c r="L362" t="s">
        <v>1626</v>
      </c>
      <c r="M362" t="s">
        <v>2279</v>
      </c>
      <c r="N362" t="s">
        <v>2279</v>
      </c>
      <c r="O362" s="190" t="str">
        <f>"["&amp;$C362&amp;"]["&amp;$D362&amp;"]["&amp;$F362&amp;"]"</f>
        <v>[S05_ImprovementReportArt69][2][Annex1Activity]</v>
      </c>
    </row>
    <row r="363" spans="1:15" x14ac:dyDescent="0.3">
      <c r="A363" t="s">
        <v>2277</v>
      </c>
      <c r="B363" t="s">
        <v>1886</v>
      </c>
      <c r="C363" t="s">
        <v>1887</v>
      </c>
      <c r="D363">
        <v>3</v>
      </c>
      <c r="E363" t="s">
        <v>1447</v>
      </c>
      <c r="F363" t="s">
        <v>1888</v>
      </c>
      <c r="G363" t="s">
        <v>1737</v>
      </c>
      <c r="H363" t="s">
        <v>2279</v>
      </c>
      <c r="I363" t="s">
        <v>2279</v>
      </c>
      <c r="J363" t="s">
        <v>2279</v>
      </c>
      <c r="K363" t="s">
        <v>2279</v>
      </c>
      <c r="L363" t="s">
        <v>1420</v>
      </c>
      <c r="M363" t="s">
        <v>2279</v>
      </c>
      <c r="N363" t="s">
        <v>2279</v>
      </c>
      <c r="O363" s="190" t="str">
        <f>"["&amp;$C363&amp;"]["&amp;$D363&amp;"]["&amp;$F363&amp;"]"</f>
        <v>[S05_ImprovementReportArt69][3][Annex1Activity]</v>
      </c>
    </row>
    <row r="364" spans="1:15" x14ac:dyDescent="0.3">
      <c r="A364" t="s">
        <v>2277</v>
      </c>
      <c r="B364" t="s">
        <v>1886</v>
      </c>
      <c r="C364" t="s">
        <v>1887</v>
      </c>
      <c r="D364">
        <v>4</v>
      </c>
      <c r="E364" t="s">
        <v>1447</v>
      </c>
      <c r="F364" t="s">
        <v>1888</v>
      </c>
      <c r="G364" t="s">
        <v>1737</v>
      </c>
      <c r="H364" t="s">
        <v>2279</v>
      </c>
      <c r="I364" t="s">
        <v>2279</v>
      </c>
      <c r="J364" t="s">
        <v>2279</v>
      </c>
      <c r="K364" t="s">
        <v>2279</v>
      </c>
      <c r="L364" t="s">
        <v>1592</v>
      </c>
      <c r="M364" t="s">
        <v>2279</v>
      </c>
      <c r="N364" t="s">
        <v>2279</v>
      </c>
      <c r="O364" s="190" t="str">
        <f>"["&amp;$C364&amp;"]["&amp;$D364&amp;"]["&amp;$F364&amp;"]"</f>
        <v>[S05_ImprovementReportArt69][4][Annex1Activity]</v>
      </c>
    </row>
    <row r="365" spans="1:15" x14ac:dyDescent="0.3">
      <c r="A365" t="s">
        <v>2277</v>
      </c>
      <c r="B365" t="s">
        <v>1886</v>
      </c>
      <c r="C365" t="s">
        <v>1887</v>
      </c>
      <c r="D365">
        <v>5</v>
      </c>
      <c r="E365" t="s">
        <v>1447</v>
      </c>
      <c r="F365" t="s">
        <v>1888</v>
      </c>
      <c r="G365" t="s">
        <v>1737</v>
      </c>
      <c r="H365" t="s">
        <v>2279</v>
      </c>
      <c r="I365" t="s">
        <v>2279</v>
      </c>
      <c r="J365" t="s">
        <v>2279</v>
      </c>
      <c r="K365" t="s">
        <v>2279</v>
      </c>
      <c r="L365" t="s">
        <v>1597</v>
      </c>
      <c r="M365" t="s">
        <v>2279</v>
      </c>
      <c r="N365" t="s">
        <v>2279</v>
      </c>
      <c r="O365" s="190" t="str">
        <f>"["&amp;$C365&amp;"]["&amp;$D365&amp;"]["&amp;$F365&amp;"]"</f>
        <v>[S05_ImprovementReportArt69][5][Annex1Activity]</v>
      </c>
    </row>
    <row r="366" spans="1:15" x14ac:dyDescent="0.3">
      <c r="A366" t="s">
        <v>2277</v>
      </c>
      <c r="B366" t="s">
        <v>1886</v>
      </c>
      <c r="C366" t="s">
        <v>1887</v>
      </c>
      <c r="D366">
        <v>6</v>
      </c>
      <c r="E366" t="s">
        <v>1447</v>
      </c>
      <c r="F366" t="s">
        <v>1888</v>
      </c>
      <c r="G366" t="s">
        <v>1737</v>
      </c>
      <c r="H366" t="s">
        <v>2279</v>
      </c>
      <c r="I366" t="s">
        <v>2279</v>
      </c>
      <c r="J366" t="s">
        <v>2279</v>
      </c>
      <c r="K366" t="s">
        <v>2279</v>
      </c>
      <c r="L366" t="s">
        <v>1597</v>
      </c>
      <c r="M366" t="s">
        <v>2279</v>
      </c>
      <c r="N366" t="s">
        <v>2279</v>
      </c>
      <c r="O366" s="190" t="str">
        <f>"["&amp;$C366&amp;"]["&amp;$D366&amp;"]["&amp;$F366&amp;"]"</f>
        <v>[S05_ImprovementReportArt69][6][Annex1Activity]</v>
      </c>
    </row>
    <row r="367" spans="1:15" x14ac:dyDescent="0.3">
      <c r="A367" t="s">
        <v>2277</v>
      </c>
      <c r="B367" t="s">
        <v>1886</v>
      </c>
      <c r="C367" t="s">
        <v>1887</v>
      </c>
      <c r="D367">
        <v>7</v>
      </c>
      <c r="E367" t="s">
        <v>1447</v>
      </c>
      <c r="F367" t="s">
        <v>1888</v>
      </c>
      <c r="G367" t="s">
        <v>1737</v>
      </c>
      <c r="H367" t="s">
        <v>2279</v>
      </c>
      <c r="I367" t="s">
        <v>2279</v>
      </c>
      <c r="J367" t="s">
        <v>2279</v>
      </c>
      <c r="K367" t="s">
        <v>2279</v>
      </c>
      <c r="L367" t="s">
        <v>1573</v>
      </c>
      <c r="M367" t="s">
        <v>2279</v>
      </c>
      <c r="N367" t="s">
        <v>2279</v>
      </c>
      <c r="O367" s="190" t="str">
        <f>"["&amp;$C367&amp;"]["&amp;$D367&amp;"]["&amp;$F367&amp;"]"</f>
        <v>[S05_ImprovementReportArt69][7][Annex1Activity]</v>
      </c>
    </row>
    <row r="368" spans="1:15" x14ac:dyDescent="0.3">
      <c r="A368" t="s">
        <v>2277</v>
      </c>
      <c r="B368" t="s">
        <v>1886</v>
      </c>
      <c r="C368" t="s">
        <v>1887</v>
      </c>
      <c r="D368">
        <v>8</v>
      </c>
      <c r="E368" t="s">
        <v>1447</v>
      </c>
      <c r="F368" t="s">
        <v>1888</v>
      </c>
      <c r="G368" t="s">
        <v>1737</v>
      </c>
      <c r="H368" t="s">
        <v>2279</v>
      </c>
      <c r="I368" t="s">
        <v>2279</v>
      </c>
      <c r="J368" t="s">
        <v>2279</v>
      </c>
      <c r="K368" t="s">
        <v>2279</v>
      </c>
      <c r="L368" t="s">
        <v>1562</v>
      </c>
      <c r="M368" t="s">
        <v>2279</v>
      </c>
      <c r="N368" t="s">
        <v>2279</v>
      </c>
      <c r="O368" s="190" t="str">
        <f>"["&amp;$C368&amp;"]["&amp;$D368&amp;"]["&amp;$F368&amp;"]"</f>
        <v>[S05_ImprovementReportArt69][8][Annex1Activity]</v>
      </c>
    </row>
    <row r="369" spans="1:15" x14ac:dyDescent="0.3">
      <c r="A369" t="s">
        <v>2277</v>
      </c>
      <c r="B369" t="s">
        <v>1886</v>
      </c>
      <c r="C369" t="s">
        <v>1887</v>
      </c>
      <c r="D369">
        <v>9</v>
      </c>
      <c r="E369" t="s">
        <v>1447</v>
      </c>
      <c r="F369" t="s">
        <v>1888</v>
      </c>
      <c r="G369" t="s">
        <v>1737</v>
      </c>
      <c r="H369" t="s">
        <v>2279</v>
      </c>
      <c r="I369" t="s">
        <v>2279</v>
      </c>
      <c r="J369" t="s">
        <v>2279</v>
      </c>
      <c r="K369" t="s">
        <v>2279</v>
      </c>
      <c r="L369" t="s">
        <v>1562</v>
      </c>
      <c r="M369" t="s">
        <v>2279</v>
      </c>
      <c r="N369" t="s">
        <v>2279</v>
      </c>
      <c r="O369" s="190" t="str">
        <f>"["&amp;$C369&amp;"]["&amp;$D369&amp;"]["&amp;$F369&amp;"]"</f>
        <v>[S05_ImprovementReportArt69][9][Annex1Activity]</v>
      </c>
    </row>
    <row r="370" spans="1:15" x14ac:dyDescent="0.3">
      <c r="A370" t="s">
        <v>2277</v>
      </c>
      <c r="B370" t="s">
        <v>1886</v>
      </c>
      <c r="C370" t="s">
        <v>1887</v>
      </c>
      <c r="D370">
        <v>10</v>
      </c>
      <c r="E370" t="s">
        <v>1447</v>
      </c>
      <c r="F370" t="s">
        <v>1888</v>
      </c>
      <c r="G370" t="s">
        <v>1737</v>
      </c>
      <c r="H370" t="s">
        <v>2279</v>
      </c>
      <c r="I370" t="s">
        <v>2279</v>
      </c>
      <c r="J370" t="s">
        <v>2279</v>
      </c>
      <c r="K370" t="s">
        <v>2279</v>
      </c>
      <c r="L370" t="s">
        <v>1577</v>
      </c>
      <c r="M370" t="s">
        <v>2279</v>
      </c>
      <c r="N370" t="s">
        <v>2279</v>
      </c>
      <c r="O370" s="190" t="str">
        <f>"["&amp;$C370&amp;"]["&amp;$D370&amp;"]["&amp;$F370&amp;"]"</f>
        <v>[S05_ImprovementReportArt69][10][Annex1Activity]</v>
      </c>
    </row>
    <row r="371" spans="1:15" x14ac:dyDescent="0.3">
      <c r="A371" t="s">
        <v>2277</v>
      </c>
      <c r="B371" t="s">
        <v>1886</v>
      </c>
      <c r="C371" t="s">
        <v>1887</v>
      </c>
      <c r="D371">
        <v>11</v>
      </c>
      <c r="E371" t="s">
        <v>1447</v>
      </c>
      <c r="F371" t="s">
        <v>1888</v>
      </c>
      <c r="G371" t="s">
        <v>1737</v>
      </c>
      <c r="H371" t="s">
        <v>2279</v>
      </c>
      <c r="I371" t="s">
        <v>2279</v>
      </c>
      <c r="J371" t="s">
        <v>2279</v>
      </c>
      <c r="K371" t="s">
        <v>2279</v>
      </c>
      <c r="L371" t="s">
        <v>1448</v>
      </c>
      <c r="M371" t="s">
        <v>2279</v>
      </c>
      <c r="N371" t="s">
        <v>2279</v>
      </c>
      <c r="O371" s="190" t="str">
        <f>"["&amp;$C371&amp;"]["&amp;$D371&amp;"]["&amp;$F371&amp;"]"</f>
        <v>[S05_ImprovementReportArt69][11][Annex1Activity]</v>
      </c>
    </row>
    <row r="372" spans="1:15" x14ac:dyDescent="0.3">
      <c r="A372" t="s">
        <v>2277</v>
      </c>
      <c r="B372" t="s">
        <v>1886</v>
      </c>
      <c r="C372" t="s">
        <v>1887</v>
      </c>
      <c r="D372">
        <v>12</v>
      </c>
      <c r="E372" t="s">
        <v>1447</v>
      </c>
      <c r="F372" t="s">
        <v>1888</v>
      </c>
      <c r="G372" t="s">
        <v>1737</v>
      </c>
      <c r="H372" t="s">
        <v>2279</v>
      </c>
      <c r="I372" t="s">
        <v>2279</v>
      </c>
      <c r="J372" t="s">
        <v>2279</v>
      </c>
      <c r="K372" t="s">
        <v>2279</v>
      </c>
      <c r="L372" t="s">
        <v>1626</v>
      </c>
      <c r="M372" t="s">
        <v>2279</v>
      </c>
      <c r="N372" t="s">
        <v>2279</v>
      </c>
      <c r="O372" s="190" t="str">
        <f>"["&amp;$C372&amp;"]["&amp;$D372&amp;"]["&amp;$F372&amp;"]"</f>
        <v>[S05_ImprovementReportArt69][12][Annex1Activity]</v>
      </c>
    </row>
    <row r="373" spans="1:15" x14ac:dyDescent="0.3">
      <c r="A373" t="s">
        <v>2277</v>
      </c>
      <c r="B373" t="s">
        <v>1886</v>
      </c>
      <c r="C373" t="s">
        <v>1887</v>
      </c>
      <c r="D373">
        <v>1</v>
      </c>
      <c r="E373" t="s">
        <v>1447</v>
      </c>
      <c r="F373" t="s">
        <v>1889</v>
      </c>
      <c r="G373" t="s">
        <v>1737</v>
      </c>
      <c r="H373" t="s">
        <v>2279</v>
      </c>
      <c r="I373" t="s">
        <v>2279</v>
      </c>
      <c r="J373" t="s">
        <v>2279</v>
      </c>
      <c r="K373" t="s">
        <v>2279</v>
      </c>
      <c r="L373" t="s">
        <v>1433</v>
      </c>
      <c r="M373" t="s">
        <v>2279</v>
      </c>
      <c r="N373" t="s">
        <v>2279</v>
      </c>
      <c r="O373" s="190" t="str">
        <f>"["&amp;$C373&amp;"]["&amp;$D373&amp;"]["&amp;$F373&amp;"]"</f>
        <v>[S05_ImprovementReportArt69][1][ImprovementReportType]</v>
      </c>
    </row>
    <row r="374" spans="1:15" x14ac:dyDescent="0.3">
      <c r="A374" t="s">
        <v>2277</v>
      </c>
      <c r="B374" t="s">
        <v>1886</v>
      </c>
      <c r="C374" t="s">
        <v>1887</v>
      </c>
      <c r="D374">
        <v>2</v>
      </c>
      <c r="E374" t="s">
        <v>1447</v>
      </c>
      <c r="F374" t="s">
        <v>1889</v>
      </c>
      <c r="G374" t="s">
        <v>1737</v>
      </c>
      <c r="H374" t="s">
        <v>2279</v>
      </c>
      <c r="I374" t="s">
        <v>2279</v>
      </c>
      <c r="J374" t="s">
        <v>2279</v>
      </c>
      <c r="K374" t="s">
        <v>2279</v>
      </c>
      <c r="L374" t="s">
        <v>1433</v>
      </c>
      <c r="M374" t="s">
        <v>2279</v>
      </c>
      <c r="N374" t="s">
        <v>2279</v>
      </c>
      <c r="O374" s="190" t="str">
        <f>"["&amp;$C374&amp;"]["&amp;$D374&amp;"]["&amp;$F374&amp;"]"</f>
        <v>[S05_ImprovementReportArt69][2][ImprovementReportType]</v>
      </c>
    </row>
    <row r="375" spans="1:15" x14ac:dyDescent="0.3">
      <c r="A375" t="s">
        <v>2277</v>
      </c>
      <c r="B375" t="s">
        <v>1886</v>
      </c>
      <c r="C375" t="s">
        <v>1887</v>
      </c>
      <c r="D375">
        <v>3</v>
      </c>
      <c r="E375" t="s">
        <v>1447</v>
      </c>
      <c r="F375" t="s">
        <v>1889</v>
      </c>
      <c r="G375" t="s">
        <v>1737</v>
      </c>
      <c r="H375" t="s">
        <v>2279</v>
      </c>
      <c r="I375" t="s">
        <v>2279</v>
      </c>
      <c r="J375" t="s">
        <v>2279</v>
      </c>
      <c r="K375" t="s">
        <v>2279</v>
      </c>
      <c r="L375" t="s">
        <v>1488</v>
      </c>
      <c r="M375" t="s">
        <v>2279</v>
      </c>
      <c r="N375" t="s">
        <v>2279</v>
      </c>
      <c r="O375" s="190" t="str">
        <f>"["&amp;$C375&amp;"]["&amp;$D375&amp;"]["&amp;$F375&amp;"]"</f>
        <v>[S05_ImprovementReportArt69][3][ImprovementReportType]</v>
      </c>
    </row>
    <row r="376" spans="1:15" x14ac:dyDescent="0.3">
      <c r="A376" t="s">
        <v>2277</v>
      </c>
      <c r="B376" t="s">
        <v>1886</v>
      </c>
      <c r="C376" t="s">
        <v>1887</v>
      </c>
      <c r="D376">
        <v>4</v>
      </c>
      <c r="E376" t="s">
        <v>1447</v>
      </c>
      <c r="F376" t="s">
        <v>1889</v>
      </c>
      <c r="G376" t="s">
        <v>1737</v>
      </c>
      <c r="H376" t="s">
        <v>2279</v>
      </c>
      <c r="I376" t="s">
        <v>2279</v>
      </c>
      <c r="J376" t="s">
        <v>2279</v>
      </c>
      <c r="K376" t="s">
        <v>2279</v>
      </c>
      <c r="L376" t="s">
        <v>1488</v>
      </c>
      <c r="M376" t="s">
        <v>2279</v>
      </c>
      <c r="N376" t="s">
        <v>2279</v>
      </c>
      <c r="O376" s="190" t="str">
        <f>"["&amp;$C376&amp;"]["&amp;$D376&amp;"]["&amp;$F376&amp;"]"</f>
        <v>[S05_ImprovementReportArt69][4][ImprovementReportType]</v>
      </c>
    </row>
    <row r="377" spans="1:15" x14ac:dyDescent="0.3">
      <c r="A377" t="s">
        <v>2277</v>
      </c>
      <c r="B377" t="s">
        <v>1886</v>
      </c>
      <c r="C377" t="s">
        <v>1887</v>
      </c>
      <c r="D377">
        <v>5</v>
      </c>
      <c r="E377" t="s">
        <v>1447</v>
      </c>
      <c r="F377" t="s">
        <v>1889</v>
      </c>
      <c r="G377" t="s">
        <v>1737</v>
      </c>
      <c r="H377" t="s">
        <v>2279</v>
      </c>
      <c r="I377" t="s">
        <v>2279</v>
      </c>
      <c r="J377" t="s">
        <v>2279</v>
      </c>
      <c r="K377" t="s">
        <v>2279</v>
      </c>
      <c r="L377" t="s">
        <v>1488</v>
      </c>
      <c r="M377" t="s">
        <v>2279</v>
      </c>
      <c r="N377" t="s">
        <v>2279</v>
      </c>
      <c r="O377" s="190" t="str">
        <f>"["&amp;$C377&amp;"]["&amp;$D377&amp;"]["&amp;$F377&amp;"]"</f>
        <v>[S05_ImprovementReportArt69][5][ImprovementReportType]</v>
      </c>
    </row>
    <row r="378" spans="1:15" x14ac:dyDescent="0.3">
      <c r="A378" t="s">
        <v>2277</v>
      </c>
      <c r="B378" t="s">
        <v>1886</v>
      </c>
      <c r="C378" t="s">
        <v>1887</v>
      </c>
      <c r="D378">
        <v>6</v>
      </c>
      <c r="E378" t="s">
        <v>1447</v>
      </c>
      <c r="F378" t="s">
        <v>1889</v>
      </c>
      <c r="G378" t="s">
        <v>1737</v>
      </c>
      <c r="H378" t="s">
        <v>2279</v>
      </c>
      <c r="I378" t="s">
        <v>2279</v>
      </c>
      <c r="J378" t="s">
        <v>2279</v>
      </c>
      <c r="K378" t="s">
        <v>2279</v>
      </c>
      <c r="L378" t="s">
        <v>1488</v>
      </c>
      <c r="M378" t="s">
        <v>2279</v>
      </c>
      <c r="N378" t="s">
        <v>2279</v>
      </c>
      <c r="O378" s="190" t="str">
        <f>"["&amp;$C378&amp;"]["&amp;$D378&amp;"]["&amp;$F378&amp;"]"</f>
        <v>[S05_ImprovementReportArt69][6][ImprovementReportType]</v>
      </c>
    </row>
    <row r="379" spans="1:15" x14ac:dyDescent="0.3">
      <c r="A379" t="s">
        <v>2277</v>
      </c>
      <c r="B379" t="s">
        <v>1886</v>
      </c>
      <c r="C379" t="s">
        <v>1887</v>
      </c>
      <c r="D379">
        <v>7</v>
      </c>
      <c r="E379" t="s">
        <v>1447</v>
      </c>
      <c r="F379" t="s">
        <v>1889</v>
      </c>
      <c r="G379" t="s">
        <v>1737</v>
      </c>
      <c r="H379" t="s">
        <v>2279</v>
      </c>
      <c r="I379" t="s">
        <v>2279</v>
      </c>
      <c r="J379" t="s">
        <v>2279</v>
      </c>
      <c r="K379" t="s">
        <v>2279</v>
      </c>
      <c r="L379" t="s">
        <v>1488</v>
      </c>
      <c r="M379" t="s">
        <v>2279</v>
      </c>
      <c r="N379" t="s">
        <v>2279</v>
      </c>
      <c r="O379" s="190" t="str">
        <f>"["&amp;$C379&amp;"]["&amp;$D379&amp;"]["&amp;$F379&amp;"]"</f>
        <v>[S05_ImprovementReportArt69][7][ImprovementReportType]</v>
      </c>
    </row>
    <row r="380" spans="1:15" x14ac:dyDescent="0.3">
      <c r="A380" t="s">
        <v>2277</v>
      </c>
      <c r="B380" t="s">
        <v>1886</v>
      </c>
      <c r="C380" t="s">
        <v>1887</v>
      </c>
      <c r="D380">
        <v>8</v>
      </c>
      <c r="E380" t="s">
        <v>1447</v>
      </c>
      <c r="F380" t="s">
        <v>1889</v>
      </c>
      <c r="G380" t="s">
        <v>1737</v>
      </c>
      <c r="H380" t="s">
        <v>2279</v>
      </c>
      <c r="I380" t="s">
        <v>2279</v>
      </c>
      <c r="J380" t="s">
        <v>2279</v>
      </c>
      <c r="K380" t="s">
        <v>2279</v>
      </c>
      <c r="L380" t="s">
        <v>1488</v>
      </c>
      <c r="M380" t="s">
        <v>2279</v>
      </c>
      <c r="N380" t="s">
        <v>2279</v>
      </c>
      <c r="O380" s="190" t="str">
        <f>"["&amp;$C380&amp;"]["&amp;$D380&amp;"]["&amp;$F380&amp;"]"</f>
        <v>[S05_ImprovementReportArt69][8][ImprovementReportType]</v>
      </c>
    </row>
    <row r="381" spans="1:15" x14ac:dyDescent="0.3">
      <c r="A381" t="s">
        <v>2277</v>
      </c>
      <c r="B381" t="s">
        <v>1886</v>
      </c>
      <c r="C381" t="s">
        <v>1887</v>
      </c>
      <c r="D381">
        <v>9</v>
      </c>
      <c r="E381" t="s">
        <v>1447</v>
      </c>
      <c r="F381" t="s">
        <v>1889</v>
      </c>
      <c r="G381" t="s">
        <v>1737</v>
      </c>
      <c r="H381" t="s">
        <v>2279</v>
      </c>
      <c r="I381" t="s">
        <v>2279</v>
      </c>
      <c r="J381" t="s">
        <v>2279</v>
      </c>
      <c r="K381" t="s">
        <v>2279</v>
      </c>
      <c r="L381" t="s">
        <v>1488</v>
      </c>
      <c r="M381" t="s">
        <v>2279</v>
      </c>
      <c r="N381" t="s">
        <v>2279</v>
      </c>
      <c r="O381" s="190" t="str">
        <f>"["&amp;$C381&amp;"]["&amp;$D381&amp;"]["&amp;$F381&amp;"]"</f>
        <v>[S05_ImprovementReportArt69][9][ImprovementReportType]</v>
      </c>
    </row>
    <row r="382" spans="1:15" x14ac:dyDescent="0.3">
      <c r="A382" t="s">
        <v>2277</v>
      </c>
      <c r="B382" t="s">
        <v>1886</v>
      </c>
      <c r="C382" t="s">
        <v>1887</v>
      </c>
      <c r="D382">
        <v>10</v>
      </c>
      <c r="E382" t="s">
        <v>1447</v>
      </c>
      <c r="F382" t="s">
        <v>1889</v>
      </c>
      <c r="G382" t="s">
        <v>1737</v>
      </c>
      <c r="H382" t="s">
        <v>2279</v>
      </c>
      <c r="I382" t="s">
        <v>2279</v>
      </c>
      <c r="J382" t="s">
        <v>2279</v>
      </c>
      <c r="K382" t="s">
        <v>2279</v>
      </c>
      <c r="L382" t="s">
        <v>1488</v>
      </c>
      <c r="M382" t="s">
        <v>2279</v>
      </c>
      <c r="N382" t="s">
        <v>2279</v>
      </c>
      <c r="O382" s="190" t="str">
        <f>"["&amp;$C382&amp;"]["&amp;$D382&amp;"]["&amp;$F382&amp;"]"</f>
        <v>[S05_ImprovementReportArt69][10][ImprovementReportType]</v>
      </c>
    </row>
    <row r="383" spans="1:15" x14ac:dyDescent="0.3">
      <c r="A383" t="s">
        <v>2277</v>
      </c>
      <c r="B383" t="s">
        <v>1886</v>
      </c>
      <c r="C383" t="s">
        <v>1887</v>
      </c>
      <c r="D383">
        <v>11</v>
      </c>
      <c r="E383" t="s">
        <v>1447</v>
      </c>
      <c r="F383" t="s">
        <v>1889</v>
      </c>
      <c r="G383" t="s">
        <v>1737</v>
      </c>
      <c r="H383" t="s">
        <v>2279</v>
      </c>
      <c r="I383" t="s">
        <v>2279</v>
      </c>
      <c r="J383" t="s">
        <v>2279</v>
      </c>
      <c r="K383" t="s">
        <v>2279</v>
      </c>
      <c r="L383" t="s">
        <v>1488</v>
      </c>
      <c r="M383" t="s">
        <v>2279</v>
      </c>
      <c r="N383" t="s">
        <v>2279</v>
      </c>
      <c r="O383" s="190" t="str">
        <f>"["&amp;$C383&amp;"]["&amp;$D383&amp;"]["&amp;$F383&amp;"]"</f>
        <v>[S05_ImprovementReportArt69][11][ImprovementReportType]</v>
      </c>
    </row>
    <row r="384" spans="1:15" x14ac:dyDescent="0.3">
      <c r="A384" t="s">
        <v>2277</v>
      </c>
      <c r="B384" t="s">
        <v>1886</v>
      </c>
      <c r="C384" t="s">
        <v>1887</v>
      </c>
      <c r="D384">
        <v>12</v>
      </c>
      <c r="E384" t="s">
        <v>1447</v>
      </c>
      <c r="F384" t="s">
        <v>1889</v>
      </c>
      <c r="G384" t="s">
        <v>1737</v>
      </c>
      <c r="H384" t="s">
        <v>2279</v>
      </c>
      <c r="I384" t="s">
        <v>2279</v>
      </c>
      <c r="J384" t="s">
        <v>2279</v>
      </c>
      <c r="K384" t="s">
        <v>2279</v>
      </c>
      <c r="L384" t="s">
        <v>1488</v>
      </c>
      <c r="M384" t="s">
        <v>2279</v>
      </c>
      <c r="N384" t="s">
        <v>2279</v>
      </c>
      <c r="O384" s="190" t="str">
        <f>"["&amp;$C384&amp;"]["&amp;$D384&amp;"]["&amp;$F384&amp;"]"</f>
        <v>[S05_ImprovementReportArt69][12][ImprovementReportType]</v>
      </c>
    </row>
    <row r="385" spans="1:15" x14ac:dyDescent="0.3">
      <c r="A385" t="s">
        <v>2277</v>
      </c>
      <c r="B385" t="s">
        <v>1886</v>
      </c>
      <c r="C385" t="s">
        <v>1887</v>
      </c>
      <c r="D385">
        <v>1</v>
      </c>
      <c r="E385" t="s">
        <v>1447</v>
      </c>
      <c r="F385" t="s">
        <v>1890</v>
      </c>
      <c r="G385" t="s">
        <v>1748</v>
      </c>
      <c r="H385" t="s">
        <v>2279</v>
      </c>
      <c r="I385">
        <v>1</v>
      </c>
      <c r="J385" t="s">
        <v>2279</v>
      </c>
      <c r="K385" t="s">
        <v>2279</v>
      </c>
      <c r="L385" t="s">
        <v>2279</v>
      </c>
      <c r="M385" t="s">
        <v>2279</v>
      </c>
      <c r="N385" t="s">
        <v>2279</v>
      </c>
      <c r="O385" s="190" t="str">
        <f>"["&amp;$C385&amp;"]["&amp;$D385&amp;"]["&amp;$F385&amp;"]"</f>
        <v>[S05_ImprovementReportArt69][1][ImprovementReportRequired]</v>
      </c>
    </row>
    <row r="386" spans="1:15" x14ac:dyDescent="0.3">
      <c r="A386" t="s">
        <v>2277</v>
      </c>
      <c r="B386" t="s">
        <v>1886</v>
      </c>
      <c r="C386" t="s">
        <v>1887</v>
      </c>
      <c r="D386">
        <v>2</v>
      </c>
      <c r="E386" t="s">
        <v>1447</v>
      </c>
      <c r="F386" t="s">
        <v>1890</v>
      </c>
      <c r="G386" t="s">
        <v>1748</v>
      </c>
      <c r="H386" t="s">
        <v>2279</v>
      </c>
      <c r="I386">
        <v>1</v>
      </c>
      <c r="J386" t="s">
        <v>2279</v>
      </c>
      <c r="K386" t="s">
        <v>2279</v>
      </c>
      <c r="L386" t="s">
        <v>2279</v>
      </c>
      <c r="M386" t="s">
        <v>2279</v>
      </c>
      <c r="N386" t="s">
        <v>2279</v>
      </c>
      <c r="O386" s="190" t="str">
        <f>"["&amp;$C386&amp;"]["&amp;$D386&amp;"]["&amp;$F386&amp;"]"</f>
        <v>[S05_ImprovementReportArt69][2][ImprovementReportRequired]</v>
      </c>
    </row>
    <row r="387" spans="1:15" x14ac:dyDescent="0.3">
      <c r="A387" t="s">
        <v>2277</v>
      </c>
      <c r="B387" t="s">
        <v>1886</v>
      </c>
      <c r="C387" t="s">
        <v>1887</v>
      </c>
      <c r="D387">
        <v>3</v>
      </c>
      <c r="E387" t="s">
        <v>1447</v>
      </c>
      <c r="F387" t="s">
        <v>1890</v>
      </c>
      <c r="G387" t="s">
        <v>1748</v>
      </c>
      <c r="H387" t="s">
        <v>2279</v>
      </c>
      <c r="I387">
        <v>5</v>
      </c>
      <c r="J387" t="s">
        <v>2279</v>
      </c>
      <c r="K387" t="s">
        <v>2279</v>
      </c>
      <c r="L387" t="s">
        <v>2279</v>
      </c>
      <c r="M387" t="s">
        <v>2279</v>
      </c>
      <c r="N387" t="s">
        <v>2279</v>
      </c>
      <c r="O387" s="190" t="str">
        <f>"["&amp;$C387&amp;"]["&amp;$D387&amp;"]["&amp;$F387&amp;"]"</f>
        <v>[S05_ImprovementReportArt69][3][ImprovementReportRequired]</v>
      </c>
    </row>
    <row r="388" spans="1:15" x14ac:dyDescent="0.3">
      <c r="A388" t="s">
        <v>2277</v>
      </c>
      <c r="B388" t="s">
        <v>1886</v>
      </c>
      <c r="C388" t="s">
        <v>1887</v>
      </c>
      <c r="D388">
        <v>4</v>
      </c>
      <c r="E388" t="s">
        <v>1447</v>
      </c>
      <c r="F388" t="s">
        <v>1890</v>
      </c>
      <c r="G388" t="s">
        <v>1748</v>
      </c>
      <c r="H388" t="s">
        <v>2279</v>
      </c>
      <c r="I388">
        <v>2</v>
      </c>
      <c r="J388" t="s">
        <v>2279</v>
      </c>
      <c r="K388" t="s">
        <v>2279</v>
      </c>
      <c r="L388" t="s">
        <v>2279</v>
      </c>
      <c r="M388" t="s">
        <v>2279</v>
      </c>
      <c r="N388" t="s">
        <v>2279</v>
      </c>
      <c r="O388" s="190" t="str">
        <f>"["&amp;$C388&amp;"]["&amp;$D388&amp;"]["&amp;$F388&amp;"]"</f>
        <v>[S05_ImprovementReportArt69][4][ImprovementReportRequired]</v>
      </c>
    </row>
    <row r="389" spans="1:15" x14ac:dyDescent="0.3">
      <c r="A389" t="s">
        <v>2277</v>
      </c>
      <c r="B389" t="s">
        <v>1886</v>
      </c>
      <c r="C389" t="s">
        <v>1887</v>
      </c>
      <c r="D389">
        <v>5</v>
      </c>
      <c r="E389" t="s">
        <v>1447</v>
      </c>
      <c r="F389" t="s">
        <v>1890</v>
      </c>
      <c r="G389" t="s">
        <v>1748</v>
      </c>
      <c r="H389" t="s">
        <v>2279</v>
      </c>
      <c r="I389">
        <v>1</v>
      </c>
      <c r="J389" t="s">
        <v>2279</v>
      </c>
      <c r="K389" t="s">
        <v>2279</v>
      </c>
      <c r="L389" t="s">
        <v>2279</v>
      </c>
      <c r="M389" t="s">
        <v>2279</v>
      </c>
      <c r="N389" t="s">
        <v>2279</v>
      </c>
      <c r="O389" s="190" t="str">
        <f>"["&amp;$C389&amp;"]["&amp;$D389&amp;"]["&amp;$F389&amp;"]"</f>
        <v>[S05_ImprovementReportArt69][5][ImprovementReportRequired]</v>
      </c>
    </row>
    <row r="390" spans="1:15" x14ac:dyDescent="0.3">
      <c r="A390" t="s">
        <v>2277</v>
      </c>
      <c r="B390" t="s">
        <v>1886</v>
      </c>
      <c r="C390" t="s">
        <v>1887</v>
      </c>
      <c r="D390">
        <v>6</v>
      </c>
      <c r="E390" t="s">
        <v>1447</v>
      </c>
      <c r="F390" t="s">
        <v>1890</v>
      </c>
      <c r="G390" t="s">
        <v>1748</v>
      </c>
      <c r="H390" t="s">
        <v>2279</v>
      </c>
      <c r="I390">
        <v>1</v>
      </c>
      <c r="J390" t="s">
        <v>2279</v>
      </c>
      <c r="K390" t="s">
        <v>2279</v>
      </c>
      <c r="L390" t="s">
        <v>2279</v>
      </c>
      <c r="M390" t="s">
        <v>2279</v>
      </c>
      <c r="N390" t="s">
        <v>2279</v>
      </c>
      <c r="O390" s="190" t="str">
        <f>"["&amp;$C390&amp;"]["&amp;$D390&amp;"]["&amp;$F390&amp;"]"</f>
        <v>[S05_ImprovementReportArt69][6][ImprovementReportRequired]</v>
      </c>
    </row>
    <row r="391" spans="1:15" x14ac:dyDescent="0.3">
      <c r="A391" t="s">
        <v>2277</v>
      </c>
      <c r="B391" t="s">
        <v>1886</v>
      </c>
      <c r="C391" t="s">
        <v>1887</v>
      </c>
      <c r="D391">
        <v>7</v>
      </c>
      <c r="E391" t="s">
        <v>1447</v>
      </c>
      <c r="F391" t="s">
        <v>1890</v>
      </c>
      <c r="G391" t="s">
        <v>1748</v>
      </c>
      <c r="H391" t="s">
        <v>2279</v>
      </c>
      <c r="I391">
        <v>1</v>
      </c>
      <c r="J391" t="s">
        <v>2279</v>
      </c>
      <c r="K391" t="s">
        <v>2279</v>
      </c>
      <c r="L391" t="s">
        <v>2279</v>
      </c>
      <c r="M391" t="s">
        <v>2279</v>
      </c>
      <c r="N391" t="s">
        <v>2279</v>
      </c>
      <c r="O391" s="190" t="str">
        <f>"["&amp;$C391&amp;"]["&amp;$D391&amp;"]["&amp;$F391&amp;"]"</f>
        <v>[S05_ImprovementReportArt69][7][ImprovementReportRequired]</v>
      </c>
    </row>
    <row r="392" spans="1:15" x14ac:dyDescent="0.3">
      <c r="A392" t="s">
        <v>2277</v>
      </c>
      <c r="B392" t="s">
        <v>1886</v>
      </c>
      <c r="C392" t="s">
        <v>1887</v>
      </c>
      <c r="D392">
        <v>8</v>
      </c>
      <c r="E392" t="s">
        <v>1447</v>
      </c>
      <c r="F392" t="s">
        <v>1890</v>
      </c>
      <c r="G392" t="s">
        <v>1748</v>
      </c>
      <c r="H392" t="s">
        <v>2279</v>
      </c>
      <c r="I392">
        <v>2</v>
      </c>
      <c r="J392" t="s">
        <v>2279</v>
      </c>
      <c r="K392" t="s">
        <v>2279</v>
      </c>
      <c r="L392" t="s">
        <v>2279</v>
      </c>
      <c r="M392" t="s">
        <v>2279</v>
      </c>
      <c r="N392" t="s">
        <v>2279</v>
      </c>
      <c r="O392" s="190" t="str">
        <f>"["&amp;$C392&amp;"]["&amp;$D392&amp;"]["&amp;$F392&amp;"]"</f>
        <v>[S05_ImprovementReportArt69][8][ImprovementReportRequired]</v>
      </c>
    </row>
    <row r="393" spans="1:15" x14ac:dyDescent="0.3">
      <c r="A393" t="s">
        <v>2277</v>
      </c>
      <c r="B393" t="s">
        <v>1886</v>
      </c>
      <c r="C393" t="s">
        <v>1887</v>
      </c>
      <c r="D393">
        <v>9</v>
      </c>
      <c r="E393" t="s">
        <v>1447</v>
      </c>
      <c r="F393" t="s">
        <v>1890</v>
      </c>
      <c r="G393" t="s">
        <v>1748</v>
      </c>
      <c r="H393" t="s">
        <v>2279</v>
      </c>
      <c r="I393">
        <v>4</v>
      </c>
      <c r="J393" t="s">
        <v>2279</v>
      </c>
      <c r="K393" t="s">
        <v>2279</v>
      </c>
      <c r="L393" t="s">
        <v>2279</v>
      </c>
      <c r="M393" t="s">
        <v>2279</v>
      </c>
      <c r="N393" t="s">
        <v>2279</v>
      </c>
      <c r="O393" s="190" t="str">
        <f>"["&amp;$C393&amp;"]["&amp;$D393&amp;"]["&amp;$F393&amp;"]"</f>
        <v>[S05_ImprovementReportArt69][9][ImprovementReportRequired]</v>
      </c>
    </row>
    <row r="394" spans="1:15" x14ac:dyDescent="0.3">
      <c r="A394" t="s">
        <v>2277</v>
      </c>
      <c r="B394" t="s">
        <v>1886</v>
      </c>
      <c r="C394" t="s">
        <v>1887</v>
      </c>
      <c r="D394">
        <v>10</v>
      </c>
      <c r="E394" t="s">
        <v>1447</v>
      </c>
      <c r="F394" t="s">
        <v>1890</v>
      </c>
      <c r="G394" t="s">
        <v>1748</v>
      </c>
      <c r="H394" t="s">
        <v>2279</v>
      </c>
      <c r="I394">
        <v>4</v>
      </c>
      <c r="J394" t="s">
        <v>2279</v>
      </c>
      <c r="K394" t="s">
        <v>2279</v>
      </c>
      <c r="L394" t="s">
        <v>2279</v>
      </c>
      <c r="M394" t="s">
        <v>2279</v>
      </c>
      <c r="N394" t="s">
        <v>2279</v>
      </c>
      <c r="O394" s="190" t="str">
        <f>"["&amp;$C394&amp;"]["&amp;$D394&amp;"]["&amp;$F394&amp;"]"</f>
        <v>[S05_ImprovementReportArt69][10][ImprovementReportRequired]</v>
      </c>
    </row>
    <row r="395" spans="1:15" x14ac:dyDescent="0.3">
      <c r="A395" t="s">
        <v>2277</v>
      </c>
      <c r="B395" t="s">
        <v>1886</v>
      </c>
      <c r="C395" t="s">
        <v>1887</v>
      </c>
      <c r="D395">
        <v>11</v>
      </c>
      <c r="E395" t="s">
        <v>1447</v>
      </c>
      <c r="F395" t="s">
        <v>1890</v>
      </c>
      <c r="G395" t="s">
        <v>1748</v>
      </c>
      <c r="H395" t="s">
        <v>2279</v>
      </c>
      <c r="I395">
        <v>1</v>
      </c>
      <c r="J395" t="s">
        <v>2279</v>
      </c>
      <c r="K395" t="s">
        <v>2279</v>
      </c>
      <c r="L395" t="s">
        <v>2279</v>
      </c>
      <c r="M395" t="s">
        <v>2279</v>
      </c>
      <c r="N395" t="s">
        <v>2279</v>
      </c>
      <c r="O395" s="190" t="str">
        <f>"["&amp;$C395&amp;"]["&amp;$D395&amp;"]["&amp;$F395&amp;"]"</f>
        <v>[S05_ImprovementReportArt69][11][ImprovementReportRequired]</v>
      </c>
    </row>
    <row r="396" spans="1:15" x14ac:dyDescent="0.3">
      <c r="A396" t="s">
        <v>2277</v>
      </c>
      <c r="B396" t="s">
        <v>1886</v>
      </c>
      <c r="C396" t="s">
        <v>1887</v>
      </c>
      <c r="D396">
        <v>12</v>
      </c>
      <c r="E396" t="s">
        <v>1447</v>
      </c>
      <c r="F396" t="s">
        <v>1890</v>
      </c>
      <c r="G396" t="s">
        <v>1748</v>
      </c>
      <c r="H396" t="s">
        <v>2279</v>
      </c>
      <c r="I396">
        <v>1</v>
      </c>
      <c r="J396" t="s">
        <v>2279</v>
      </c>
      <c r="K396" t="s">
        <v>2279</v>
      </c>
      <c r="L396" t="s">
        <v>2279</v>
      </c>
      <c r="M396" t="s">
        <v>2279</v>
      </c>
      <c r="N396" t="s">
        <v>2279</v>
      </c>
      <c r="O396" s="190" t="str">
        <f>"["&amp;$C396&amp;"]["&amp;$D396&amp;"]["&amp;$F396&amp;"]"</f>
        <v>[S05_ImprovementReportArt69][12][ImprovementReportRequired]</v>
      </c>
    </row>
    <row r="397" spans="1:15" x14ac:dyDescent="0.3">
      <c r="A397" t="s">
        <v>2277</v>
      </c>
      <c r="B397" t="s">
        <v>1886</v>
      </c>
      <c r="C397" t="s">
        <v>1887</v>
      </c>
      <c r="D397">
        <v>1</v>
      </c>
      <c r="E397" t="s">
        <v>1447</v>
      </c>
      <c r="F397" t="s">
        <v>1891</v>
      </c>
      <c r="G397" t="s">
        <v>1748</v>
      </c>
      <c r="H397" t="s">
        <v>2279</v>
      </c>
      <c r="I397">
        <v>1</v>
      </c>
      <c r="J397" t="s">
        <v>2279</v>
      </c>
      <c r="K397" t="s">
        <v>2279</v>
      </c>
      <c r="L397" t="s">
        <v>2279</v>
      </c>
      <c r="M397" t="s">
        <v>2279</v>
      </c>
      <c r="N397" t="s">
        <v>2279</v>
      </c>
      <c r="O397" s="190" t="str">
        <f>"["&amp;$C397&amp;"]["&amp;$D397&amp;"]["&amp;$F397&amp;"]"</f>
        <v>[S05_ImprovementReportArt69][1][ImprovementReportSubmitted]</v>
      </c>
    </row>
    <row r="398" spans="1:15" x14ac:dyDescent="0.3">
      <c r="A398" t="s">
        <v>2277</v>
      </c>
      <c r="B398" t="s">
        <v>1886</v>
      </c>
      <c r="C398" t="s">
        <v>1887</v>
      </c>
      <c r="D398">
        <v>2</v>
      </c>
      <c r="E398" t="s">
        <v>1447</v>
      </c>
      <c r="F398" t="s">
        <v>1891</v>
      </c>
      <c r="G398" t="s">
        <v>1748</v>
      </c>
      <c r="H398" t="s">
        <v>2279</v>
      </c>
      <c r="I398">
        <v>1</v>
      </c>
      <c r="J398" t="s">
        <v>2279</v>
      </c>
      <c r="K398" t="s">
        <v>2279</v>
      </c>
      <c r="L398" t="s">
        <v>2279</v>
      </c>
      <c r="M398" t="s">
        <v>2279</v>
      </c>
      <c r="N398" t="s">
        <v>2279</v>
      </c>
      <c r="O398" s="190" t="str">
        <f>"["&amp;$C398&amp;"]["&amp;$D398&amp;"]["&amp;$F398&amp;"]"</f>
        <v>[S05_ImprovementReportArt69][2][ImprovementReportSubmitted]</v>
      </c>
    </row>
    <row r="399" spans="1:15" x14ac:dyDescent="0.3">
      <c r="A399" t="s">
        <v>2277</v>
      </c>
      <c r="B399" t="s">
        <v>1886</v>
      </c>
      <c r="C399" t="s">
        <v>1887</v>
      </c>
      <c r="D399">
        <v>3</v>
      </c>
      <c r="E399" t="s">
        <v>1447</v>
      </c>
      <c r="F399" t="s">
        <v>1891</v>
      </c>
      <c r="G399" t="s">
        <v>1748</v>
      </c>
      <c r="H399" t="s">
        <v>2279</v>
      </c>
      <c r="I399">
        <v>4</v>
      </c>
      <c r="J399" t="s">
        <v>2279</v>
      </c>
      <c r="K399" t="s">
        <v>2279</v>
      </c>
      <c r="L399" t="s">
        <v>2279</v>
      </c>
      <c r="M399" t="s">
        <v>2279</v>
      </c>
      <c r="N399" t="s">
        <v>2279</v>
      </c>
      <c r="O399" s="190" t="str">
        <f>"["&amp;$C399&amp;"]["&amp;$D399&amp;"]["&amp;$F399&amp;"]"</f>
        <v>[S05_ImprovementReportArt69][3][ImprovementReportSubmitted]</v>
      </c>
    </row>
    <row r="400" spans="1:15" x14ac:dyDescent="0.3">
      <c r="A400" t="s">
        <v>2277</v>
      </c>
      <c r="B400" t="s">
        <v>1886</v>
      </c>
      <c r="C400" t="s">
        <v>1887</v>
      </c>
      <c r="D400">
        <v>4</v>
      </c>
      <c r="E400" t="s">
        <v>1447</v>
      </c>
      <c r="F400" t="s">
        <v>1891</v>
      </c>
      <c r="G400" t="s">
        <v>1748</v>
      </c>
      <c r="H400" t="s">
        <v>2279</v>
      </c>
      <c r="I400">
        <v>2</v>
      </c>
      <c r="J400" t="s">
        <v>2279</v>
      </c>
      <c r="K400" t="s">
        <v>2279</v>
      </c>
      <c r="L400" t="s">
        <v>2279</v>
      </c>
      <c r="M400" t="s">
        <v>2279</v>
      </c>
      <c r="N400" t="s">
        <v>2279</v>
      </c>
      <c r="O400" s="190" t="str">
        <f>"["&amp;$C400&amp;"]["&amp;$D400&amp;"]["&amp;$F400&amp;"]"</f>
        <v>[S05_ImprovementReportArt69][4][ImprovementReportSubmitted]</v>
      </c>
    </row>
    <row r="401" spans="1:15" x14ac:dyDescent="0.3">
      <c r="A401" t="s">
        <v>2277</v>
      </c>
      <c r="B401" t="s">
        <v>1886</v>
      </c>
      <c r="C401" t="s">
        <v>1887</v>
      </c>
      <c r="D401">
        <v>5</v>
      </c>
      <c r="E401" t="s">
        <v>1447</v>
      </c>
      <c r="F401" t="s">
        <v>1891</v>
      </c>
      <c r="G401" t="s">
        <v>1748</v>
      </c>
      <c r="H401" t="s">
        <v>2279</v>
      </c>
      <c r="I401">
        <v>0</v>
      </c>
      <c r="J401" t="s">
        <v>2279</v>
      </c>
      <c r="K401" t="s">
        <v>2279</v>
      </c>
      <c r="L401" t="s">
        <v>2279</v>
      </c>
      <c r="M401" t="s">
        <v>2279</v>
      </c>
      <c r="N401" t="s">
        <v>2279</v>
      </c>
      <c r="O401" s="190" t="str">
        <f>"["&amp;$C401&amp;"]["&amp;$D401&amp;"]["&amp;$F401&amp;"]"</f>
        <v>[S05_ImprovementReportArt69][5][ImprovementReportSubmitted]</v>
      </c>
    </row>
    <row r="402" spans="1:15" x14ac:dyDescent="0.3">
      <c r="A402" t="s">
        <v>2277</v>
      </c>
      <c r="B402" t="s">
        <v>1886</v>
      </c>
      <c r="C402" t="s">
        <v>1887</v>
      </c>
      <c r="D402">
        <v>6</v>
      </c>
      <c r="E402" t="s">
        <v>1447</v>
      </c>
      <c r="F402" t="s">
        <v>1891</v>
      </c>
      <c r="G402" t="s">
        <v>1748</v>
      </c>
      <c r="H402" t="s">
        <v>2279</v>
      </c>
      <c r="I402">
        <v>1</v>
      </c>
      <c r="J402" t="s">
        <v>2279</v>
      </c>
      <c r="K402" t="s">
        <v>2279</v>
      </c>
      <c r="L402" t="s">
        <v>2279</v>
      </c>
      <c r="M402" t="s">
        <v>2279</v>
      </c>
      <c r="N402" t="s">
        <v>2279</v>
      </c>
      <c r="O402" s="190" t="str">
        <f>"["&amp;$C402&amp;"]["&amp;$D402&amp;"]["&amp;$F402&amp;"]"</f>
        <v>[S05_ImprovementReportArt69][6][ImprovementReportSubmitted]</v>
      </c>
    </row>
    <row r="403" spans="1:15" x14ac:dyDescent="0.3">
      <c r="A403" t="s">
        <v>2277</v>
      </c>
      <c r="B403" t="s">
        <v>1886</v>
      </c>
      <c r="C403" t="s">
        <v>1887</v>
      </c>
      <c r="D403">
        <v>7</v>
      </c>
      <c r="E403" t="s">
        <v>1447</v>
      </c>
      <c r="F403" t="s">
        <v>1891</v>
      </c>
      <c r="G403" t="s">
        <v>1748</v>
      </c>
      <c r="H403" t="s">
        <v>2279</v>
      </c>
      <c r="I403">
        <v>1</v>
      </c>
      <c r="J403" t="s">
        <v>2279</v>
      </c>
      <c r="K403" t="s">
        <v>2279</v>
      </c>
      <c r="L403" t="s">
        <v>2279</v>
      </c>
      <c r="M403" t="s">
        <v>2279</v>
      </c>
      <c r="N403" t="s">
        <v>2279</v>
      </c>
      <c r="O403" s="190" t="str">
        <f>"["&amp;$C403&amp;"]["&amp;$D403&amp;"]["&amp;$F403&amp;"]"</f>
        <v>[S05_ImprovementReportArt69][7][ImprovementReportSubmitted]</v>
      </c>
    </row>
    <row r="404" spans="1:15" x14ac:dyDescent="0.3">
      <c r="A404" t="s">
        <v>2277</v>
      </c>
      <c r="B404" t="s">
        <v>1886</v>
      </c>
      <c r="C404" t="s">
        <v>1887</v>
      </c>
      <c r="D404">
        <v>8</v>
      </c>
      <c r="E404" t="s">
        <v>1447</v>
      </c>
      <c r="F404" t="s">
        <v>1891</v>
      </c>
      <c r="G404" t="s">
        <v>1748</v>
      </c>
      <c r="H404" t="s">
        <v>2279</v>
      </c>
      <c r="I404">
        <v>2</v>
      </c>
      <c r="J404" t="s">
        <v>2279</v>
      </c>
      <c r="K404" t="s">
        <v>2279</v>
      </c>
      <c r="L404" t="s">
        <v>2279</v>
      </c>
      <c r="M404" t="s">
        <v>2279</v>
      </c>
      <c r="N404" t="s">
        <v>2279</v>
      </c>
      <c r="O404" s="190" t="str">
        <f>"["&amp;$C404&amp;"]["&amp;$D404&amp;"]["&amp;$F404&amp;"]"</f>
        <v>[S05_ImprovementReportArt69][8][ImprovementReportSubmitted]</v>
      </c>
    </row>
    <row r="405" spans="1:15" x14ac:dyDescent="0.3">
      <c r="A405" t="s">
        <v>2277</v>
      </c>
      <c r="B405" t="s">
        <v>1886</v>
      </c>
      <c r="C405" t="s">
        <v>1887</v>
      </c>
      <c r="D405">
        <v>9</v>
      </c>
      <c r="E405" t="s">
        <v>1447</v>
      </c>
      <c r="F405" t="s">
        <v>1891</v>
      </c>
      <c r="G405" t="s">
        <v>1748</v>
      </c>
      <c r="H405" t="s">
        <v>2279</v>
      </c>
      <c r="I405">
        <v>4</v>
      </c>
      <c r="J405" t="s">
        <v>2279</v>
      </c>
      <c r="K405" t="s">
        <v>2279</v>
      </c>
      <c r="L405" t="s">
        <v>2279</v>
      </c>
      <c r="M405" t="s">
        <v>2279</v>
      </c>
      <c r="N405" t="s">
        <v>2279</v>
      </c>
      <c r="O405" s="190" t="str">
        <f>"["&amp;$C405&amp;"]["&amp;$D405&amp;"]["&amp;$F405&amp;"]"</f>
        <v>[S05_ImprovementReportArt69][9][ImprovementReportSubmitted]</v>
      </c>
    </row>
    <row r="406" spans="1:15" x14ac:dyDescent="0.3">
      <c r="A406" t="s">
        <v>2277</v>
      </c>
      <c r="B406" t="s">
        <v>1886</v>
      </c>
      <c r="C406" t="s">
        <v>1887</v>
      </c>
      <c r="D406">
        <v>10</v>
      </c>
      <c r="E406" t="s">
        <v>1447</v>
      </c>
      <c r="F406" t="s">
        <v>1891</v>
      </c>
      <c r="G406" t="s">
        <v>1748</v>
      </c>
      <c r="H406" t="s">
        <v>2279</v>
      </c>
      <c r="I406">
        <v>4</v>
      </c>
      <c r="J406" t="s">
        <v>2279</v>
      </c>
      <c r="K406" t="s">
        <v>2279</v>
      </c>
      <c r="L406" t="s">
        <v>2279</v>
      </c>
      <c r="M406" t="s">
        <v>2279</v>
      </c>
      <c r="N406" t="s">
        <v>2279</v>
      </c>
      <c r="O406" s="190" t="str">
        <f>"["&amp;$C406&amp;"]["&amp;$D406&amp;"]["&amp;$F406&amp;"]"</f>
        <v>[S05_ImprovementReportArt69][10][ImprovementReportSubmitted]</v>
      </c>
    </row>
    <row r="407" spans="1:15" x14ac:dyDescent="0.3">
      <c r="A407" t="s">
        <v>2277</v>
      </c>
      <c r="B407" t="s">
        <v>1886</v>
      </c>
      <c r="C407" t="s">
        <v>1887</v>
      </c>
      <c r="D407">
        <v>11</v>
      </c>
      <c r="E407" t="s">
        <v>1447</v>
      </c>
      <c r="F407" t="s">
        <v>1891</v>
      </c>
      <c r="G407" t="s">
        <v>1748</v>
      </c>
      <c r="H407" t="s">
        <v>2279</v>
      </c>
      <c r="I407">
        <v>1</v>
      </c>
      <c r="J407" t="s">
        <v>2279</v>
      </c>
      <c r="K407" t="s">
        <v>2279</v>
      </c>
      <c r="L407" t="s">
        <v>2279</v>
      </c>
      <c r="M407" t="s">
        <v>2279</v>
      </c>
      <c r="N407" t="s">
        <v>2279</v>
      </c>
      <c r="O407" s="190" t="str">
        <f>"["&amp;$C407&amp;"]["&amp;$D407&amp;"]["&amp;$F407&amp;"]"</f>
        <v>[S05_ImprovementReportArt69][11][ImprovementReportSubmitted]</v>
      </c>
    </row>
    <row r="408" spans="1:15" x14ac:dyDescent="0.3">
      <c r="A408" t="s">
        <v>2277</v>
      </c>
      <c r="B408" t="s">
        <v>1886</v>
      </c>
      <c r="C408" t="s">
        <v>1887</v>
      </c>
      <c r="D408">
        <v>12</v>
      </c>
      <c r="E408" t="s">
        <v>1447</v>
      </c>
      <c r="F408" t="s">
        <v>1891</v>
      </c>
      <c r="G408" t="s">
        <v>1748</v>
      </c>
      <c r="H408" t="s">
        <v>2279</v>
      </c>
      <c r="I408">
        <v>1</v>
      </c>
      <c r="J408" t="s">
        <v>2279</v>
      </c>
      <c r="K408" t="s">
        <v>2279</v>
      </c>
      <c r="L408" t="s">
        <v>2279</v>
      </c>
      <c r="M408" t="s">
        <v>2279</v>
      </c>
      <c r="N408" t="s">
        <v>2279</v>
      </c>
      <c r="O408" s="190" t="str">
        <f>"["&amp;$C408&amp;"]["&amp;$D408&amp;"]["&amp;$F408&amp;"]"</f>
        <v>[S05_ImprovementReportArt69][12][ImprovementReportSubmitted]</v>
      </c>
    </row>
    <row r="409" spans="1:15" x14ac:dyDescent="0.3">
      <c r="A409" t="s">
        <v>2277</v>
      </c>
      <c r="B409" t="s">
        <v>1892</v>
      </c>
      <c r="C409" t="s">
        <v>1893</v>
      </c>
      <c r="D409">
        <v>0</v>
      </c>
      <c r="E409" t="s">
        <v>1447</v>
      </c>
      <c r="F409" t="s">
        <v>1893</v>
      </c>
      <c r="G409" t="s">
        <v>1759</v>
      </c>
      <c r="H409" t="s">
        <v>2279</v>
      </c>
      <c r="I409" t="s">
        <v>2279</v>
      </c>
      <c r="J409" t="s">
        <v>2279</v>
      </c>
      <c r="K409" t="s">
        <v>2279</v>
      </c>
      <c r="L409" t="s">
        <v>1419</v>
      </c>
      <c r="M409" t="s">
        <v>2279</v>
      </c>
      <c r="N409" t="s">
        <v>2279</v>
      </c>
      <c r="O409" s="190" t="str">
        <f>"["&amp;$C409&amp;"]["&amp;$D409&amp;"]["&amp;$F409&amp;"]"</f>
        <v>[InherentCarbonTransferred][0][InherentCarbonTransferred]</v>
      </c>
    </row>
    <row r="410" spans="1:15" x14ac:dyDescent="0.3">
      <c r="A410" t="s">
        <v>2277</v>
      </c>
      <c r="B410" t="s">
        <v>1892</v>
      </c>
      <c r="C410" t="s">
        <v>1894</v>
      </c>
      <c r="D410">
        <v>1</v>
      </c>
      <c r="E410" t="s">
        <v>1447</v>
      </c>
      <c r="F410" t="s">
        <v>1895</v>
      </c>
      <c r="G410" t="s">
        <v>1737</v>
      </c>
      <c r="H410" t="s">
        <v>2279</v>
      </c>
      <c r="I410" t="s">
        <v>2279</v>
      </c>
      <c r="J410" t="s">
        <v>2279</v>
      </c>
      <c r="K410" t="s">
        <v>2279</v>
      </c>
      <c r="L410" t="s">
        <v>1489</v>
      </c>
      <c r="M410" t="s">
        <v>2279</v>
      </c>
      <c r="N410" t="s">
        <v>2279</v>
      </c>
      <c r="O410" s="190" t="str">
        <f>"["&amp;$C410&amp;"]["&amp;$D410&amp;"]["&amp;$F410&amp;"]"</f>
        <v>[S05_InherentCarbonTransferredDetail][1][TransferType]</v>
      </c>
    </row>
    <row r="411" spans="1:15" x14ac:dyDescent="0.3">
      <c r="A411" t="s">
        <v>2277</v>
      </c>
      <c r="B411" t="s">
        <v>1892</v>
      </c>
      <c r="C411" t="s">
        <v>1894</v>
      </c>
      <c r="D411">
        <v>2</v>
      </c>
      <c r="E411" t="s">
        <v>1447</v>
      </c>
      <c r="F411" t="s">
        <v>1895</v>
      </c>
      <c r="G411" t="s">
        <v>1737</v>
      </c>
      <c r="H411" t="s">
        <v>2279</v>
      </c>
      <c r="I411" t="s">
        <v>2279</v>
      </c>
      <c r="J411" t="s">
        <v>2279</v>
      </c>
      <c r="K411" t="s">
        <v>2279</v>
      </c>
      <c r="L411" t="s">
        <v>1489</v>
      </c>
      <c r="M411" t="s">
        <v>2279</v>
      </c>
      <c r="N411" t="s">
        <v>2279</v>
      </c>
      <c r="O411" s="190" t="str">
        <f>"["&amp;$C411&amp;"]["&amp;$D411&amp;"]["&amp;$F411&amp;"]"</f>
        <v>[S05_InherentCarbonTransferredDetail][2][TransferType]</v>
      </c>
    </row>
    <row r="412" spans="1:15" x14ac:dyDescent="0.3">
      <c r="A412" t="s">
        <v>2277</v>
      </c>
      <c r="B412" t="s">
        <v>1892</v>
      </c>
      <c r="C412" t="s">
        <v>1894</v>
      </c>
      <c r="D412">
        <v>1</v>
      </c>
      <c r="E412" t="s">
        <v>1447</v>
      </c>
      <c r="F412" t="s">
        <v>1896</v>
      </c>
      <c r="G412" t="s">
        <v>1741</v>
      </c>
      <c r="H412" t="s">
        <v>2359</v>
      </c>
      <c r="I412" t="s">
        <v>2279</v>
      </c>
      <c r="J412" t="s">
        <v>2279</v>
      </c>
      <c r="K412" t="s">
        <v>2279</v>
      </c>
      <c r="L412" t="s">
        <v>2279</v>
      </c>
      <c r="M412" t="s">
        <v>2279</v>
      </c>
      <c r="N412" t="s">
        <v>2279</v>
      </c>
      <c r="O412" s="190" t="str">
        <f>"["&amp;$C412&amp;"]["&amp;$D412&amp;"]["&amp;$F412&amp;"]"</f>
        <v>[S05_InherentCarbonTransferredDetail][1][InstallationIdTransferring]</v>
      </c>
    </row>
    <row r="413" spans="1:15" x14ac:dyDescent="0.3">
      <c r="A413" t="s">
        <v>2277</v>
      </c>
      <c r="B413" t="s">
        <v>1892</v>
      </c>
      <c r="C413" t="s">
        <v>1894</v>
      </c>
      <c r="D413">
        <v>2</v>
      </c>
      <c r="E413" t="s">
        <v>1447</v>
      </c>
      <c r="F413" t="s">
        <v>1896</v>
      </c>
      <c r="G413" t="s">
        <v>1741</v>
      </c>
      <c r="H413" t="s">
        <v>2360</v>
      </c>
      <c r="I413" t="s">
        <v>2279</v>
      </c>
      <c r="J413" t="s">
        <v>2279</v>
      </c>
      <c r="K413" t="s">
        <v>2279</v>
      </c>
      <c r="L413" t="s">
        <v>2279</v>
      </c>
      <c r="M413" t="s">
        <v>2279</v>
      </c>
      <c r="N413" t="s">
        <v>2279</v>
      </c>
      <c r="O413" s="190" t="str">
        <f>"["&amp;$C413&amp;"]["&amp;$D413&amp;"]["&amp;$F413&amp;"]"</f>
        <v>[S05_InherentCarbonTransferredDetail][2][InstallationIdTransferring]</v>
      </c>
    </row>
    <row r="414" spans="1:15" x14ac:dyDescent="0.3">
      <c r="A414" t="s">
        <v>2277</v>
      </c>
      <c r="B414" t="s">
        <v>1892</v>
      </c>
      <c r="C414" t="s">
        <v>1894</v>
      </c>
      <c r="D414">
        <v>1</v>
      </c>
      <c r="E414" t="s">
        <v>1447</v>
      </c>
      <c r="F414" t="s">
        <v>1897</v>
      </c>
      <c r="G414" t="s">
        <v>1741</v>
      </c>
      <c r="H414" t="s">
        <v>2361</v>
      </c>
      <c r="I414" t="s">
        <v>2279</v>
      </c>
      <c r="J414" t="s">
        <v>2279</v>
      </c>
      <c r="K414" t="s">
        <v>2279</v>
      </c>
      <c r="L414" t="s">
        <v>2279</v>
      </c>
      <c r="M414" t="s">
        <v>2279</v>
      </c>
      <c r="N414" t="s">
        <v>2279</v>
      </c>
      <c r="O414" s="190" t="str">
        <f>"["&amp;$C414&amp;"]["&amp;$D414&amp;"]["&amp;$F414&amp;"]"</f>
        <v>[S05_InherentCarbonTransferredDetail][1][InstallationIdReceiving]</v>
      </c>
    </row>
    <row r="415" spans="1:15" x14ac:dyDescent="0.3">
      <c r="A415" t="s">
        <v>2277</v>
      </c>
      <c r="B415" t="s">
        <v>1892</v>
      </c>
      <c r="C415" t="s">
        <v>1894</v>
      </c>
      <c r="D415">
        <v>2</v>
      </c>
      <c r="E415" t="s">
        <v>1447</v>
      </c>
      <c r="F415" t="s">
        <v>1897</v>
      </c>
      <c r="G415" t="s">
        <v>1741</v>
      </c>
      <c r="H415" t="s">
        <v>2361</v>
      </c>
      <c r="I415" t="s">
        <v>2279</v>
      </c>
      <c r="J415" t="s">
        <v>2279</v>
      </c>
      <c r="K415" t="s">
        <v>2279</v>
      </c>
      <c r="L415" t="s">
        <v>2279</v>
      </c>
      <c r="M415" t="s">
        <v>2279</v>
      </c>
      <c r="N415" t="s">
        <v>2279</v>
      </c>
      <c r="O415" s="190" t="str">
        <f>"["&amp;$C415&amp;"]["&amp;$D415&amp;"]["&amp;$F415&amp;"]"</f>
        <v>[S05_InherentCarbonTransferredDetail][2][InstallationIdReceiving]</v>
      </c>
    </row>
    <row r="416" spans="1:15" x14ac:dyDescent="0.3">
      <c r="A416" t="s">
        <v>2277</v>
      </c>
      <c r="B416" t="s">
        <v>1892</v>
      </c>
      <c r="C416" t="s">
        <v>1894</v>
      </c>
      <c r="D416">
        <v>1</v>
      </c>
      <c r="E416" t="s">
        <v>1447</v>
      </c>
      <c r="F416" t="s">
        <v>1898</v>
      </c>
      <c r="G416" t="s">
        <v>1806</v>
      </c>
      <c r="H416" t="s">
        <v>2279</v>
      </c>
      <c r="I416" t="s">
        <v>2279</v>
      </c>
      <c r="J416">
        <v>16645.189156248201</v>
      </c>
      <c r="K416" t="s">
        <v>2279</v>
      </c>
      <c r="L416" t="s">
        <v>2279</v>
      </c>
      <c r="M416" t="s">
        <v>2279</v>
      </c>
      <c r="N416" t="s">
        <v>2279</v>
      </c>
      <c r="O416" s="190" t="str">
        <f>"["&amp;$C416&amp;"]["&amp;$D416&amp;"]["&amp;$F416&amp;"]"</f>
        <v>[S05_InherentCarbonTransferredDetail][1][AmountCO2Transferred]</v>
      </c>
    </row>
    <row r="417" spans="1:15" x14ac:dyDescent="0.3">
      <c r="A417" t="s">
        <v>2277</v>
      </c>
      <c r="B417" t="s">
        <v>1892</v>
      </c>
      <c r="C417" t="s">
        <v>1894</v>
      </c>
      <c r="D417">
        <v>2</v>
      </c>
      <c r="E417" t="s">
        <v>1447</v>
      </c>
      <c r="F417" t="s">
        <v>1898</v>
      </c>
      <c r="G417" t="s">
        <v>1806</v>
      </c>
      <c r="H417" t="s">
        <v>2279</v>
      </c>
      <c r="I417" t="s">
        <v>2279</v>
      </c>
      <c r="J417">
        <v>3314.2386536234098</v>
      </c>
      <c r="K417" t="s">
        <v>2279</v>
      </c>
      <c r="L417" t="s">
        <v>2279</v>
      </c>
      <c r="M417" t="s">
        <v>2279</v>
      </c>
      <c r="N417" t="s">
        <v>2279</v>
      </c>
      <c r="O417" s="190" t="str">
        <f>"["&amp;$C417&amp;"]["&amp;$D417&amp;"]["&amp;$F417&amp;"]"</f>
        <v>[S05_InherentCarbonTransferredDetail][2][AmountCO2Transferred]</v>
      </c>
    </row>
    <row r="418" spans="1:15" x14ac:dyDescent="0.3">
      <c r="A418" t="s">
        <v>2277</v>
      </c>
      <c r="B418" t="s">
        <v>1892</v>
      </c>
      <c r="C418" t="s">
        <v>1894</v>
      </c>
      <c r="D418">
        <v>1</v>
      </c>
      <c r="E418" t="s">
        <v>1447</v>
      </c>
      <c r="F418" t="s">
        <v>1899</v>
      </c>
      <c r="G418" t="s">
        <v>1806</v>
      </c>
      <c r="H418" t="s">
        <v>2279</v>
      </c>
      <c r="I418" t="s">
        <v>2279</v>
      </c>
      <c r="J418">
        <v>0</v>
      </c>
      <c r="K418" t="s">
        <v>2279</v>
      </c>
      <c r="L418" t="s">
        <v>2279</v>
      </c>
      <c r="M418" t="s">
        <v>2279</v>
      </c>
      <c r="N418" t="s">
        <v>2279</v>
      </c>
      <c r="O418" s="190" t="str">
        <f>"["&amp;$C418&amp;"]["&amp;$D418&amp;"]["&amp;$F418&amp;"]"</f>
        <v>[S05_InherentCarbonTransferredDetail][1][InherentCO2Received]</v>
      </c>
    </row>
    <row r="419" spans="1:15" x14ac:dyDescent="0.3">
      <c r="A419" t="s">
        <v>2277</v>
      </c>
      <c r="B419" t="s">
        <v>1892</v>
      </c>
      <c r="C419" t="s">
        <v>1894</v>
      </c>
      <c r="D419">
        <v>2</v>
      </c>
      <c r="E419" t="s">
        <v>1447</v>
      </c>
      <c r="F419" t="s">
        <v>1899</v>
      </c>
      <c r="G419" t="s">
        <v>1806</v>
      </c>
      <c r="H419" t="s">
        <v>2279</v>
      </c>
      <c r="I419" t="s">
        <v>2279</v>
      </c>
      <c r="J419">
        <v>0</v>
      </c>
      <c r="K419" t="s">
        <v>2279</v>
      </c>
      <c r="L419" t="s">
        <v>2279</v>
      </c>
      <c r="M419" t="s">
        <v>2279</v>
      </c>
      <c r="N419" t="s">
        <v>2279</v>
      </c>
      <c r="O419" s="190" t="str">
        <f>"["&amp;$C419&amp;"]["&amp;$D419&amp;"]["&amp;$F419&amp;"]"</f>
        <v>[S05_InherentCarbonTransferredDetail][2][InherentCO2Received]</v>
      </c>
    </row>
    <row r="420" spans="1:15" x14ac:dyDescent="0.3">
      <c r="A420" t="s">
        <v>2277</v>
      </c>
      <c r="B420" t="s">
        <v>1902</v>
      </c>
      <c r="C420" t="s">
        <v>1903</v>
      </c>
      <c r="D420">
        <v>0</v>
      </c>
      <c r="E420" t="s">
        <v>1447</v>
      </c>
      <c r="F420" t="s">
        <v>1903</v>
      </c>
      <c r="G420" t="s">
        <v>1759</v>
      </c>
      <c r="H420" t="s">
        <v>2279</v>
      </c>
      <c r="I420" t="s">
        <v>2279</v>
      </c>
      <c r="J420" t="s">
        <v>2279</v>
      </c>
      <c r="K420" t="s">
        <v>2279</v>
      </c>
      <c r="L420" t="s">
        <v>1419</v>
      </c>
      <c r="M420" t="s">
        <v>2279</v>
      </c>
      <c r="N420" t="s">
        <v>2279</v>
      </c>
      <c r="O420" s="190" t="str">
        <f>"["&amp;$C420&amp;"]["&amp;$D420&amp;"]["&amp;$F420&amp;"]"</f>
        <v>[ContinuousEmissionsMeasurement][0][ContinuousEmissionsMeasurement]</v>
      </c>
    </row>
    <row r="421" spans="1:15" x14ac:dyDescent="0.3">
      <c r="A421" t="s">
        <v>2277</v>
      </c>
      <c r="B421" t="s">
        <v>1902</v>
      </c>
      <c r="C421" t="s">
        <v>1904</v>
      </c>
      <c r="D421">
        <v>1</v>
      </c>
      <c r="E421" t="s">
        <v>1447</v>
      </c>
      <c r="F421" t="s">
        <v>1905</v>
      </c>
      <c r="G421" t="s">
        <v>1741</v>
      </c>
      <c r="H421" t="s">
        <v>2362</v>
      </c>
      <c r="I421" t="s">
        <v>2279</v>
      </c>
      <c r="J421" t="s">
        <v>2279</v>
      </c>
      <c r="K421" t="s">
        <v>2279</v>
      </c>
      <c r="L421" t="s">
        <v>2279</v>
      </c>
      <c r="M421" t="s">
        <v>2279</v>
      </c>
      <c r="N421" t="s">
        <v>2279</v>
      </c>
      <c r="O421" s="190" t="str">
        <f>"["&amp;$C421&amp;"]["&amp;$D421&amp;"]["&amp;$F421&amp;"]"</f>
        <v>[S05_ContinuousEmissionsMeasurementDetail][1][InstallationIDCO2]</v>
      </c>
    </row>
    <row r="422" spans="1:15" x14ac:dyDescent="0.3">
      <c r="A422" t="s">
        <v>2277</v>
      </c>
      <c r="B422" t="s">
        <v>1902</v>
      </c>
      <c r="C422" t="s">
        <v>1904</v>
      </c>
      <c r="D422">
        <v>2</v>
      </c>
      <c r="E422" t="s">
        <v>1447</v>
      </c>
      <c r="F422" t="s">
        <v>1905</v>
      </c>
      <c r="G422" t="s">
        <v>1741</v>
      </c>
      <c r="H422" t="s">
        <v>2363</v>
      </c>
      <c r="I422" t="s">
        <v>2279</v>
      </c>
      <c r="J422" t="s">
        <v>2279</v>
      </c>
      <c r="K422" t="s">
        <v>2279</v>
      </c>
      <c r="L422" t="s">
        <v>2279</v>
      </c>
      <c r="M422" t="s">
        <v>2279</v>
      </c>
      <c r="N422" t="s">
        <v>2279</v>
      </c>
      <c r="O422" s="190" t="str">
        <f>"["&amp;$C422&amp;"]["&amp;$D422&amp;"]["&amp;$F422&amp;"]"</f>
        <v>[S05_ContinuousEmissionsMeasurementDetail][2][InstallationIDCO2]</v>
      </c>
    </row>
    <row r="423" spans="1:15" x14ac:dyDescent="0.3">
      <c r="A423" t="s">
        <v>2277</v>
      </c>
      <c r="B423" t="s">
        <v>1902</v>
      </c>
      <c r="C423" t="s">
        <v>1904</v>
      </c>
      <c r="D423">
        <v>3</v>
      </c>
      <c r="E423" t="s">
        <v>1447</v>
      </c>
      <c r="F423" t="s">
        <v>1905</v>
      </c>
      <c r="G423" t="s">
        <v>1741</v>
      </c>
      <c r="H423" t="s">
        <v>2364</v>
      </c>
      <c r="I423" t="s">
        <v>2279</v>
      </c>
      <c r="J423" t="s">
        <v>2279</v>
      </c>
      <c r="K423" t="s">
        <v>2279</v>
      </c>
      <c r="L423" t="s">
        <v>2279</v>
      </c>
      <c r="M423" t="s">
        <v>2279</v>
      </c>
      <c r="N423" t="s">
        <v>2279</v>
      </c>
      <c r="O423" s="190" t="str">
        <f>"["&amp;$C423&amp;"]["&amp;$D423&amp;"]["&amp;$F423&amp;"]"</f>
        <v>[S05_ContinuousEmissionsMeasurementDetail][3][InstallationIDCO2]</v>
      </c>
    </row>
    <row r="424" spans="1:15" x14ac:dyDescent="0.3">
      <c r="A424" t="s">
        <v>2277</v>
      </c>
      <c r="B424" t="s">
        <v>1902</v>
      </c>
      <c r="C424" t="s">
        <v>1904</v>
      </c>
      <c r="D424">
        <v>1</v>
      </c>
      <c r="E424" t="s">
        <v>1447</v>
      </c>
      <c r="F424" t="s">
        <v>1906</v>
      </c>
      <c r="G424" t="s">
        <v>1741</v>
      </c>
      <c r="H424" t="s">
        <v>2362</v>
      </c>
      <c r="I424" t="s">
        <v>2279</v>
      </c>
      <c r="J424" t="s">
        <v>2279</v>
      </c>
      <c r="K424" t="s">
        <v>2279</v>
      </c>
      <c r="L424" t="s">
        <v>2279</v>
      </c>
      <c r="M424" t="s">
        <v>2279</v>
      </c>
      <c r="N424" t="s">
        <v>2279</v>
      </c>
      <c r="O424" s="190" t="str">
        <f>"["&amp;$C424&amp;"]["&amp;$D424&amp;"]["&amp;$F424&amp;"]"</f>
        <v>[S05_ContinuousEmissionsMeasurementDetail][1][InstallationIDN2O]</v>
      </c>
    </row>
    <row r="425" spans="1:15" x14ac:dyDescent="0.3">
      <c r="A425" t="s">
        <v>2277</v>
      </c>
      <c r="B425" t="s">
        <v>1902</v>
      </c>
      <c r="C425" t="s">
        <v>1904</v>
      </c>
      <c r="D425">
        <v>2</v>
      </c>
      <c r="E425" t="s">
        <v>1447</v>
      </c>
      <c r="F425" t="s">
        <v>1906</v>
      </c>
      <c r="G425" t="s">
        <v>1741</v>
      </c>
      <c r="H425" t="s">
        <v>2363</v>
      </c>
      <c r="I425" t="s">
        <v>2279</v>
      </c>
      <c r="J425" t="s">
        <v>2279</v>
      </c>
      <c r="K425" t="s">
        <v>2279</v>
      </c>
      <c r="L425" t="s">
        <v>2279</v>
      </c>
      <c r="M425" t="s">
        <v>2279</v>
      </c>
      <c r="N425" t="s">
        <v>2279</v>
      </c>
      <c r="O425" s="190" t="str">
        <f>"["&amp;$C425&amp;"]["&amp;$D425&amp;"]["&amp;$F425&amp;"]"</f>
        <v>[S05_ContinuousEmissionsMeasurementDetail][2][InstallationIDN2O]</v>
      </c>
    </row>
    <row r="426" spans="1:15" x14ac:dyDescent="0.3">
      <c r="A426" t="s">
        <v>2277</v>
      </c>
      <c r="B426" t="s">
        <v>1902</v>
      </c>
      <c r="C426" t="s">
        <v>1904</v>
      </c>
      <c r="D426">
        <v>3</v>
      </c>
      <c r="E426" t="s">
        <v>1447</v>
      </c>
      <c r="F426" t="s">
        <v>1906</v>
      </c>
      <c r="G426" t="s">
        <v>1741</v>
      </c>
      <c r="H426" t="s">
        <v>2364</v>
      </c>
      <c r="I426" t="s">
        <v>2279</v>
      </c>
      <c r="J426" t="s">
        <v>2279</v>
      </c>
      <c r="K426" t="s">
        <v>2279</v>
      </c>
      <c r="L426" t="s">
        <v>2279</v>
      </c>
      <c r="M426" t="s">
        <v>2279</v>
      </c>
      <c r="N426" t="s">
        <v>2279</v>
      </c>
      <c r="O426" s="190" t="str">
        <f>"["&amp;$C426&amp;"]["&amp;$D426&amp;"]["&amp;$F426&amp;"]"</f>
        <v>[S05_ContinuousEmissionsMeasurementDetail][3][InstallationIDN2O]</v>
      </c>
    </row>
    <row r="427" spans="1:15" x14ac:dyDescent="0.3">
      <c r="A427" t="s">
        <v>2277</v>
      </c>
      <c r="B427" t="s">
        <v>1902</v>
      </c>
      <c r="C427" t="s">
        <v>1904</v>
      </c>
      <c r="D427">
        <v>1</v>
      </c>
      <c r="E427" t="s">
        <v>1447</v>
      </c>
      <c r="F427" t="s">
        <v>1907</v>
      </c>
      <c r="G427" t="s">
        <v>1806</v>
      </c>
      <c r="H427" t="s">
        <v>2279</v>
      </c>
      <c r="I427" t="s">
        <v>2279</v>
      </c>
      <c r="J427">
        <v>28371</v>
      </c>
      <c r="K427" t="s">
        <v>2279</v>
      </c>
      <c r="L427" t="s">
        <v>2279</v>
      </c>
      <c r="M427" t="s">
        <v>2279</v>
      </c>
      <c r="N427" t="s">
        <v>2279</v>
      </c>
      <c r="O427" s="190" t="str">
        <f>"["&amp;$C427&amp;"]["&amp;$D427&amp;"]["&amp;$F427&amp;"]"</f>
        <v>[S05_ContinuousEmissionsMeasurementDetail][1][TotalEmissionsCO2E]</v>
      </c>
    </row>
    <row r="428" spans="1:15" x14ac:dyDescent="0.3">
      <c r="A428" t="s">
        <v>2277</v>
      </c>
      <c r="B428" t="s">
        <v>1902</v>
      </c>
      <c r="C428" t="s">
        <v>1904</v>
      </c>
      <c r="D428">
        <v>2</v>
      </c>
      <c r="E428" t="s">
        <v>1447</v>
      </c>
      <c r="F428" t="s">
        <v>1907</v>
      </c>
      <c r="G428" t="s">
        <v>1806</v>
      </c>
      <c r="H428" t="s">
        <v>2279</v>
      </c>
      <c r="I428" t="s">
        <v>2279</v>
      </c>
      <c r="J428">
        <v>19930</v>
      </c>
      <c r="K428" t="s">
        <v>2279</v>
      </c>
      <c r="L428" t="s">
        <v>2279</v>
      </c>
      <c r="M428" t="s">
        <v>2279</v>
      </c>
      <c r="N428" t="s">
        <v>2279</v>
      </c>
      <c r="O428" s="190" t="str">
        <f>"["&amp;$C428&amp;"]["&amp;$D428&amp;"]["&amp;$F428&amp;"]"</f>
        <v>[S05_ContinuousEmissionsMeasurementDetail][2][TotalEmissionsCO2E]</v>
      </c>
    </row>
    <row r="429" spans="1:15" x14ac:dyDescent="0.3">
      <c r="A429" t="s">
        <v>2277</v>
      </c>
      <c r="B429" t="s">
        <v>1902</v>
      </c>
      <c r="C429" t="s">
        <v>1904</v>
      </c>
      <c r="D429">
        <v>3</v>
      </c>
      <c r="E429" t="s">
        <v>1447</v>
      </c>
      <c r="F429" t="s">
        <v>1907</v>
      </c>
      <c r="G429" t="s">
        <v>1806</v>
      </c>
      <c r="H429" t="s">
        <v>2279</v>
      </c>
      <c r="I429" t="s">
        <v>2279</v>
      </c>
      <c r="J429">
        <v>17926</v>
      </c>
      <c r="K429" t="s">
        <v>2279</v>
      </c>
      <c r="L429" t="s">
        <v>2279</v>
      </c>
      <c r="M429" t="s">
        <v>2279</v>
      </c>
      <c r="N429" t="s">
        <v>2279</v>
      </c>
      <c r="O429" s="190" t="str">
        <f>"["&amp;$C429&amp;"]["&amp;$D429&amp;"]["&amp;$F429&amp;"]"</f>
        <v>[S05_ContinuousEmissionsMeasurementDetail][3][TotalEmissionsCO2E]</v>
      </c>
    </row>
    <row r="430" spans="1:15" x14ac:dyDescent="0.3">
      <c r="A430" t="s">
        <v>2277</v>
      </c>
      <c r="B430" t="s">
        <v>1902</v>
      </c>
      <c r="C430" t="s">
        <v>1904</v>
      </c>
      <c r="D430">
        <v>1</v>
      </c>
      <c r="E430" t="s">
        <v>1447</v>
      </c>
      <c r="F430" t="s">
        <v>1908</v>
      </c>
      <c r="G430" t="s">
        <v>1806</v>
      </c>
      <c r="H430" t="s">
        <v>2279</v>
      </c>
      <c r="I430" t="s">
        <v>2279</v>
      </c>
      <c r="J430">
        <v>12632</v>
      </c>
      <c r="K430" t="s">
        <v>2279</v>
      </c>
      <c r="L430" t="s">
        <v>2279</v>
      </c>
      <c r="M430" t="s">
        <v>2279</v>
      </c>
      <c r="N430" t="s">
        <v>2279</v>
      </c>
      <c r="O430" s="190" t="str">
        <f>"["&amp;$C430&amp;"]["&amp;$D430&amp;"]["&amp;$F430&amp;"]"</f>
        <v>[S05_ContinuousEmissionsMeasurementDetail][1][ContinuousMeasurementTotalEmissions]</v>
      </c>
    </row>
    <row r="431" spans="1:15" x14ac:dyDescent="0.3">
      <c r="A431" t="s">
        <v>2277</v>
      </c>
      <c r="B431" t="s">
        <v>1902</v>
      </c>
      <c r="C431" t="s">
        <v>1904</v>
      </c>
      <c r="D431">
        <v>2</v>
      </c>
      <c r="E431" t="s">
        <v>1447</v>
      </c>
      <c r="F431" t="s">
        <v>1908</v>
      </c>
      <c r="G431" t="s">
        <v>1806</v>
      </c>
      <c r="H431" t="s">
        <v>2279</v>
      </c>
      <c r="I431" t="s">
        <v>2279</v>
      </c>
      <c r="J431">
        <v>13907</v>
      </c>
      <c r="K431" t="s">
        <v>2279</v>
      </c>
      <c r="L431" t="s">
        <v>2279</v>
      </c>
      <c r="M431" t="s">
        <v>2279</v>
      </c>
      <c r="N431" t="s">
        <v>2279</v>
      </c>
      <c r="O431" s="190" t="str">
        <f>"["&amp;$C431&amp;"]["&amp;$D431&amp;"]["&amp;$F431&amp;"]"</f>
        <v>[S05_ContinuousEmissionsMeasurementDetail][2][ContinuousMeasurementTotalEmissions]</v>
      </c>
    </row>
    <row r="432" spans="1:15" x14ac:dyDescent="0.3">
      <c r="A432" t="s">
        <v>2277</v>
      </c>
      <c r="B432" t="s">
        <v>1902</v>
      </c>
      <c r="C432" t="s">
        <v>1904</v>
      </c>
      <c r="D432">
        <v>3</v>
      </c>
      <c r="E432" t="s">
        <v>1447</v>
      </c>
      <c r="F432" t="s">
        <v>1908</v>
      </c>
      <c r="G432" t="s">
        <v>1806</v>
      </c>
      <c r="H432" t="s">
        <v>2279</v>
      </c>
      <c r="I432" t="s">
        <v>2279</v>
      </c>
      <c r="J432">
        <v>17552</v>
      </c>
      <c r="K432" t="s">
        <v>2279</v>
      </c>
      <c r="L432" t="s">
        <v>2279</v>
      </c>
      <c r="M432" t="s">
        <v>2279</v>
      </c>
      <c r="N432" t="s">
        <v>2279</v>
      </c>
      <c r="O432" s="190" t="str">
        <f>"["&amp;$C432&amp;"]["&amp;$D432&amp;"]["&amp;$F432&amp;"]"</f>
        <v>[S05_ContinuousEmissionsMeasurementDetail][3][ContinuousMeasurementTotalEmissions]</v>
      </c>
    </row>
    <row r="433" spans="1:15" x14ac:dyDescent="0.3">
      <c r="A433" t="s">
        <v>2277</v>
      </c>
      <c r="B433" t="s">
        <v>1902</v>
      </c>
      <c r="C433" t="s">
        <v>1904</v>
      </c>
      <c r="D433">
        <v>1</v>
      </c>
      <c r="E433" t="s">
        <v>1447</v>
      </c>
      <c r="F433" t="s">
        <v>1909</v>
      </c>
      <c r="G433" t="s">
        <v>1759</v>
      </c>
      <c r="H433" t="s">
        <v>2279</v>
      </c>
      <c r="I433" t="s">
        <v>2279</v>
      </c>
      <c r="J433" t="s">
        <v>2279</v>
      </c>
      <c r="K433" t="s">
        <v>2279</v>
      </c>
      <c r="L433" t="s">
        <v>1447</v>
      </c>
      <c r="M433" t="s">
        <v>2279</v>
      </c>
      <c r="N433" t="s">
        <v>2279</v>
      </c>
      <c r="O433" s="190" t="str">
        <f>"["&amp;$C433&amp;"]["&amp;$D433&amp;"]["&amp;$F433&amp;"]"</f>
        <v>[S05_ContinuousEmissionsMeasurementDetail][1][FlueGasContainBiomass]</v>
      </c>
    </row>
    <row r="434" spans="1:15" x14ac:dyDescent="0.3">
      <c r="A434" t="s">
        <v>2277</v>
      </c>
      <c r="B434" t="s">
        <v>1902</v>
      </c>
      <c r="C434" t="s">
        <v>1904</v>
      </c>
      <c r="D434">
        <v>2</v>
      </c>
      <c r="E434" t="s">
        <v>1447</v>
      </c>
      <c r="F434" t="s">
        <v>1909</v>
      </c>
      <c r="G434" t="s">
        <v>1759</v>
      </c>
      <c r="H434" t="s">
        <v>2279</v>
      </c>
      <c r="I434" t="s">
        <v>2279</v>
      </c>
      <c r="J434" t="s">
        <v>2279</v>
      </c>
      <c r="K434" t="s">
        <v>2279</v>
      </c>
      <c r="L434" t="s">
        <v>1447</v>
      </c>
      <c r="M434" t="s">
        <v>2279</v>
      </c>
      <c r="N434" t="s">
        <v>2279</v>
      </c>
      <c r="O434" s="190" t="str">
        <f>"["&amp;$C434&amp;"]["&amp;$D434&amp;"]["&amp;$F434&amp;"]"</f>
        <v>[S05_ContinuousEmissionsMeasurementDetail][2][FlueGasContainBiomass]</v>
      </c>
    </row>
    <row r="435" spans="1:15" x14ac:dyDescent="0.3">
      <c r="A435" t="s">
        <v>2277</v>
      </c>
      <c r="B435" t="s">
        <v>1902</v>
      </c>
      <c r="C435" t="s">
        <v>1904</v>
      </c>
      <c r="D435">
        <v>3</v>
      </c>
      <c r="E435" t="s">
        <v>1447</v>
      </c>
      <c r="F435" t="s">
        <v>1909</v>
      </c>
      <c r="G435" t="s">
        <v>1759</v>
      </c>
      <c r="H435" t="s">
        <v>2279</v>
      </c>
      <c r="I435" t="s">
        <v>2279</v>
      </c>
      <c r="J435" t="s">
        <v>2279</v>
      </c>
      <c r="K435" t="s">
        <v>2279</v>
      </c>
      <c r="L435" t="s">
        <v>1447</v>
      </c>
      <c r="M435" t="s">
        <v>2279</v>
      </c>
      <c r="N435" t="s">
        <v>2279</v>
      </c>
      <c r="O435" s="190" t="str">
        <f>"["&amp;$C435&amp;"]["&amp;$D435&amp;"]["&amp;$F435&amp;"]"</f>
        <v>[S05_ContinuousEmissionsMeasurementDetail][3][FlueGasContainBiomass]</v>
      </c>
    </row>
    <row r="436" spans="1:15" x14ac:dyDescent="0.3">
      <c r="A436" t="s">
        <v>2277</v>
      </c>
      <c r="B436" t="s">
        <v>1910</v>
      </c>
      <c r="C436" t="s">
        <v>1911</v>
      </c>
      <c r="D436">
        <v>0</v>
      </c>
      <c r="E436" t="s">
        <v>1447</v>
      </c>
      <c r="F436" t="s">
        <v>1911</v>
      </c>
      <c r="G436" t="s">
        <v>1741</v>
      </c>
      <c r="H436" t="s">
        <v>2365</v>
      </c>
      <c r="I436" t="s">
        <v>2279</v>
      </c>
      <c r="J436" t="s">
        <v>2279</v>
      </c>
      <c r="K436" t="s">
        <v>2279</v>
      </c>
      <c r="L436" t="s">
        <v>2279</v>
      </c>
      <c r="M436" t="s">
        <v>2279</v>
      </c>
      <c r="N436" t="s">
        <v>2279</v>
      </c>
      <c r="O436" s="190" t="str">
        <f>"["&amp;$C436&amp;"]["&amp;$D436&amp;"]["&amp;$F436&amp;"]"</f>
        <v>[SustainabilityComplianceDemonstrate][0][SustainabilityComplianceDemonstrate]</v>
      </c>
    </row>
    <row r="437" spans="1:15" x14ac:dyDescent="0.3">
      <c r="A437" t="s">
        <v>2277</v>
      </c>
      <c r="B437" t="s">
        <v>1910</v>
      </c>
      <c r="C437" t="s">
        <v>1912</v>
      </c>
      <c r="D437">
        <v>1</v>
      </c>
      <c r="E437" t="s">
        <v>1447</v>
      </c>
      <c r="F437" t="s">
        <v>1888</v>
      </c>
      <c r="G437" t="s">
        <v>1737</v>
      </c>
      <c r="H437" t="s">
        <v>2279</v>
      </c>
      <c r="I437" t="s">
        <v>2279</v>
      </c>
      <c r="J437" t="s">
        <v>2279</v>
      </c>
      <c r="K437" t="s">
        <v>2279</v>
      </c>
      <c r="L437" t="s">
        <v>1568</v>
      </c>
      <c r="M437" t="s">
        <v>2279</v>
      </c>
      <c r="N437" t="s">
        <v>2279</v>
      </c>
      <c r="O437" s="190" t="str">
        <f>"["&amp;$C437&amp;"]["&amp;$D437&amp;"]["&amp;$F437&amp;"]"</f>
        <v>[S05_BiomassInstallations][1][Annex1Activity]</v>
      </c>
    </row>
    <row r="438" spans="1:15" x14ac:dyDescent="0.3">
      <c r="A438" t="s">
        <v>2277</v>
      </c>
      <c r="B438" t="s">
        <v>1910</v>
      </c>
      <c r="C438" t="s">
        <v>1912</v>
      </c>
      <c r="D438">
        <v>2</v>
      </c>
      <c r="E438" t="s">
        <v>1447</v>
      </c>
      <c r="F438" t="s">
        <v>1888</v>
      </c>
      <c r="G438" t="s">
        <v>1737</v>
      </c>
      <c r="H438" t="s">
        <v>2279</v>
      </c>
      <c r="I438" t="s">
        <v>2279</v>
      </c>
      <c r="J438" t="s">
        <v>2279</v>
      </c>
      <c r="K438" t="s">
        <v>2279</v>
      </c>
      <c r="L438" t="s">
        <v>1568</v>
      </c>
      <c r="M438" t="s">
        <v>2279</v>
      </c>
      <c r="N438" t="s">
        <v>2279</v>
      </c>
      <c r="O438" s="190" t="str">
        <f>"["&amp;$C438&amp;"]["&amp;$D438&amp;"]["&amp;$F438&amp;"]"</f>
        <v>[S05_BiomassInstallations][2][Annex1Activity]</v>
      </c>
    </row>
    <row r="439" spans="1:15" x14ac:dyDescent="0.3">
      <c r="A439" t="s">
        <v>2277</v>
      </c>
      <c r="B439" t="s">
        <v>1910</v>
      </c>
      <c r="C439" t="s">
        <v>1912</v>
      </c>
      <c r="D439">
        <v>3</v>
      </c>
      <c r="E439" t="s">
        <v>1447</v>
      </c>
      <c r="F439" t="s">
        <v>1888</v>
      </c>
      <c r="G439" t="s">
        <v>1737</v>
      </c>
      <c r="H439" t="s">
        <v>2279</v>
      </c>
      <c r="I439" t="s">
        <v>2279</v>
      </c>
      <c r="J439" t="s">
        <v>2279</v>
      </c>
      <c r="K439" t="s">
        <v>2279</v>
      </c>
      <c r="L439" t="s">
        <v>1577</v>
      </c>
      <c r="M439" t="s">
        <v>2279</v>
      </c>
      <c r="N439" t="s">
        <v>2279</v>
      </c>
      <c r="O439" s="190" t="str">
        <f>"["&amp;$C439&amp;"]["&amp;$D439&amp;"]["&amp;$F439&amp;"]"</f>
        <v>[S05_BiomassInstallations][3][Annex1Activity]</v>
      </c>
    </row>
    <row r="440" spans="1:15" x14ac:dyDescent="0.3">
      <c r="A440" t="s">
        <v>2277</v>
      </c>
      <c r="B440" t="s">
        <v>1910</v>
      </c>
      <c r="C440" t="s">
        <v>1912</v>
      </c>
      <c r="D440">
        <v>4</v>
      </c>
      <c r="E440" t="s">
        <v>1447</v>
      </c>
      <c r="F440" t="s">
        <v>1888</v>
      </c>
      <c r="G440" t="s">
        <v>1737</v>
      </c>
      <c r="H440" t="s">
        <v>2279</v>
      </c>
      <c r="I440" t="s">
        <v>2279</v>
      </c>
      <c r="J440" t="s">
        <v>2279</v>
      </c>
      <c r="K440" t="s">
        <v>2279</v>
      </c>
      <c r="L440" t="s">
        <v>1562</v>
      </c>
      <c r="M440" t="s">
        <v>2279</v>
      </c>
      <c r="N440" t="s">
        <v>2279</v>
      </c>
      <c r="O440" s="190" t="str">
        <f>"["&amp;$C440&amp;"]["&amp;$D440&amp;"]["&amp;$F440&amp;"]"</f>
        <v>[S05_BiomassInstallations][4][Annex1Activity]</v>
      </c>
    </row>
    <row r="441" spans="1:15" x14ac:dyDescent="0.3">
      <c r="A441" t="s">
        <v>2277</v>
      </c>
      <c r="B441" t="s">
        <v>1910</v>
      </c>
      <c r="C441" t="s">
        <v>1912</v>
      </c>
      <c r="D441">
        <v>5</v>
      </c>
      <c r="E441" t="s">
        <v>1447</v>
      </c>
      <c r="F441" t="s">
        <v>1888</v>
      </c>
      <c r="G441" t="s">
        <v>1737</v>
      </c>
      <c r="H441" t="s">
        <v>2279</v>
      </c>
      <c r="I441" t="s">
        <v>2279</v>
      </c>
      <c r="J441" t="s">
        <v>2279</v>
      </c>
      <c r="K441" t="s">
        <v>2279</v>
      </c>
      <c r="L441" t="s">
        <v>1562</v>
      </c>
      <c r="M441" t="s">
        <v>2279</v>
      </c>
      <c r="N441" t="s">
        <v>2279</v>
      </c>
      <c r="O441" s="190" t="str">
        <f>"["&amp;$C441&amp;"]["&amp;$D441&amp;"]["&amp;$F441&amp;"]"</f>
        <v>[S05_BiomassInstallations][5][Annex1Activity]</v>
      </c>
    </row>
    <row r="442" spans="1:15" x14ac:dyDescent="0.3">
      <c r="A442" t="s">
        <v>2277</v>
      </c>
      <c r="B442" t="s">
        <v>1910</v>
      </c>
      <c r="C442" t="s">
        <v>1912</v>
      </c>
      <c r="D442">
        <v>6</v>
      </c>
      <c r="E442" t="s">
        <v>1447</v>
      </c>
      <c r="F442" t="s">
        <v>1888</v>
      </c>
      <c r="G442" t="s">
        <v>1737</v>
      </c>
      <c r="H442" t="s">
        <v>2279</v>
      </c>
      <c r="I442" t="s">
        <v>2279</v>
      </c>
      <c r="J442" t="s">
        <v>2279</v>
      </c>
      <c r="K442" t="s">
        <v>2279</v>
      </c>
      <c r="L442" t="s">
        <v>1420</v>
      </c>
      <c r="M442" t="s">
        <v>2279</v>
      </c>
      <c r="N442" t="s">
        <v>2279</v>
      </c>
      <c r="O442" s="190" t="str">
        <f>"["&amp;$C442&amp;"]["&amp;$D442&amp;"]["&amp;$F442&amp;"]"</f>
        <v>[S05_BiomassInstallations][6][Annex1Activity]</v>
      </c>
    </row>
    <row r="443" spans="1:15" x14ac:dyDescent="0.3">
      <c r="A443" t="s">
        <v>2277</v>
      </c>
      <c r="B443" t="s">
        <v>1910</v>
      </c>
      <c r="C443" t="s">
        <v>1912</v>
      </c>
      <c r="D443">
        <v>7</v>
      </c>
      <c r="E443" t="s">
        <v>1447</v>
      </c>
      <c r="F443" t="s">
        <v>1888</v>
      </c>
      <c r="G443" t="s">
        <v>1737</v>
      </c>
      <c r="H443" t="s">
        <v>2279</v>
      </c>
      <c r="I443" t="s">
        <v>2279</v>
      </c>
      <c r="J443" t="s">
        <v>2279</v>
      </c>
      <c r="K443" t="s">
        <v>2279</v>
      </c>
      <c r="L443" t="s">
        <v>1420</v>
      </c>
      <c r="M443" t="s">
        <v>2279</v>
      </c>
      <c r="N443" t="s">
        <v>2279</v>
      </c>
      <c r="O443" s="190" t="str">
        <f>"["&amp;$C443&amp;"]["&amp;$D443&amp;"]["&amp;$F443&amp;"]"</f>
        <v>[S05_BiomassInstallations][7][Annex1Activity]</v>
      </c>
    </row>
    <row r="444" spans="1:15" x14ac:dyDescent="0.3">
      <c r="A444" t="s">
        <v>2277</v>
      </c>
      <c r="B444" t="s">
        <v>1910</v>
      </c>
      <c r="C444" t="s">
        <v>1912</v>
      </c>
      <c r="D444">
        <v>8</v>
      </c>
      <c r="E444" t="s">
        <v>1447</v>
      </c>
      <c r="F444" t="s">
        <v>1888</v>
      </c>
      <c r="G444" t="s">
        <v>1737</v>
      </c>
      <c r="H444" t="s">
        <v>2279</v>
      </c>
      <c r="I444" t="s">
        <v>2279</v>
      </c>
      <c r="J444" t="s">
        <v>2279</v>
      </c>
      <c r="K444" t="s">
        <v>2279</v>
      </c>
      <c r="L444" t="s">
        <v>1597</v>
      </c>
      <c r="M444" t="s">
        <v>2279</v>
      </c>
      <c r="N444" t="s">
        <v>2279</v>
      </c>
      <c r="O444" s="190" t="str">
        <f>"["&amp;$C444&amp;"]["&amp;$D444&amp;"]["&amp;$F444&amp;"]"</f>
        <v>[S05_BiomassInstallations][8][Annex1Activity]</v>
      </c>
    </row>
    <row r="445" spans="1:15" x14ac:dyDescent="0.3">
      <c r="A445" t="s">
        <v>2277</v>
      </c>
      <c r="B445" t="s">
        <v>1910</v>
      </c>
      <c r="C445" t="s">
        <v>1912</v>
      </c>
      <c r="D445">
        <v>9</v>
      </c>
      <c r="E445" t="s">
        <v>1447</v>
      </c>
      <c r="F445" t="s">
        <v>1888</v>
      </c>
      <c r="G445" t="s">
        <v>1737</v>
      </c>
      <c r="H445" t="s">
        <v>2279</v>
      </c>
      <c r="I445" t="s">
        <v>2279</v>
      </c>
      <c r="J445" t="s">
        <v>2279</v>
      </c>
      <c r="K445" t="s">
        <v>2279</v>
      </c>
      <c r="L445" t="s">
        <v>1592</v>
      </c>
      <c r="M445" t="s">
        <v>2279</v>
      </c>
      <c r="N445" t="s">
        <v>2279</v>
      </c>
      <c r="O445" s="190" t="str">
        <f>"["&amp;$C445&amp;"]["&amp;$D445&amp;"]["&amp;$F445&amp;"]"</f>
        <v>[S05_BiomassInstallations][9][Annex1Activity]</v>
      </c>
    </row>
    <row r="446" spans="1:15" x14ac:dyDescent="0.3">
      <c r="A446" t="s">
        <v>2277</v>
      </c>
      <c r="B446" t="s">
        <v>1910</v>
      </c>
      <c r="C446" t="s">
        <v>1912</v>
      </c>
      <c r="D446">
        <v>10</v>
      </c>
      <c r="E446" t="s">
        <v>1447</v>
      </c>
      <c r="F446" t="s">
        <v>1888</v>
      </c>
      <c r="G446" t="s">
        <v>1737</v>
      </c>
      <c r="H446" t="s">
        <v>2279</v>
      </c>
      <c r="I446" t="s">
        <v>2279</v>
      </c>
      <c r="J446" t="s">
        <v>2279</v>
      </c>
      <c r="K446" t="s">
        <v>2279</v>
      </c>
      <c r="L446" t="s">
        <v>1592</v>
      </c>
      <c r="M446" t="s">
        <v>2279</v>
      </c>
      <c r="N446" t="s">
        <v>2279</v>
      </c>
      <c r="O446" s="190" t="str">
        <f>"["&amp;$C446&amp;"]["&amp;$D446&amp;"]["&amp;$F446&amp;"]"</f>
        <v>[S05_BiomassInstallations][10][Annex1Activity]</v>
      </c>
    </row>
    <row r="447" spans="1:15" x14ac:dyDescent="0.3">
      <c r="A447" t="s">
        <v>2277</v>
      </c>
      <c r="B447" t="s">
        <v>1910</v>
      </c>
      <c r="C447" t="s">
        <v>1912</v>
      </c>
      <c r="D447">
        <v>11</v>
      </c>
      <c r="E447" t="s">
        <v>1447</v>
      </c>
      <c r="F447" t="s">
        <v>1888</v>
      </c>
      <c r="G447" t="s">
        <v>1737</v>
      </c>
      <c r="H447" t="s">
        <v>2279</v>
      </c>
      <c r="I447" t="s">
        <v>2279</v>
      </c>
      <c r="J447" t="s">
        <v>2279</v>
      </c>
      <c r="K447" t="s">
        <v>2279</v>
      </c>
      <c r="L447" t="s">
        <v>1448</v>
      </c>
      <c r="M447" t="s">
        <v>2279</v>
      </c>
      <c r="N447" t="s">
        <v>2279</v>
      </c>
      <c r="O447" s="190" t="str">
        <f>"["&amp;$C447&amp;"]["&amp;$D447&amp;"]["&amp;$F447&amp;"]"</f>
        <v>[S05_BiomassInstallations][11][Annex1Activity]</v>
      </c>
    </row>
    <row r="448" spans="1:15" x14ac:dyDescent="0.3">
      <c r="A448" t="s">
        <v>2277</v>
      </c>
      <c r="B448" t="s">
        <v>1910</v>
      </c>
      <c r="C448" t="s">
        <v>1912</v>
      </c>
      <c r="D448">
        <v>1</v>
      </c>
      <c r="E448" t="s">
        <v>1447</v>
      </c>
      <c r="F448" t="s">
        <v>1913</v>
      </c>
      <c r="G448" t="s">
        <v>1737</v>
      </c>
      <c r="H448" t="s">
        <v>2279</v>
      </c>
      <c r="I448" t="s">
        <v>2279</v>
      </c>
      <c r="J448" t="s">
        <v>2279</v>
      </c>
      <c r="K448" t="s">
        <v>2279</v>
      </c>
      <c r="L448" t="s">
        <v>1432</v>
      </c>
      <c r="M448" t="s">
        <v>2279</v>
      </c>
      <c r="N448" t="s">
        <v>2279</v>
      </c>
      <c r="O448" s="190" t="str">
        <f>"["&amp;$C448&amp;"]["&amp;$D448&amp;"]["&amp;$F448&amp;"]"</f>
        <v>[S05_BiomassInstallations][1][BiomassInstallationCategory]</v>
      </c>
    </row>
    <row r="449" spans="1:15" x14ac:dyDescent="0.3">
      <c r="A449" t="s">
        <v>2277</v>
      </c>
      <c r="B449" t="s">
        <v>1910</v>
      </c>
      <c r="C449" t="s">
        <v>1912</v>
      </c>
      <c r="D449">
        <v>2</v>
      </c>
      <c r="E449" t="s">
        <v>1447</v>
      </c>
      <c r="F449" t="s">
        <v>1913</v>
      </c>
      <c r="G449" t="s">
        <v>1737</v>
      </c>
      <c r="H449" t="s">
        <v>2279</v>
      </c>
      <c r="I449" t="s">
        <v>2279</v>
      </c>
      <c r="J449" t="s">
        <v>2279</v>
      </c>
      <c r="K449" t="s">
        <v>2279</v>
      </c>
      <c r="L449" t="s">
        <v>1460</v>
      </c>
      <c r="M449" t="s">
        <v>2279</v>
      </c>
      <c r="N449" t="s">
        <v>2279</v>
      </c>
      <c r="O449" s="190" t="str">
        <f>"["&amp;$C449&amp;"]["&amp;$D449&amp;"]["&amp;$F449&amp;"]"</f>
        <v>[S05_BiomassInstallations][2][BiomassInstallationCategory]</v>
      </c>
    </row>
    <row r="450" spans="1:15" x14ac:dyDescent="0.3">
      <c r="A450" t="s">
        <v>2277</v>
      </c>
      <c r="B450" t="s">
        <v>1910</v>
      </c>
      <c r="C450" t="s">
        <v>1912</v>
      </c>
      <c r="D450">
        <v>3</v>
      </c>
      <c r="E450" t="s">
        <v>1447</v>
      </c>
      <c r="F450" t="s">
        <v>1913</v>
      </c>
      <c r="G450" t="s">
        <v>1737</v>
      </c>
      <c r="H450" t="s">
        <v>2279</v>
      </c>
      <c r="I450" t="s">
        <v>2279</v>
      </c>
      <c r="J450" t="s">
        <v>2279</v>
      </c>
      <c r="K450" t="s">
        <v>2279</v>
      </c>
      <c r="L450" t="s">
        <v>1432</v>
      </c>
      <c r="M450" t="s">
        <v>2279</v>
      </c>
      <c r="N450" t="s">
        <v>2279</v>
      </c>
      <c r="O450" s="190" t="str">
        <f>"["&amp;$C450&amp;"]["&amp;$D450&amp;"]["&amp;$F450&amp;"]"</f>
        <v>[S05_BiomassInstallations][3][BiomassInstallationCategory]</v>
      </c>
    </row>
    <row r="451" spans="1:15" x14ac:dyDescent="0.3">
      <c r="A451" t="s">
        <v>2277</v>
      </c>
      <c r="B451" t="s">
        <v>1910</v>
      </c>
      <c r="C451" t="s">
        <v>1912</v>
      </c>
      <c r="D451">
        <v>4</v>
      </c>
      <c r="E451" t="s">
        <v>1447</v>
      </c>
      <c r="F451" t="s">
        <v>1913</v>
      </c>
      <c r="G451" t="s">
        <v>1737</v>
      </c>
      <c r="H451" t="s">
        <v>2279</v>
      </c>
      <c r="I451" t="s">
        <v>2279</v>
      </c>
      <c r="J451" t="s">
        <v>2279</v>
      </c>
      <c r="K451" t="s">
        <v>2279</v>
      </c>
      <c r="L451" t="s">
        <v>1460</v>
      </c>
      <c r="M451" t="s">
        <v>2279</v>
      </c>
      <c r="N451" t="s">
        <v>2279</v>
      </c>
      <c r="O451" s="190" t="str">
        <f>"["&amp;$C451&amp;"]["&amp;$D451&amp;"]["&amp;$F451&amp;"]"</f>
        <v>[S05_BiomassInstallations][4][BiomassInstallationCategory]</v>
      </c>
    </row>
    <row r="452" spans="1:15" x14ac:dyDescent="0.3">
      <c r="A452" t="s">
        <v>2277</v>
      </c>
      <c r="B452" t="s">
        <v>1910</v>
      </c>
      <c r="C452" t="s">
        <v>1912</v>
      </c>
      <c r="D452">
        <v>5</v>
      </c>
      <c r="E452" t="s">
        <v>1447</v>
      </c>
      <c r="F452" t="s">
        <v>1913</v>
      </c>
      <c r="G452" t="s">
        <v>1737</v>
      </c>
      <c r="H452" t="s">
        <v>2279</v>
      </c>
      <c r="I452" t="s">
        <v>2279</v>
      </c>
      <c r="J452" t="s">
        <v>2279</v>
      </c>
      <c r="K452" t="s">
        <v>2279</v>
      </c>
      <c r="L452" t="s">
        <v>1487</v>
      </c>
      <c r="M452" t="s">
        <v>2279</v>
      </c>
      <c r="N452" t="s">
        <v>2279</v>
      </c>
      <c r="O452" s="190" t="str">
        <f>"["&amp;$C452&amp;"]["&amp;$D452&amp;"]["&amp;$F452&amp;"]"</f>
        <v>[S05_BiomassInstallations][5][BiomassInstallationCategory]</v>
      </c>
    </row>
    <row r="453" spans="1:15" x14ac:dyDescent="0.3">
      <c r="A453" t="s">
        <v>2277</v>
      </c>
      <c r="B453" t="s">
        <v>1910</v>
      </c>
      <c r="C453" t="s">
        <v>1912</v>
      </c>
      <c r="D453">
        <v>6</v>
      </c>
      <c r="E453" t="s">
        <v>1447</v>
      </c>
      <c r="F453" t="s">
        <v>1913</v>
      </c>
      <c r="G453" t="s">
        <v>1737</v>
      </c>
      <c r="H453" t="s">
        <v>2279</v>
      </c>
      <c r="I453" t="s">
        <v>2279</v>
      </c>
      <c r="J453" t="s">
        <v>2279</v>
      </c>
      <c r="K453" t="s">
        <v>2279</v>
      </c>
      <c r="L453" t="s">
        <v>1432</v>
      </c>
      <c r="M453" t="s">
        <v>2279</v>
      </c>
      <c r="N453" t="s">
        <v>2279</v>
      </c>
      <c r="O453" s="190" t="str">
        <f>"["&amp;$C453&amp;"]["&amp;$D453&amp;"]["&amp;$F453&amp;"]"</f>
        <v>[S05_BiomassInstallations][6][BiomassInstallationCategory]</v>
      </c>
    </row>
    <row r="454" spans="1:15" x14ac:dyDescent="0.3">
      <c r="A454" t="s">
        <v>2277</v>
      </c>
      <c r="B454" t="s">
        <v>1910</v>
      </c>
      <c r="C454" t="s">
        <v>1912</v>
      </c>
      <c r="D454">
        <v>7</v>
      </c>
      <c r="E454" t="s">
        <v>1447</v>
      </c>
      <c r="F454" t="s">
        <v>1913</v>
      </c>
      <c r="G454" t="s">
        <v>1737</v>
      </c>
      <c r="H454" t="s">
        <v>2279</v>
      </c>
      <c r="I454" t="s">
        <v>2279</v>
      </c>
      <c r="J454" t="s">
        <v>2279</v>
      </c>
      <c r="K454" t="s">
        <v>2279</v>
      </c>
      <c r="L454" t="s">
        <v>1460</v>
      </c>
      <c r="M454" t="s">
        <v>2279</v>
      </c>
      <c r="N454" t="s">
        <v>2279</v>
      </c>
      <c r="O454" s="190" t="str">
        <f>"["&amp;$C454&amp;"]["&amp;$D454&amp;"]["&amp;$F454&amp;"]"</f>
        <v>[S05_BiomassInstallations][7][BiomassInstallationCategory]</v>
      </c>
    </row>
    <row r="455" spans="1:15" x14ac:dyDescent="0.3">
      <c r="A455" t="s">
        <v>2277</v>
      </c>
      <c r="B455" t="s">
        <v>1910</v>
      </c>
      <c r="C455" t="s">
        <v>1912</v>
      </c>
      <c r="D455">
        <v>8</v>
      </c>
      <c r="E455" t="s">
        <v>1447</v>
      </c>
      <c r="F455" t="s">
        <v>1913</v>
      </c>
      <c r="G455" t="s">
        <v>1737</v>
      </c>
      <c r="H455" t="s">
        <v>2279</v>
      </c>
      <c r="I455" t="s">
        <v>2279</v>
      </c>
      <c r="J455" t="s">
        <v>2279</v>
      </c>
      <c r="K455" t="s">
        <v>2279</v>
      </c>
      <c r="L455" t="s">
        <v>1432</v>
      </c>
      <c r="M455" t="s">
        <v>2279</v>
      </c>
      <c r="N455" t="s">
        <v>2279</v>
      </c>
      <c r="O455" s="190" t="str">
        <f>"["&amp;$C455&amp;"]["&amp;$D455&amp;"]["&amp;$F455&amp;"]"</f>
        <v>[S05_BiomassInstallations][8][BiomassInstallationCategory]</v>
      </c>
    </row>
    <row r="456" spans="1:15" x14ac:dyDescent="0.3">
      <c r="A456" t="s">
        <v>2277</v>
      </c>
      <c r="B456" t="s">
        <v>1910</v>
      </c>
      <c r="C456" t="s">
        <v>1912</v>
      </c>
      <c r="D456">
        <v>9</v>
      </c>
      <c r="E456" t="s">
        <v>1447</v>
      </c>
      <c r="F456" t="s">
        <v>1913</v>
      </c>
      <c r="G456" t="s">
        <v>1737</v>
      </c>
      <c r="H456" t="s">
        <v>2279</v>
      </c>
      <c r="I456" t="s">
        <v>2279</v>
      </c>
      <c r="J456" t="s">
        <v>2279</v>
      </c>
      <c r="K456" t="s">
        <v>2279</v>
      </c>
      <c r="L456" t="s">
        <v>1432</v>
      </c>
      <c r="M456" t="s">
        <v>2279</v>
      </c>
      <c r="N456" t="s">
        <v>2279</v>
      </c>
      <c r="O456" s="190" t="str">
        <f>"["&amp;$C456&amp;"]["&amp;$D456&amp;"]["&amp;$F456&amp;"]"</f>
        <v>[S05_BiomassInstallations][9][BiomassInstallationCategory]</v>
      </c>
    </row>
    <row r="457" spans="1:15" x14ac:dyDescent="0.3">
      <c r="A457" t="s">
        <v>2277</v>
      </c>
      <c r="B457" t="s">
        <v>1910</v>
      </c>
      <c r="C457" t="s">
        <v>1912</v>
      </c>
      <c r="D457">
        <v>10</v>
      </c>
      <c r="E457" t="s">
        <v>1447</v>
      </c>
      <c r="F457" t="s">
        <v>1913</v>
      </c>
      <c r="G457" t="s">
        <v>1737</v>
      </c>
      <c r="H457" t="s">
        <v>2279</v>
      </c>
      <c r="I457" t="s">
        <v>2279</v>
      </c>
      <c r="J457" t="s">
        <v>2279</v>
      </c>
      <c r="K457" t="s">
        <v>2279</v>
      </c>
      <c r="L457" t="s">
        <v>1460</v>
      </c>
      <c r="M457" t="s">
        <v>2279</v>
      </c>
      <c r="N457" t="s">
        <v>2279</v>
      </c>
      <c r="O457" s="190" t="str">
        <f>"["&amp;$C457&amp;"]["&amp;$D457&amp;"]["&amp;$F457&amp;"]"</f>
        <v>[S05_BiomassInstallations][10][BiomassInstallationCategory]</v>
      </c>
    </row>
    <row r="458" spans="1:15" x14ac:dyDescent="0.3">
      <c r="A458" t="s">
        <v>2277</v>
      </c>
      <c r="B458" t="s">
        <v>1910</v>
      </c>
      <c r="C458" t="s">
        <v>1912</v>
      </c>
      <c r="D458">
        <v>11</v>
      </c>
      <c r="E458" t="s">
        <v>1447</v>
      </c>
      <c r="F458" t="s">
        <v>1913</v>
      </c>
      <c r="G458" t="s">
        <v>1737</v>
      </c>
      <c r="H458" t="s">
        <v>2279</v>
      </c>
      <c r="I458" t="s">
        <v>2279</v>
      </c>
      <c r="J458" t="s">
        <v>2279</v>
      </c>
      <c r="K458" t="s">
        <v>2279</v>
      </c>
      <c r="L458" t="s">
        <v>1487</v>
      </c>
      <c r="M458" t="s">
        <v>2279</v>
      </c>
      <c r="N458" t="s">
        <v>2279</v>
      </c>
      <c r="O458" s="190" t="str">
        <f>"["&amp;$C458&amp;"]["&amp;$D458&amp;"]["&amp;$F458&amp;"]"</f>
        <v>[S05_BiomassInstallations][11][BiomassInstallationCategory]</v>
      </c>
    </row>
    <row r="459" spans="1:15" x14ac:dyDescent="0.3">
      <c r="A459" t="s">
        <v>2277</v>
      </c>
      <c r="B459" t="s">
        <v>1910</v>
      </c>
      <c r="C459" t="s">
        <v>1912</v>
      </c>
      <c r="D459">
        <v>1</v>
      </c>
      <c r="E459" t="s">
        <v>1447</v>
      </c>
      <c r="F459" t="s">
        <v>1914</v>
      </c>
      <c r="G459" t="s">
        <v>1748</v>
      </c>
      <c r="H459" t="s">
        <v>2279</v>
      </c>
      <c r="I459">
        <v>2</v>
      </c>
      <c r="J459" t="s">
        <v>2279</v>
      </c>
      <c r="K459" t="s">
        <v>2279</v>
      </c>
      <c r="L459" t="s">
        <v>2279</v>
      </c>
      <c r="M459" t="s">
        <v>2279</v>
      </c>
      <c r="N459" t="s">
        <v>2279</v>
      </c>
      <c r="O459" s="190" t="str">
        <f>"["&amp;$C459&amp;"]["&amp;$D459&amp;"]["&amp;$F459&amp;"]"</f>
        <v>[S05_BiomassInstallations][1][NumberUsingBiomass]</v>
      </c>
    </row>
    <row r="460" spans="1:15" x14ac:dyDescent="0.3">
      <c r="A460" t="s">
        <v>2277</v>
      </c>
      <c r="B460" t="s">
        <v>1910</v>
      </c>
      <c r="C460" t="s">
        <v>1912</v>
      </c>
      <c r="D460">
        <v>2</v>
      </c>
      <c r="E460" t="s">
        <v>1447</v>
      </c>
      <c r="F460" t="s">
        <v>1914</v>
      </c>
      <c r="G460" t="s">
        <v>1748</v>
      </c>
      <c r="H460" t="s">
        <v>2279</v>
      </c>
      <c r="I460">
        <v>2</v>
      </c>
      <c r="J460" t="s">
        <v>2279</v>
      </c>
      <c r="K460" t="s">
        <v>2279</v>
      </c>
      <c r="L460" t="s">
        <v>2279</v>
      </c>
      <c r="M460" t="s">
        <v>2279</v>
      </c>
      <c r="N460" t="s">
        <v>2279</v>
      </c>
      <c r="O460" s="190" t="str">
        <f>"["&amp;$C460&amp;"]["&amp;$D460&amp;"]["&amp;$F460&amp;"]"</f>
        <v>[S05_BiomassInstallations][2][NumberUsingBiomass]</v>
      </c>
    </row>
    <row r="461" spans="1:15" x14ac:dyDescent="0.3">
      <c r="A461" t="s">
        <v>2277</v>
      </c>
      <c r="B461" t="s">
        <v>1910</v>
      </c>
      <c r="C461" t="s">
        <v>1912</v>
      </c>
      <c r="D461">
        <v>3</v>
      </c>
      <c r="E461" t="s">
        <v>1447</v>
      </c>
      <c r="F461" t="s">
        <v>1914</v>
      </c>
      <c r="G461" t="s">
        <v>1748</v>
      </c>
      <c r="H461" t="s">
        <v>2279</v>
      </c>
      <c r="I461">
        <v>14</v>
      </c>
      <c r="J461" t="s">
        <v>2279</v>
      </c>
      <c r="K461" t="s">
        <v>2279</v>
      </c>
      <c r="L461" t="s">
        <v>2279</v>
      </c>
      <c r="M461" t="s">
        <v>2279</v>
      </c>
      <c r="N461" t="s">
        <v>2279</v>
      </c>
      <c r="O461" s="190" t="str">
        <f>"["&amp;$C461&amp;"]["&amp;$D461&amp;"]["&amp;$F461&amp;"]"</f>
        <v>[S05_BiomassInstallations][3][NumberUsingBiomass]</v>
      </c>
    </row>
    <row r="462" spans="1:15" x14ac:dyDescent="0.3">
      <c r="A462" t="s">
        <v>2277</v>
      </c>
      <c r="B462" t="s">
        <v>1910</v>
      </c>
      <c r="C462" t="s">
        <v>1912</v>
      </c>
      <c r="D462">
        <v>4</v>
      </c>
      <c r="E462" t="s">
        <v>1447</v>
      </c>
      <c r="F462" t="s">
        <v>1914</v>
      </c>
      <c r="G462" t="s">
        <v>1748</v>
      </c>
      <c r="H462" t="s">
        <v>2279</v>
      </c>
      <c r="I462">
        <v>1</v>
      </c>
      <c r="J462" t="s">
        <v>2279</v>
      </c>
      <c r="K462" t="s">
        <v>2279</v>
      </c>
      <c r="L462" t="s">
        <v>2279</v>
      </c>
      <c r="M462" t="s">
        <v>2279</v>
      </c>
      <c r="N462" t="s">
        <v>2279</v>
      </c>
      <c r="O462" s="190" t="str">
        <f>"["&amp;$C462&amp;"]["&amp;$D462&amp;"]["&amp;$F462&amp;"]"</f>
        <v>[S05_BiomassInstallations][4][NumberUsingBiomass]</v>
      </c>
    </row>
    <row r="463" spans="1:15" x14ac:dyDescent="0.3">
      <c r="A463" t="s">
        <v>2277</v>
      </c>
      <c r="B463" t="s">
        <v>1910</v>
      </c>
      <c r="C463" t="s">
        <v>1912</v>
      </c>
      <c r="D463">
        <v>5</v>
      </c>
      <c r="E463" t="s">
        <v>1447</v>
      </c>
      <c r="F463" t="s">
        <v>1914</v>
      </c>
      <c r="G463" t="s">
        <v>1748</v>
      </c>
      <c r="H463" t="s">
        <v>2279</v>
      </c>
      <c r="I463">
        <v>2</v>
      </c>
      <c r="J463" t="s">
        <v>2279</v>
      </c>
      <c r="K463" t="s">
        <v>2279</v>
      </c>
      <c r="L463" t="s">
        <v>2279</v>
      </c>
      <c r="M463" t="s">
        <v>2279</v>
      </c>
      <c r="N463" t="s">
        <v>2279</v>
      </c>
      <c r="O463" s="190" t="str">
        <f>"["&amp;$C463&amp;"]["&amp;$D463&amp;"]["&amp;$F463&amp;"]"</f>
        <v>[S05_BiomassInstallations][5][NumberUsingBiomass]</v>
      </c>
    </row>
    <row r="464" spans="1:15" x14ac:dyDescent="0.3">
      <c r="A464" t="s">
        <v>2277</v>
      </c>
      <c r="B464" t="s">
        <v>1910</v>
      </c>
      <c r="C464" t="s">
        <v>1912</v>
      </c>
      <c r="D464">
        <v>6</v>
      </c>
      <c r="E464" t="s">
        <v>1447</v>
      </c>
      <c r="F464" t="s">
        <v>1914</v>
      </c>
      <c r="G464" t="s">
        <v>1748</v>
      </c>
      <c r="H464" t="s">
        <v>2279</v>
      </c>
      <c r="I464">
        <v>3</v>
      </c>
      <c r="J464" t="s">
        <v>2279</v>
      </c>
      <c r="K464" t="s">
        <v>2279</v>
      </c>
      <c r="L464" t="s">
        <v>2279</v>
      </c>
      <c r="M464" t="s">
        <v>2279</v>
      </c>
      <c r="N464" t="s">
        <v>2279</v>
      </c>
      <c r="O464" s="190" t="str">
        <f>"["&amp;$C464&amp;"]["&amp;$D464&amp;"]["&amp;$F464&amp;"]"</f>
        <v>[S05_BiomassInstallations][6][NumberUsingBiomass]</v>
      </c>
    </row>
    <row r="465" spans="1:15" x14ac:dyDescent="0.3">
      <c r="A465" t="s">
        <v>2277</v>
      </c>
      <c r="B465" t="s">
        <v>1910</v>
      </c>
      <c r="C465" t="s">
        <v>1912</v>
      </c>
      <c r="D465">
        <v>7</v>
      </c>
      <c r="E465" t="s">
        <v>1447</v>
      </c>
      <c r="F465" t="s">
        <v>1914</v>
      </c>
      <c r="G465" t="s">
        <v>1748</v>
      </c>
      <c r="H465" t="s">
        <v>2279</v>
      </c>
      <c r="I465">
        <v>1</v>
      </c>
      <c r="J465" t="s">
        <v>2279</v>
      </c>
      <c r="K465" t="s">
        <v>2279</v>
      </c>
      <c r="L465" t="s">
        <v>2279</v>
      </c>
      <c r="M465" t="s">
        <v>2279</v>
      </c>
      <c r="N465" t="s">
        <v>2279</v>
      </c>
      <c r="O465" s="190" t="str">
        <f>"["&amp;$C465&amp;"]["&amp;$D465&amp;"]["&amp;$F465&amp;"]"</f>
        <v>[S05_BiomassInstallations][7][NumberUsingBiomass]</v>
      </c>
    </row>
    <row r="466" spans="1:15" x14ac:dyDescent="0.3">
      <c r="A466" t="s">
        <v>2277</v>
      </c>
      <c r="B466" t="s">
        <v>1910</v>
      </c>
      <c r="C466" t="s">
        <v>1912</v>
      </c>
      <c r="D466">
        <v>8</v>
      </c>
      <c r="E466" t="s">
        <v>1447</v>
      </c>
      <c r="F466" t="s">
        <v>1914</v>
      </c>
      <c r="G466" t="s">
        <v>1748</v>
      </c>
      <c r="H466" t="s">
        <v>2279</v>
      </c>
      <c r="I466">
        <v>1</v>
      </c>
      <c r="J466" t="s">
        <v>2279</v>
      </c>
      <c r="K466" t="s">
        <v>2279</v>
      </c>
      <c r="L466" t="s">
        <v>2279</v>
      </c>
      <c r="M466" t="s">
        <v>2279</v>
      </c>
      <c r="N466" t="s">
        <v>2279</v>
      </c>
      <c r="O466" s="190" t="str">
        <f>"["&amp;$C466&amp;"]["&amp;$D466&amp;"]["&amp;$F466&amp;"]"</f>
        <v>[S05_BiomassInstallations][8][NumberUsingBiomass]</v>
      </c>
    </row>
    <row r="467" spans="1:15" x14ac:dyDescent="0.3">
      <c r="A467" t="s">
        <v>2277</v>
      </c>
      <c r="B467" t="s">
        <v>1910</v>
      </c>
      <c r="C467" t="s">
        <v>1912</v>
      </c>
      <c r="D467">
        <v>9</v>
      </c>
      <c r="E467" t="s">
        <v>1447</v>
      </c>
      <c r="F467" t="s">
        <v>1914</v>
      </c>
      <c r="G467" t="s">
        <v>1748</v>
      </c>
      <c r="H467" t="s">
        <v>2279</v>
      </c>
      <c r="I467">
        <v>1</v>
      </c>
      <c r="J467" t="s">
        <v>2279</v>
      </c>
      <c r="K467" t="s">
        <v>2279</v>
      </c>
      <c r="L467" t="s">
        <v>2279</v>
      </c>
      <c r="M467" t="s">
        <v>2279</v>
      </c>
      <c r="N467" t="s">
        <v>2279</v>
      </c>
      <c r="O467" s="190" t="str">
        <f>"["&amp;$C467&amp;"]["&amp;$D467&amp;"]["&amp;$F467&amp;"]"</f>
        <v>[S05_BiomassInstallations][9][NumberUsingBiomass]</v>
      </c>
    </row>
    <row r="468" spans="1:15" x14ac:dyDescent="0.3">
      <c r="A468" t="s">
        <v>2277</v>
      </c>
      <c r="B468" t="s">
        <v>1910</v>
      </c>
      <c r="C468" t="s">
        <v>1912</v>
      </c>
      <c r="D468">
        <v>10</v>
      </c>
      <c r="E468" t="s">
        <v>1447</v>
      </c>
      <c r="F468" t="s">
        <v>1914</v>
      </c>
      <c r="G468" t="s">
        <v>1748</v>
      </c>
      <c r="H468" t="s">
        <v>2279</v>
      </c>
      <c r="I468">
        <v>4</v>
      </c>
      <c r="J468" t="s">
        <v>2279</v>
      </c>
      <c r="K468" t="s">
        <v>2279</v>
      </c>
      <c r="L468" t="s">
        <v>2279</v>
      </c>
      <c r="M468" t="s">
        <v>2279</v>
      </c>
      <c r="N468" t="s">
        <v>2279</v>
      </c>
      <c r="O468" s="190" t="str">
        <f>"["&amp;$C468&amp;"]["&amp;$D468&amp;"]["&amp;$F468&amp;"]"</f>
        <v>[S05_BiomassInstallations][10][NumberUsingBiomass]</v>
      </c>
    </row>
    <row r="469" spans="1:15" x14ac:dyDescent="0.3">
      <c r="A469" t="s">
        <v>2277</v>
      </c>
      <c r="B469" t="s">
        <v>1910</v>
      </c>
      <c r="C469" t="s">
        <v>1912</v>
      </c>
      <c r="D469">
        <v>11</v>
      </c>
      <c r="E469" t="s">
        <v>1447</v>
      </c>
      <c r="F469" t="s">
        <v>1914</v>
      </c>
      <c r="G469" t="s">
        <v>1748</v>
      </c>
      <c r="H469" t="s">
        <v>2279</v>
      </c>
      <c r="I469">
        <v>1</v>
      </c>
      <c r="J469" t="s">
        <v>2279</v>
      </c>
      <c r="K469" t="s">
        <v>2279</v>
      </c>
      <c r="L469" t="s">
        <v>2279</v>
      </c>
      <c r="M469" t="s">
        <v>2279</v>
      </c>
      <c r="N469" t="s">
        <v>2279</v>
      </c>
      <c r="O469" s="190" t="str">
        <f>"["&amp;$C469&amp;"]["&amp;$D469&amp;"]["&amp;$F469&amp;"]"</f>
        <v>[S05_BiomassInstallations][11][NumberUsingBiomass]</v>
      </c>
    </row>
    <row r="470" spans="1:15" x14ac:dyDescent="0.3">
      <c r="A470" t="s">
        <v>2277</v>
      </c>
      <c r="B470" t="s">
        <v>1910</v>
      </c>
      <c r="C470" t="s">
        <v>1912</v>
      </c>
      <c r="D470">
        <v>1</v>
      </c>
      <c r="E470" t="s">
        <v>1447</v>
      </c>
      <c r="F470" t="s">
        <v>1915</v>
      </c>
      <c r="G470" t="s">
        <v>1806</v>
      </c>
      <c r="H470" t="s">
        <v>2279</v>
      </c>
      <c r="I470" t="s">
        <v>2279</v>
      </c>
      <c r="J470">
        <v>0</v>
      </c>
      <c r="K470" t="s">
        <v>2279</v>
      </c>
      <c r="L470" t="s">
        <v>2279</v>
      </c>
      <c r="M470" t="s">
        <v>2279</v>
      </c>
      <c r="N470" t="s">
        <v>2279</v>
      </c>
      <c r="O470" s="190" t="str">
        <f>"["&amp;$C470&amp;"]["&amp;$D470&amp;"]["&amp;$F470&amp;"]"</f>
        <v>[S05_BiomassInstallations][1][EmissionsBiomassSustainabilitySatisfied]</v>
      </c>
    </row>
    <row r="471" spans="1:15" x14ac:dyDescent="0.3">
      <c r="A471" t="s">
        <v>2277</v>
      </c>
      <c r="B471" t="s">
        <v>1910</v>
      </c>
      <c r="C471" t="s">
        <v>1912</v>
      </c>
      <c r="D471">
        <v>2</v>
      </c>
      <c r="E471" t="s">
        <v>1447</v>
      </c>
      <c r="F471" t="s">
        <v>1915</v>
      </c>
      <c r="G471" t="s">
        <v>1806</v>
      </c>
      <c r="H471" t="s">
        <v>2279</v>
      </c>
      <c r="I471" t="s">
        <v>2279</v>
      </c>
      <c r="J471">
        <v>0</v>
      </c>
      <c r="K471" t="s">
        <v>2279</v>
      </c>
      <c r="L471" t="s">
        <v>2279</v>
      </c>
      <c r="M471" t="s">
        <v>2279</v>
      </c>
      <c r="N471" t="s">
        <v>2279</v>
      </c>
      <c r="O471" s="190" t="str">
        <f>"["&amp;$C471&amp;"]["&amp;$D471&amp;"]["&amp;$F471&amp;"]"</f>
        <v>[S05_BiomassInstallations][2][EmissionsBiomassSustainabilitySatisfied]</v>
      </c>
    </row>
    <row r="472" spans="1:15" x14ac:dyDescent="0.3">
      <c r="A472" t="s">
        <v>2277</v>
      </c>
      <c r="B472" t="s">
        <v>1910</v>
      </c>
      <c r="C472" t="s">
        <v>1912</v>
      </c>
      <c r="D472">
        <v>3</v>
      </c>
      <c r="E472" t="s">
        <v>1447</v>
      </c>
      <c r="F472" t="s">
        <v>1915</v>
      </c>
      <c r="G472" t="s">
        <v>1806</v>
      </c>
      <c r="H472" t="s">
        <v>2279</v>
      </c>
      <c r="I472" t="s">
        <v>2279</v>
      </c>
      <c r="J472">
        <v>0</v>
      </c>
      <c r="K472" t="s">
        <v>2279</v>
      </c>
      <c r="L472" t="s">
        <v>2279</v>
      </c>
      <c r="M472" t="s">
        <v>2279</v>
      </c>
      <c r="N472" t="s">
        <v>2279</v>
      </c>
      <c r="O472" s="190" t="str">
        <f>"["&amp;$C472&amp;"]["&amp;$D472&amp;"]["&amp;$F472&amp;"]"</f>
        <v>[S05_BiomassInstallations][3][EmissionsBiomassSustainabilitySatisfied]</v>
      </c>
    </row>
    <row r="473" spans="1:15" x14ac:dyDescent="0.3">
      <c r="A473" t="s">
        <v>2277</v>
      </c>
      <c r="B473" t="s">
        <v>1910</v>
      </c>
      <c r="C473" t="s">
        <v>1912</v>
      </c>
      <c r="D473">
        <v>4</v>
      </c>
      <c r="E473" t="s">
        <v>1447</v>
      </c>
      <c r="F473" t="s">
        <v>1915</v>
      </c>
      <c r="G473" t="s">
        <v>1806</v>
      </c>
      <c r="H473" t="s">
        <v>2279</v>
      </c>
      <c r="I473" t="s">
        <v>2279</v>
      </c>
      <c r="J473">
        <v>7922.6</v>
      </c>
      <c r="K473" t="s">
        <v>2279</v>
      </c>
      <c r="L473" t="s">
        <v>2279</v>
      </c>
      <c r="M473" t="s">
        <v>2279</v>
      </c>
      <c r="N473" t="s">
        <v>2279</v>
      </c>
      <c r="O473" s="190" t="str">
        <f>"["&amp;$C473&amp;"]["&amp;$D473&amp;"]["&amp;$F473&amp;"]"</f>
        <v>[S05_BiomassInstallations][4][EmissionsBiomassSustainabilitySatisfied]</v>
      </c>
    </row>
    <row r="474" spans="1:15" x14ac:dyDescent="0.3">
      <c r="A474" t="s">
        <v>2277</v>
      </c>
      <c r="B474" t="s">
        <v>1910</v>
      </c>
      <c r="C474" t="s">
        <v>1912</v>
      </c>
      <c r="D474">
        <v>5</v>
      </c>
      <c r="E474" t="s">
        <v>1447</v>
      </c>
      <c r="F474" t="s">
        <v>1915</v>
      </c>
      <c r="G474" t="s">
        <v>1806</v>
      </c>
      <c r="H474" t="s">
        <v>2279</v>
      </c>
      <c r="I474" t="s">
        <v>2279</v>
      </c>
      <c r="J474">
        <v>13510.2</v>
      </c>
      <c r="K474" t="s">
        <v>2279</v>
      </c>
      <c r="L474" t="s">
        <v>2279</v>
      </c>
      <c r="M474" t="s">
        <v>2279</v>
      </c>
      <c r="N474" t="s">
        <v>2279</v>
      </c>
      <c r="O474" s="190" t="str">
        <f>"["&amp;$C474&amp;"]["&amp;$D474&amp;"]["&amp;$F474&amp;"]"</f>
        <v>[S05_BiomassInstallations][5][EmissionsBiomassSustainabilitySatisfied]</v>
      </c>
    </row>
    <row r="475" spans="1:15" x14ac:dyDescent="0.3">
      <c r="A475" t="s">
        <v>2277</v>
      </c>
      <c r="B475" t="s">
        <v>1910</v>
      </c>
      <c r="C475" t="s">
        <v>1912</v>
      </c>
      <c r="D475">
        <v>6</v>
      </c>
      <c r="E475" t="s">
        <v>1447</v>
      </c>
      <c r="F475" t="s">
        <v>1915</v>
      </c>
      <c r="G475" t="s">
        <v>1806</v>
      </c>
      <c r="H475" t="s">
        <v>2279</v>
      </c>
      <c r="I475" t="s">
        <v>2279</v>
      </c>
      <c r="J475">
        <v>0</v>
      </c>
      <c r="K475" t="s">
        <v>2279</v>
      </c>
      <c r="L475" t="s">
        <v>2279</v>
      </c>
      <c r="M475" t="s">
        <v>2279</v>
      </c>
      <c r="N475" t="s">
        <v>2279</v>
      </c>
      <c r="O475" s="190" t="str">
        <f>"["&amp;$C475&amp;"]["&amp;$D475&amp;"]["&amp;$F475&amp;"]"</f>
        <v>[S05_BiomassInstallations][6][EmissionsBiomassSustainabilitySatisfied]</v>
      </c>
    </row>
    <row r="476" spans="1:15" x14ac:dyDescent="0.3">
      <c r="A476" t="s">
        <v>2277</v>
      </c>
      <c r="B476" t="s">
        <v>1910</v>
      </c>
      <c r="C476" t="s">
        <v>1912</v>
      </c>
      <c r="D476">
        <v>7</v>
      </c>
      <c r="E476" t="s">
        <v>1447</v>
      </c>
      <c r="F476" t="s">
        <v>1915</v>
      </c>
      <c r="G476" t="s">
        <v>1806</v>
      </c>
      <c r="H476" t="s">
        <v>2279</v>
      </c>
      <c r="I476" t="s">
        <v>2279</v>
      </c>
      <c r="J476">
        <v>0</v>
      </c>
      <c r="K476" t="s">
        <v>2279</v>
      </c>
      <c r="L476" t="s">
        <v>2279</v>
      </c>
      <c r="M476" t="s">
        <v>2279</v>
      </c>
      <c r="N476" t="s">
        <v>2279</v>
      </c>
      <c r="O476" s="190" t="str">
        <f>"["&amp;$C476&amp;"]["&amp;$D476&amp;"]["&amp;$F476&amp;"]"</f>
        <v>[S05_BiomassInstallations][7][EmissionsBiomassSustainabilitySatisfied]</v>
      </c>
    </row>
    <row r="477" spans="1:15" x14ac:dyDescent="0.3">
      <c r="A477" t="s">
        <v>2277</v>
      </c>
      <c r="B477" t="s">
        <v>1910</v>
      </c>
      <c r="C477" t="s">
        <v>1912</v>
      </c>
      <c r="D477">
        <v>8</v>
      </c>
      <c r="E477" t="s">
        <v>1447</v>
      </c>
      <c r="F477" t="s">
        <v>1915</v>
      </c>
      <c r="G477" t="s">
        <v>1806</v>
      </c>
      <c r="H477" t="s">
        <v>2279</v>
      </c>
      <c r="I477" t="s">
        <v>2279</v>
      </c>
      <c r="J477">
        <v>0</v>
      </c>
      <c r="K477" t="s">
        <v>2279</v>
      </c>
      <c r="L477" t="s">
        <v>2279</v>
      </c>
      <c r="M477" t="s">
        <v>2279</v>
      </c>
      <c r="N477" t="s">
        <v>2279</v>
      </c>
      <c r="O477" s="190" t="str">
        <f>"["&amp;$C477&amp;"]["&amp;$D477&amp;"]["&amp;$F477&amp;"]"</f>
        <v>[S05_BiomassInstallations][8][EmissionsBiomassSustainabilitySatisfied]</v>
      </c>
    </row>
    <row r="478" spans="1:15" x14ac:dyDescent="0.3">
      <c r="A478" t="s">
        <v>2277</v>
      </c>
      <c r="B478" t="s">
        <v>1910</v>
      </c>
      <c r="C478" t="s">
        <v>1912</v>
      </c>
      <c r="D478">
        <v>9</v>
      </c>
      <c r="E478" t="s">
        <v>1447</v>
      </c>
      <c r="F478" t="s">
        <v>1915</v>
      </c>
      <c r="G478" t="s">
        <v>1806</v>
      </c>
      <c r="H478" t="s">
        <v>2279</v>
      </c>
      <c r="I478" t="s">
        <v>2279</v>
      </c>
      <c r="J478">
        <v>0</v>
      </c>
      <c r="K478" t="s">
        <v>2279</v>
      </c>
      <c r="L478" t="s">
        <v>2279</v>
      </c>
      <c r="M478" t="s">
        <v>2279</v>
      </c>
      <c r="N478" t="s">
        <v>2279</v>
      </c>
      <c r="O478" s="190" t="str">
        <f>"["&amp;$C478&amp;"]["&amp;$D478&amp;"]["&amp;$F478&amp;"]"</f>
        <v>[S05_BiomassInstallations][9][EmissionsBiomassSustainabilitySatisfied]</v>
      </c>
    </row>
    <row r="479" spans="1:15" x14ac:dyDescent="0.3">
      <c r="A479" t="s">
        <v>2277</v>
      </c>
      <c r="B479" t="s">
        <v>1910</v>
      </c>
      <c r="C479" t="s">
        <v>1912</v>
      </c>
      <c r="D479">
        <v>10</v>
      </c>
      <c r="E479" t="s">
        <v>1447</v>
      </c>
      <c r="F479" t="s">
        <v>1915</v>
      </c>
      <c r="G479" t="s">
        <v>1806</v>
      </c>
      <c r="H479" t="s">
        <v>2279</v>
      </c>
      <c r="I479" t="s">
        <v>2279</v>
      </c>
      <c r="J479">
        <v>0</v>
      </c>
      <c r="K479" t="s">
        <v>2279</v>
      </c>
      <c r="L479" t="s">
        <v>2279</v>
      </c>
      <c r="M479" t="s">
        <v>2279</v>
      </c>
      <c r="N479" t="s">
        <v>2279</v>
      </c>
      <c r="O479" s="190" t="str">
        <f>"["&amp;$C479&amp;"]["&amp;$D479&amp;"]["&amp;$F479&amp;"]"</f>
        <v>[S05_BiomassInstallations][10][EmissionsBiomassSustainabilitySatisfied]</v>
      </c>
    </row>
    <row r="480" spans="1:15" x14ac:dyDescent="0.3">
      <c r="A480" t="s">
        <v>2277</v>
      </c>
      <c r="B480" t="s">
        <v>1910</v>
      </c>
      <c r="C480" t="s">
        <v>1912</v>
      </c>
      <c r="D480">
        <v>11</v>
      </c>
      <c r="E480" t="s">
        <v>1447</v>
      </c>
      <c r="F480" t="s">
        <v>1915</v>
      </c>
      <c r="G480" t="s">
        <v>1806</v>
      </c>
      <c r="H480" t="s">
        <v>2279</v>
      </c>
      <c r="I480" t="s">
        <v>2279</v>
      </c>
      <c r="J480">
        <v>0</v>
      </c>
      <c r="K480" t="s">
        <v>2279</v>
      </c>
      <c r="L480" t="s">
        <v>2279</v>
      </c>
      <c r="M480" t="s">
        <v>2279</v>
      </c>
      <c r="N480" t="s">
        <v>2279</v>
      </c>
      <c r="O480" s="190" t="str">
        <f>"["&amp;$C480&amp;"]["&amp;$D480&amp;"]["&amp;$F480&amp;"]"</f>
        <v>[S05_BiomassInstallations][11][EmissionsBiomassSustainabilitySatisfied]</v>
      </c>
    </row>
    <row r="481" spans="1:15" x14ac:dyDescent="0.3">
      <c r="A481" t="s">
        <v>2277</v>
      </c>
      <c r="B481" t="s">
        <v>1910</v>
      </c>
      <c r="C481" t="s">
        <v>1912</v>
      </c>
      <c r="D481">
        <v>1</v>
      </c>
      <c r="E481" t="s">
        <v>1447</v>
      </c>
      <c r="F481" t="s">
        <v>1916</v>
      </c>
      <c r="G481" t="s">
        <v>1806</v>
      </c>
      <c r="H481" t="s">
        <v>2279</v>
      </c>
      <c r="I481" t="s">
        <v>2279</v>
      </c>
      <c r="J481">
        <v>0</v>
      </c>
      <c r="K481" t="s">
        <v>2279</v>
      </c>
      <c r="L481" t="s">
        <v>2279</v>
      </c>
      <c r="M481" t="s">
        <v>2279</v>
      </c>
      <c r="N481" t="s">
        <v>2279</v>
      </c>
      <c r="O481" s="190" t="str">
        <f>"["&amp;$C481&amp;"]["&amp;$D481&amp;"]["&amp;$F481&amp;"]"</f>
        <v>[S05_BiomassInstallations][1][EmissionsBiomassSustainabilityNotSatisfied]</v>
      </c>
    </row>
    <row r="482" spans="1:15" x14ac:dyDescent="0.3">
      <c r="A482" t="s">
        <v>2277</v>
      </c>
      <c r="B482" t="s">
        <v>1910</v>
      </c>
      <c r="C482" t="s">
        <v>1912</v>
      </c>
      <c r="D482">
        <v>2</v>
      </c>
      <c r="E482" t="s">
        <v>1447</v>
      </c>
      <c r="F482" t="s">
        <v>1916</v>
      </c>
      <c r="G482" t="s">
        <v>1806</v>
      </c>
      <c r="H482" t="s">
        <v>2279</v>
      </c>
      <c r="I482" t="s">
        <v>2279</v>
      </c>
      <c r="J482">
        <v>0</v>
      </c>
      <c r="K482" t="s">
        <v>2279</v>
      </c>
      <c r="L482" t="s">
        <v>2279</v>
      </c>
      <c r="M482" t="s">
        <v>2279</v>
      </c>
      <c r="N482" t="s">
        <v>2279</v>
      </c>
      <c r="O482" s="190" t="str">
        <f>"["&amp;$C482&amp;"]["&amp;$D482&amp;"]["&amp;$F482&amp;"]"</f>
        <v>[S05_BiomassInstallations][2][EmissionsBiomassSustainabilityNotSatisfied]</v>
      </c>
    </row>
    <row r="483" spans="1:15" x14ac:dyDescent="0.3">
      <c r="A483" t="s">
        <v>2277</v>
      </c>
      <c r="B483" t="s">
        <v>1910</v>
      </c>
      <c r="C483" t="s">
        <v>1912</v>
      </c>
      <c r="D483">
        <v>3</v>
      </c>
      <c r="E483" t="s">
        <v>1447</v>
      </c>
      <c r="F483" t="s">
        <v>1916</v>
      </c>
      <c r="G483" t="s">
        <v>1806</v>
      </c>
      <c r="H483" t="s">
        <v>2279</v>
      </c>
      <c r="I483" t="s">
        <v>2279</v>
      </c>
      <c r="J483">
        <v>0</v>
      </c>
      <c r="K483" t="s">
        <v>2279</v>
      </c>
      <c r="L483" t="s">
        <v>2279</v>
      </c>
      <c r="M483" t="s">
        <v>2279</v>
      </c>
      <c r="N483" t="s">
        <v>2279</v>
      </c>
      <c r="O483" s="190" t="str">
        <f>"["&amp;$C483&amp;"]["&amp;$D483&amp;"]["&amp;$F483&amp;"]"</f>
        <v>[S05_BiomassInstallations][3][EmissionsBiomassSustainabilityNotSatisfied]</v>
      </c>
    </row>
    <row r="484" spans="1:15" x14ac:dyDescent="0.3">
      <c r="A484" t="s">
        <v>2277</v>
      </c>
      <c r="B484" t="s">
        <v>1910</v>
      </c>
      <c r="C484" t="s">
        <v>1912</v>
      </c>
      <c r="D484">
        <v>4</v>
      </c>
      <c r="E484" t="s">
        <v>1447</v>
      </c>
      <c r="F484" t="s">
        <v>1916</v>
      </c>
      <c r="G484" t="s">
        <v>1806</v>
      </c>
      <c r="H484" t="s">
        <v>2279</v>
      </c>
      <c r="I484" t="s">
        <v>2279</v>
      </c>
      <c r="J484">
        <v>0</v>
      </c>
      <c r="K484" t="s">
        <v>2279</v>
      </c>
      <c r="L484" t="s">
        <v>2279</v>
      </c>
      <c r="M484" t="s">
        <v>2279</v>
      </c>
      <c r="N484" t="s">
        <v>2279</v>
      </c>
      <c r="O484" s="190" t="str">
        <f>"["&amp;$C484&amp;"]["&amp;$D484&amp;"]["&amp;$F484&amp;"]"</f>
        <v>[S05_BiomassInstallations][4][EmissionsBiomassSustainabilityNotSatisfied]</v>
      </c>
    </row>
    <row r="485" spans="1:15" x14ac:dyDescent="0.3">
      <c r="A485" t="s">
        <v>2277</v>
      </c>
      <c r="B485" t="s">
        <v>1910</v>
      </c>
      <c r="C485" t="s">
        <v>1912</v>
      </c>
      <c r="D485">
        <v>5</v>
      </c>
      <c r="E485" t="s">
        <v>1447</v>
      </c>
      <c r="F485" t="s">
        <v>1916</v>
      </c>
      <c r="G485" t="s">
        <v>1806</v>
      </c>
      <c r="H485" t="s">
        <v>2279</v>
      </c>
      <c r="I485" t="s">
        <v>2279</v>
      </c>
      <c r="J485">
        <v>0</v>
      </c>
      <c r="K485" t="s">
        <v>2279</v>
      </c>
      <c r="L485" t="s">
        <v>2279</v>
      </c>
      <c r="M485" t="s">
        <v>2279</v>
      </c>
      <c r="N485" t="s">
        <v>2279</v>
      </c>
      <c r="O485" s="190" t="str">
        <f>"["&amp;$C485&amp;"]["&amp;$D485&amp;"]["&amp;$F485&amp;"]"</f>
        <v>[S05_BiomassInstallations][5][EmissionsBiomassSustainabilityNotSatisfied]</v>
      </c>
    </row>
    <row r="486" spans="1:15" x14ac:dyDescent="0.3">
      <c r="A486" t="s">
        <v>2277</v>
      </c>
      <c r="B486" t="s">
        <v>1910</v>
      </c>
      <c r="C486" t="s">
        <v>1912</v>
      </c>
      <c r="D486">
        <v>6</v>
      </c>
      <c r="E486" t="s">
        <v>1447</v>
      </c>
      <c r="F486" t="s">
        <v>1916</v>
      </c>
      <c r="G486" t="s">
        <v>1806</v>
      </c>
      <c r="H486" t="s">
        <v>2279</v>
      </c>
      <c r="I486" t="s">
        <v>2279</v>
      </c>
      <c r="J486">
        <v>0</v>
      </c>
      <c r="K486" t="s">
        <v>2279</v>
      </c>
      <c r="L486" t="s">
        <v>2279</v>
      </c>
      <c r="M486" t="s">
        <v>2279</v>
      </c>
      <c r="N486" t="s">
        <v>2279</v>
      </c>
      <c r="O486" s="190" t="str">
        <f>"["&amp;$C486&amp;"]["&amp;$D486&amp;"]["&amp;$F486&amp;"]"</f>
        <v>[S05_BiomassInstallations][6][EmissionsBiomassSustainabilityNotSatisfied]</v>
      </c>
    </row>
    <row r="487" spans="1:15" x14ac:dyDescent="0.3">
      <c r="A487" t="s">
        <v>2277</v>
      </c>
      <c r="B487" t="s">
        <v>1910</v>
      </c>
      <c r="C487" t="s">
        <v>1912</v>
      </c>
      <c r="D487">
        <v>7</v>
      </c>
      <c r="E487" t="s">
        <v>1447</v>
      </c>
      <c r="F487" t="s">
        <v>1916</v>
      </c>
      <c r="G487" t="s">
        <v>1806</v>
      </c>
      <c r="H487" t="s">
        <v>2279</v>
      </c>
      <c r="I487" t="s">
        <v>2279</v>
      </c>
      <c r="J487">
        <v>0</v>
      </c>
      <c r="K487" t="s">
        <v>2279</v>
      </c>
      <c r="L487" t="s">
        <v>2279</v>
      </c>
      <c r="M487" t="s">
        <v>2279</v>
      </c>
      <c r="N487" t="s">
        <v>2279</v>
      </c>
      <c r="O487" s="190" t="str">
        <f>"["&amp;$C487&amp;"]["&amp;$D487&amp;"]["&amp;$F487&amp;"]"</f>
        <v>[S05_BiomassInstallations][7][EmissionsBiomassSustainabilityNotSatisfied]</v>
      </c>
    </row>
    <row r="488" spans="1:15" x14ac:dyDescent="0.3">
      <c r="A488" t="s">
        <v>2277</v>
      </c>
      <c r="B488" t="s">
        <v>1910</v>
      </c>
      <c r="C488" t="s">
        <v>1912</v>
      </c>
      <c r="D488">
        <v>8</v>
      </c>
      <c r="E488" t="s">
        <v>1447</v>
      </c>
      <c r="F488" t="s">
        <v>1916</v>
      </c>
      <c r="G488" t="s">
        <v>1806</v>
      </c>
      <c r="H488" t="s">
        <v>2279</v>
      </c>
      <c r="I488" t="s">
        <v>2279</v>
      </c>
      <c r="J488">
        <v>0</v>
      </c>
      <c r="K488" t="s">
        <v>2279</v>
      </c>
      <c r="L488" t="s">
        <v>2279</v>
      </c>
      <c r="M488" t="s">
        <v>2279</v>
      </c>
      <c r="N488" t="s">
        <v>2279</v>
      </c>
      <c r="O488" s="190" t="str">
        <f>"["&amp;$C488&amp;"]["&amp;$D488&amp;"]["&amp;$F488&amp;"]"</f>
        <v>[S05_BiomassInstallations][8][EmissionsBiomassSustainabilityNotSatisfied]</v>
      </c>
    </row>
    <row r="489" spans="1:15" x14ac:dyDescent="0.3">
      <c r="A489" t="s">
        <v>2277</v>
      </c>
      <c r="B489" t="s">
        <v>1910</v>
      </c>
      <c r="C489" t="s">
        <v>1912</v>
      </c>
      <c r="D489">
        <v>9</v>
      </c>
      <c r="E489" t="s">
        <v>1447</v>
      </c>
      <c r="F489" t="s">
        <v>1916</v>
      </c>
      <c r="G489" t="s">
        <v>1806</v>
      </c>
      <c r="H489" t="s">
        <v>2279</v>
      </c>
      <c r="I489" t="s">
        <v>2279</v>
      </c>
      <c r="J489">
        <v>0</v>
      </c>
      <c r="K489" t="s">
        <v>2279</v>
      </c>
      <c r="L489" t="s">
        <v>2279</v>
      </c>
      <c r="M489" t="s">
        <v>2279</v>
      </c>
      <c r="N489" t="s">
        <v>2279</v>
      </c>
      <c r="O489" s="190" t="str">
        <f>"["&amp;$C489&amp;"]["&amp;$D489&amp;"]["&amp;$F489&amp;"]"</f>
        <v>[S05_BiomassInstallations][9][EmissionsBiomassSustainabilityNotSatisfied]</v>
      </c>
    </row>
    <row r="490" spans="1:15" x14ac:dyDescent="0.3">
      <c r="A490" t="s">
        <v>2277</v>
      </c>
      <c r="B490" t="s">
        <v>1910</v>
      </c>
      <c r="C490" t="s">
        <v>1912</v>
      </c>
      <c r="D490">
        <v>10</v>
      </c>
      <c r="E490" t="s">
        <v>1447</v>
      </c>
      <c r="F490" t="s">
        <v>1916</v>
      </c>
      <c r="G490" t="s">
        <v>1806</v>
      </c>
      <c r="H490" t="s">
        <v>2279</v>
      </c>
      <c r="I490" t="s">
        <v>2279</v>
      </c>
      <c r="J490">
        <v>0</v>
      </c>
      <c r="K490" t="s">
        <v>2279</v>
      </c>
      <c r="L490" t="s">
        <v>2279</v>
      </c>
      <c r="M490" t="s">
        <v>2279</v>
      </c>
      <c r="N490" t="s">
        <v>2279</v>
      </c>
      <c r="O490" s="190" t="str">
        <f>"["&amp;$C490&amp;"]["&amp;$D490&amp;"]["&amp;$F490&amp;"]"</f>
        <v>[S05_BiomassInstallations][10][EmissionsBiomassSustainabilityNotSatisfied]</v>
      </c>
    </row>
    <row r="491" spans="1:15" x14ac:dyDescent="0.3">
      <c r="A491" t="s">
        <v>2277</v>
      </c>
      <c r="B491" t="s">
        <v>1910</v>
      </c>
      <c r="C491" t="s">
        <v>1912</v>
      </c>
      <c r="D491">
        <v>11</v>
      </c>
      <c r="E491" t="s">
        <v>1447</v>
      </c>
      <c r="F491" t="s">
        <v>1916</v>
      </c>
      <c r="G491" t="s">
        <v>1806</v>
      </c>
      <c r="H491" t="s">
        <v>2279</v>
      </c>
      <c r="I491" t="s">
        <v>2279</v>
      </c>
      <c r="J491">
        <v>0</v>
      </c>
      <c r="K491" t="s">
        <v>2279</v>
      </c>
      <c r="L491" t="s">
        <v>2279</v>
      </c>
      <c r="M491" t="s">
        <v>2279</v>
      </c>
      <c r="N491" t="s">
        <v>2279</v>
      </c>
      <c r="O491" s="190" t="str">
        <f>"["&amp;$C491&amp;"]["&amp;$D491&amp;"]["&amp;$F491&amp;"]"</f>
        <v>[S05_BiomassInstallations][11][EmissionsBiomassSustainabilityNotSatisfied]</v>
      </c>
    </row>
    <row r="492" spans="1:15" x14ac:dyDescent="0.3">
      <c r="A492" t="s">
        <v>2277</v>
      </c>
      <c r="B492" t="s">
        <v>1910</v>
      </c>
      <c r="C492" t="s">
        <v>1912</v>
      </c>
      <c r="D492">
        <v>1</v>
      </c>
      <c r="E492" t="s">
        <v>1447</v>
      </c>
      <c r="F492" t="s">
        <v>1917</v>
      </c>
      <c r="G492" t="s">
        <v>1806</v>
      </c>
      <c r="H492" t="s">
        <v>2279</v>
      </c>
      <c r="I492" t="s">
        <v>2279</v>
      </c>
      <c r="J492">
        <v>0</v>
      </c>
      <c r="K492" t="s">
        <v>2279</v>
      </c>
      <c r="L492" t="s">
        <v>2279</v>
      </c>
      <c r="M492" t="s">
        <v>2279</v>
      </c>
      <c r="N492" t="s">
        <v>2279</v>
      </c>
      <c r="O492" s="190" t="str">
        <f>"["&amp;$C492&amp;"]["&amp;$D492&amp;"]["&amp;$F492&amp;"]"</f>
        <v>[S05_BiomassInstallations][1][EmissionsFossil]</v>
      </c>
    </row>
    <row r="493" spans="1:15" x14ac:dyDescent="0.3">
      <c r="A493" t="s">
        <v>2277</v>
      </c>
      <c r="B493" t="s">
        <v>1910</v>
      </c>
      <c r="C493" t="s">
        <v>1912</v>
      </c>
      <c r="D493">
        <v>2</v>
      </c>
      <c r="E493" t="s">
        <v>1447</v>
      </c>
      <c r="F493" t="s">
        <v>1917</v>
      </c>
      <c r="G493" t="s">
        <v>1806</v>
      </c>
      <c r="H493" t="s">
        <v>2279</v>
      </c>
      <c r="I493" t="s">
        <v>2279</v>
      </c>
      <c r="J493">
        <v>0</v>
      </c>
      <c r="K493" t="s">
        <v>2279</v>
      </c>
      <c r="L493" t="s">
        <v>2279</v>
      </c>
      <c r="M493" t="s">
        <v>2279</v>
      </c>
      <c r="N493" t="s">
        <v>2279</v>
      </c>
      <c r="O493" s="190" t="str">
        <f>"["&amp;$C493&amp;"]["&amp;$D493&amp;"]["&amp;$F493&amp;"]"</f>
        <v>[S05_BiomassInstallations][2][EmissionsFossil]</v>
      </c>
    </row>
    <row r="494" spans="1:15" x14ac:dyDescent="0.3">
      <c r="A494" t="s">
        <v>2277</v>
      </c>
      <c r="B494" t="s">
        <v>1910</v>
      </c>
      <c r="C494" t="s">
        <v>1912</v>
      </c>
      <c r="D494">
        <v>3</v>
      </c>
      <c r="E494" t="s">
        <v>1447</v>
      </c>
      <c r="F494" t="s">
        <v>1917</v>
      </c>
      <c r="G494" t="s">
        <v>1806</v>
      </c>
      <c r="H494" t="s">
        <v>2279</v>
      </c>
      <c r="I494" t="s">
        <v>2279</v>
      </c>
      <c r="J494">
        <v>0</v>
      </c>
      <c r="K494" t="s">
        <v>2279</v>
      </c>
      <c r="L494" t="s">
        <v>2279</v>
      </c>
      <c r="M494" t="s">
        <v>2279</v>
      </c>
      <c r="N494" t="s">
        <v>2279</v>
      </c>
      <c r="O494" s="190" t="str">
        <f>"["&amp;$C494&amp;"]["&amp;$D494&amp;"]["&amp;$F494&amp;"]"</f>
        <v>[S05_BiomassInstallations][3][EmissionsFossil]</v>
      </c>
    </row>
    <row r="495" spans="1:15" x14ac:dyDescent="0.3">
      <c r="A495" t="s">
        <v>2277</v>
      </c>
      <c r="B495" t="s">
        <v>1910</v>
      </c>
      <c r="C495" t="s">
        <v>1912</v>
      </c>
      <c r="D495">
        <v>4</v>
      </c>
      <c r="E495" t="s">
        <v>1447</v>
      </c>
      <c r="F495" t="s">
        <v>1917</v>
      </c>
      <c r="G495" t="s">
        <v>1806</v>
      </c>
      <c r="H495" t="s">
        <v>2279</v>
      </c>
      <c r="I495" t="s">
        <v>2279</v>
      </c>
      <c r="J495">
        <v>0</v>
      </c>
      <c r="K495" t="s">
        <v>2279</v>
      </c>
      <c r="L495" t="s">
        <v>2279</v>
      </c>
      <c r="M495" t="s">
        <v>2279</v>
      </c>
      <c r="N495" t="s">
        <v>2279</v>
      </c>
      <c r="O495" s="190" t="str">
        <f>"["&amp;$C495&amp;"]["&amp;$D495&amp;"]["&amp;$F495&amp;"]"</f>
        <v>[S05_BiomassInstallations][4][EmissionsFossil]</v>
      </c>
    </row>
    <row r="496" spans="1:15" x14ac:dyDescent="0.3">
      <c r="A496" t="s">
        <v>2277</v>
      </c>
      <c r="B496" t="s">
        <v>1910</v>
      </c>
      <c r="C496" t="s">
        <v>1912</v>
      </c>
      <c r="D496">
        <v>5</v>
      </c>
      <c r="E496" t="s">
        <v>1447</v>
      </c>
      <c r="F496" t="s">
        <v>1917</v>
      </c>
      <c r="G496" t="s">
        <v>1806</v>
      </c>
      <c r="H496" t="s">
        <v>2279</v>
      </c>
      <c r="I496" t="s">
        <v>2279</v>
      </c>
      <c r="J496">
        <v>0</v>
      </c>
      <c r="K496" t="s">
        <v>2279</v>
      </c>
      <c r="L496" t="s">
        <v>2279</v>
      </c>
      <c r="M496" t="s">
        <v>2279</v>
      </c>
      <c r="N496" t="s">
        <v>2279</v>
      </c>
      <c r="O496" s="190" t="str">
        <f>"["&amp;$C496&amp;"]["&amp;$D496&amp;"]["&amp;$F496&amp;"]"</f>
        <v>[S05_BiomassInstallations][5][EmissionsFossil]</v>
      </c>
    </row>
    <row r="497" spans="1:15" x14ac:dyDescent="0.3">
      <c r="A497" t="s">
        <v>2277</v>
      </c>
      <c r="B497" t="s">
        <v>1910</v>
      </c>
      <c r="C497" t="s">
        <v>1912</v>
      </c>
      <c r="D497">
        <v>6</v>
      </c>
      <c r="E497" t="s">
        <v>1447</v>
      </c>
      <c r="F497" t="s">
        <v>1917</v>
      </c>
      <c r="G497" t="s">
        <v>1806</v>
      </c>
      <c r="H497" t="s">
        <v>2279</v>
      </c>
      <c r="I497" t="s">
        <v>2279</v>
      </c>
      <c r="J497">
        <v>0</v>
      </c>
      <c r="K497" t="s">
        <v>2279</v>
      </c>
      <c r="L497" t="s">
        <v>2279</v>
      </c>
      <c r="M497" t="s">
        <v>2279</v>
      </c>
      <c r="N497" t="s">
        <v>2279</v>
      </c>
      <c r="O497" s="190" t="str">
        <f>"["&amp;$C497&amp;"]["&amp;$D497&amp;"]["&amp;$F497&amp;"]"</f>
        <v>[S05_BiomassInstallations][6][EmissionsFossil]</v>
      </c>
    </row>
    <row r="498" spans="1:15" x14ac:dyDescent="0.3">
      <c r="A498" t="s">
        <v>2277</v>
      </c>
      <c r="B498" t="s">
        <v>1910</v>
      </c>
      <c r="C498" t="s">
        <v>1912</v>
      </c>
      <c r="D498">
        <v>7</v>
      </c>
      <c r="E498" t="s">
        <v>1447</v>
      </c>
      <c r="F498" t="s">
        <v>1917</v>
      </c>
      <c r="G498" t="s">
        <v>1806</v>
      </c>
      <c r="H498" t="s">
        <v>2279</v>
      </c>
      <c r="I498" t="s">
        <v>2279</v>
      </c>
      <c r="J498">
        <v>0</v>
      </c>
      <c r="K498" t="s">
        <v>2279</v>
      </c>
      <c r="L498" t="s">
        <v>2279</v>
      </c>
      <c r="M498" t="s">
        <v>2279</v>
      </c>
      <c r="N498" t="s">
        <v>2279</v>
      </c>
      <c r="O498" s="190" t="str">
        <f>"["&amp;$C498&amp;"]["&amp;$D498&amp;"]["&amp;$F498&amp;"]"</f>
        <v>[S05_BiomassInstallations][7][EmissionsFossil]</v>
      </c>
    </row>
    <row r="499" spans="1:15" x14ac:dyDescent="0.3">
      <c r="A499" t="s">
        <v>2277</v>
      </c>
      <c r="B499" t="s">
        <v>1910</v>
      </c>
      <c r="C499" t="s">
        <v>1912</v>
      </c>
      <c r="D499">
        <v>8</v>
      </c>
      <c r="E499" t="s">
        <v>1447</v>
      </c>
      <c r="F499" t="s">
        <v>1917</v>
      </c>
      <c r="G499" t="s">
        <v>1806</v>
      </c>
      <c r="H499" t="s">
        <v>2279</v>
      </c>
      <c r="I499" t="s">
        <v>2279</v>
      </c>
      <c r="J499">
        <v>0</v>
      </c>
      <c r="K499" t="s">
        <v>2279</v>
      </c>
      <c r="L499" t="s">
        <v>2279</v>
      </c>
      <c r="M499" t="s">
        <v>2279</v>
      </c>
      <c r="N499" t="s">
        <v>2279</v>
      </c>
      <c r="O499" s="190" t="str">
        <f>"["&amp;$C499&amp;"]["&amp;$D499&amp;"]["&amp;$F499&amp;"]"</f>
        <v>[S05_BiomassInstallations][8][EmissionsFossil]</v>
      </c>
    </row>
    <row r="500" spans="1:15" x14ac:dyDescent="0.3">
      <c r="A500" t="s">
        <v>2277</v>
      </c>
      <c r="B500" t="s">
        <v>1910</v>
      </c>
      <c r="C500" t="s">
        <v>1912</v>
      </c>
      <c r="D500">
        <v>9</v>
      </c>
      <c r="E500" t="s">
        <v>1447</v>
      </c>
      <c r="F500" t="s">
        <v>1917</v>
      </c>
      <c r="G500" t="s">
        <v>1806</v>
      </c>
      <c r="H500" t="s">
        <v>2279</v>
      </c>
      <c r="I500" t="s">
        <v>2279</v>
      </c>
      <c r="J500">
        <v>0</v>
      </c>
      <c r="K500" t="s">
        <v>2279</v>
      </c>
      <c r="L500" t="s">
        <v>2279</v>
      </c>
      <c r="M500" t="s">
        <v>2279</v>
      </c>
      <c r="N500" t="s">
        <v>2279</v>
      </c>
      <c r="O500" s="190" t="str">
        <f>"["&amp;$C500&amp;"]["&amp;$D500&amp;"]["&amp;$F500&amp;"]"</f>
        <v>[S05_BiomassInstallations][9][EmissionsFossil]</v>
      </c>
    </row>
    <row r="501" spans="1:15" x14ac:dyDescent="0.3">
      <c r="A501" t="s">
        <v>2277</v>
      </c>
      <c r="B501" t="s">
        <v>1910</v>
      </c>
      <c r="C501" t="s">
        <v>1912</v>
      </c>
      <c r="D501">
        <v>10</v>
      </c>
      <c r="E501" t="s">
        <v>1447</v>
      </c>
      <c r="F501" t="s">
        <v>1917</v>
      </c>
      <c r="G501" t="s">
        <v>1806</v>
      </c>
      <c r="H501" t="s">
        <v>2279</v>
      </c>
      <c r="I501" t="s">
        <v>2279</v>
      </c>
      <c r="J501">
        <v>0</v>
      </c>
      <c r="K501" t="s">
        <v>2279</v>
      </c>
      <c r="L501" t="s">
        <v>2279</v>
      </c>
      <c r="M501" t="s">
        <v>2279</v>
      </c>
      <c r="N501" t="s">
        <v>2279</v>
      </c>
      <c r="O501" s="190" t="str">
        <f>"["&amp;$C501&amp;"]["&amp;$D501&amp;"]["&amp;$F501&amp;"]"</f>
        <v>[S05_BiomassInstallations][10][EmissionsFossil]</v>
      </c>
    </row>
    <row r="502" spans="1:15" x14ac:dyDescent="0.3">
      <c r="A502" t="s">
        <v>2277</v>
      </c>
      <c r="B502" t="s">
        <v>1910</v>
      </c>
      <c r="C502" t="s">
        <v>1912</v>
      </c>
      <c r="D502">
        <v>11</v>
      </c>
      <c r="E502" t="s">
        <v>1447</v>
      </c>
      <c r="F502" t="s">
        <v>1917</v>
      </c>
      <c r="G502" t="s">
        <v>1806</v>
      </c>
      <c r="H502" t="s">
        <v>2279</v>
      </c>
      <c r="I502" t="s">
        <v>2279</v>
      </c>
      <c r="J502">
        <v>0</v>
      </c>
      <c r="K502" t="s">
        <v>2279</v>
      </c>
      <c r="L502" t="s">
        <v>2279</v>
      </c>
      <c r="M502" t="s">
        <v>2279</v>
      </c>
      <c r="N502" t="s">
        <v>2279</v>
      </c>
      <c r="O502" s="190" t="str">
        <f>"["&amp;$C502&amp;"]["&amp;$D502&amp;"]["&amp;$F502&amp;"]"</f>
        <v>[S05_BiomassInstallations][11][EmissionsFossil]</v>
      </c>
    </row>
    <row r="503" spans="1:15" x14ac:dyDescent="0.3">
      <c r="A503" t="s">
        <v>2277</v>
      </c>
      <c r="B503" t="s">
        <v>1910</v>
      </c>
      <c r="C503" t="s">
        <v>1912</v>
      </c>
      <c r="D503">
        <v>1</v>
      </c>
      <c r="E503" t="s">
        <v>1447</v>
      </c>
      <c r="F503" t="s">
        <v>1918</v>
      </c>
      <c r="G503" t="s">
        <v>1806</v>
      </c>
      <c r="H503" t="s">
        <v>2279</v>
      </c>
      <c r="I503" t="s">
        <v>2279</v>
      </c>
      <c r="J503">
        <v>267.14</v>
      </c>
      <c r="K503" t="s">
        <v>2279</v>
      </c>
      <c r="L503" t="s">
        <v>2279</v>
      </c>
      <c r="M503" t="s">
        <v>2279</v>
      </c>
      <c r="N503" t="s">
        <v>2279</v>
      </c>
      <c r="O503" s="190" t="str">
        <f>"["&amp;$C503&amp;"]["&amp;$D503&amp;"]["&amp;$F503&amp;"]"</f>
        <v>[S05_BiomassInstallations][1][EnergyZeroRatedBiomass]</v>
      </c>
    </row>
    <row r="504" spans="1:15" x14ac:dyDescent="0.3">
      <c r="A504" t="s">
        <v>2277</v>
      </c>
      <c r="B504" t="s">
        <v>1910</v>
      </c>
      <c r="C504" t="s">
        <v>1912</v>
      </c>
      <c r="D504">
        <v>2</v>
      </c>
      <c r="E504" t="s">
        <v>1447</v>
      </c>
      <c r="F504" t="s">
        <v>1918</v>
      </c>
      <c r="G504" t="s">
        <v>1806</v>
      </c>
      <c r="H504" t="s">
        <v>2279</v>
      </c>
      <c r="I504" t="s">
        <v>2279</v>
      </c>
      <c r="J504">
        <v>96.66</v>
      </c>
      <c r="K504" t="s">
        <v>2279</v>
      </c>
      <c r="L504" t="s">
        <v>2279</v>
      </c>
      <c r="M504" t="s">
        <v>2279</v>
      </c>
      <c r="N504" t="s">
        <v>2279</v>
      </c>
      <c r="O504" s="190" t="str">
        <f>"["&amp;$C504&amp;"]["&amp;$D504&amp;"]["&amp;$F504&amp;"]"</f>
        <v>[S05_BiomassInstallations][2][EnergyZeroRatedBiomass]</v>
      </c>
    </row>
    <row r="505" spans="1:15" x14ac:dyDescent="0.3">
      <c r="A505" t="s">
        <v>2277</v>
      </c>
      <c r="B505" t="s">
        <v>1910</v>
      </c>
      <c r="C505" t="s">
        <v>1912</v>
      </c>
      <c r="D505">
        <v>3</v>
      </c>
      <c r="E505" t="s">
        <v>1447</v>
      </c>
      <c r="F505" t="s">
        <v>1918</v>
      </c>
      <c r="G505" t="s">
        <v>1806</v>
      </c>
      <c r="H505" t="s">
        <v>2279</v>
      </c>
      <c r="I505" t="s">
        <v>2279</v>
      </c>
      <c r="J505">
        <v>1020.4</v>
      </c>
      <c r="K505" t="s">
        <v>2279</v>
      </c>
      <c r="L505" t="s">
        <v>2279</v>
      </c>
      <c r="M505" t="s">
        <v>2279</v>
      </c>
      <c r="N505" t="s">
        <v>2279</v>
      </c>
      <c r="O505" s="190" t="str">
        <f>"["&amp;$C505&amp;"]["&amp;$D505&amp;"]["&amp;$F505&amp;"]"</f>
        <v>[S05_BiomassInstallations][3][EnergyZeroRatedBiomass]</v>
      </c>
    </row>
    <row r="506" spans="1:15" x14ac:dyDescent="0.3">
      <c r="A506" t="s">
        <v>2277</v>
      </c>
      <c r="B506" t="s">
        <v>1910</v>
      </c>
      <c r="C506" t="s">
        <v>1912</v>
      </c>
      <c r="D506">
        <v>4</v>
      </c>
      <c r="E506" t="s">
        <v>1447</v>
      </c>
      <c r="F506" t="s">
        <v>1918</v>
      </c>
      <c r="G506" t="s">
        <v>1806</v>
      </c>
      <c r="H506" t="s">
        <v>2279</v>
      </c>
      <c r="I506" t="s">
        <v>2279</v>
      </c>
      <c r="J506">
        <v>80.38</v>
      </c>
      <c r="K506" t="s">
        <v>2279</v>
      </c>
      <c r="L506" t="s">
        <v>2279</v>
      </c>
      <c r="M506" t="s">
        <v>2279</v>
      </c>
      <c r="N506" t="s">
        <v>2279</v>
      </c>
      <c r="O506" s="190" t="str">
        <f>"["&amp;$C506&amp;"]["&amp;$D506&amp;"]["&amp;$F506&amp;"]"</f>
        <v>[S05_BiomassInstallations][4][EnergyZeroRatedBiomass]</v>
      </c>
    </row>
    <row r="507" spans="1:15" x14ac:dyDescent="0.3">
      <c r="A507" t="s">
        <v>2277</v>
      </c>
      <c r="B507" t="s">
        <v>1910</v>
      </c>
      <c r="C507" t="s">
        <v>1912</v>
      </c>
      <c r="D507">
        <v>5</v>
      </c>
      <c r="E507" t="s">
        <v>1447</v>
      </c>
      <c r="F507" t="s">
        <v>1918</v>
      </c>
      <c r="G507" t="s">
        <v>1806</v>
      </c>
      <c r="H507" t="s">
        <v>2279</v>
      </c>
      <c r="I507" t="s">
        <v>2279</v>
      </c>
      <c r="J507">
        <v>179.42</v>
      </c>
      <c r="K507" t="s">
        <v>2279</v>
      </c>
      <c r="L507" t="s">
        <v>2279</v>
      </c>
      <c r="M507" t="s">
        <v>2279</v>
      </c>
      <c r="N507" t="s">
        <v>2279</v>
      </c>
      <c r="O507" s="190" t="str">
        <f>"["&amp;$C507&amp;"]["&amp;$D507&amp;"]["&amp;$F507&amp;"]"</f>
        <v>[S05_BiomassInstallations][5][EnergyZeroRatedBiomass]</v>
      </c>
    </row>
    <row r="508" spans="1:15" x14ac:dyDescent="0.3">
      <c r="A508" t="s">
        <v>2277</v>
      </c>
      <c r="B508" t="s">
        <v>1910</v>
      </c>
      <c r="C508" t="s">
        <v>1912</v>
      </c>
      <c r="D508">
        <v>6</v>
      </c>
      <c r="E508" t="s">
        <v>1447</v>
      </c>
      <c r="F508" t="s">
        <v>1918</v>
      </c>
      <c r="G508" t="s">
        <v>1806</v>
      </c>
      <c r="H508" t="s">
        <v>2279</v>
      </c>
      <c r="I508" t="s">
        <v>2279</v>
      </c>
      <c r="J508">
        <v>1228.3599999999999</v>
      </c>
      <c r="K508" t="s">
        <v>2279</v>
      </c>
      <c r="L508" t="s">
        <v>2279</v>
      </c>
      <c r="M508" t="s">
        <v>2279</v>
      </c>
      <c r="N508" t="s">
        <v>2279</v>
      </c>
      <c r="O508" s="190" t="str">
        <f>"["&amp;$C508&amp;"]["&amp;$D508&amp;"]["&amp;$F508&amp;"]"</f>
        <v>[S05_BiomassInstallations][6][EnergyZeroRatedBiomass]</v>
      </c>
    </row>
    <row r="509" spans="1:15" x14ac:dyDescent="0.3">
      <c r="A509" t="s">
        <v>2277</v>
      </c>
      <c r="B509" t="s">
        <v>1910</v>
      </c>
      <c r="C509" t="s">
        <v>1912</v>
      </c>
      <c r="D509">
        <v>7</v>
      </c>
      <c r="E509" t="s">
        <v>1447</v>
      </c>
      <c r="F509" t="s">
        <v>1918</v>
      </c>
      <c r="G509" t="s">
        <v>1806</v>
      </c>
      <c r="H509" t="s">
        <v>2279</v>
      </c>
      <c r="I509" t="s">
        <v>2279</v>
      </c>
      <c r="J509">
        <v>3593.87</v>
      </c>
      <c r="K509" t="s">
        <v>2279</v>
      </c>
      <c r="L509" t="s">
        <v>2279</v>
      </c>
      <c r="M509" t="s">
        <v>2279</v>
      </c>
      <c r="N509" t="s">
        <v>2279</v>
      </c>
      <c r="O509" s="190" t="str">
        <f>"["&amp;$C509&amp;"]["&amp;$D509&amp;"]["&amp;$F509&amp;"]"</f>
        <v>[S05_BiomassInstallations][7][EnergyZeroRatedBiomass]</v>
      </c>
    </row>
    <row r="510" spans="1:15" x14ac:dyDescent="0.3">
      <c r="A510" t="s">
        <v>2277</v>
      </c>
      <c r="B510" t="s">
        <v>1910</v>
      </c>
      <c r="C510" t="s">
        <v>1912</v>
      </c>
      <c r="D510">
        <v>8</v>
      </c>
      <c r="E510" t="s">
        <v>1447</v>
      </c>
      <c r="F510" t="s">
        <v>1918</v>
      </c>
      <c r="G510" t="s">
        <v>1806</v>
      </c>
      <c r="H510" t="s">
        <v>2279</v>
      </c>
      <c r="I510" t="s">
        <v>2279</v>
      </c>
      <c r="J510">
        <v>30.55</v>
      </c>
      <c r="K510" t="s">
        <v>2279</v>
      </c>
      <c r="L510" t="s">
        <v>2279</v>
      </c>
      <c r="M510" t="s">
        <v>2279</v>
      </c>
      <c r="N510" t="s">
        <v>2279</v>
      </c>
      <c r="O510" s="190" t="str">
        <f>"["&amp;$C510&amp;"]["&amp;$D510&amp;"]["&amp;$F510&amp;"]"</f>
        <v>[S05_BiomassInstallations][8][EnergyZeroRatedBiomass]</v>
      </c>
    </row>
    <row r="511" spans="1:15" x14ac:dyDescent="0.3">
      <c r="A511" t="s">
        <v>2277</v>
      </c>
      <c r="B511" t="s">
        <v>1910</v>
      </c>
      <c r="C511" t="s">
        <v>1912</v>
      </c>
      <c r="D511">
        <v>9</v>
      </c>
      <c r="E511" t="s">
        <v>1447</v>
      </c>
      <c r="F511" t="s">
        <v>1918</v>
      </c>
      <c r="G511" t="s">
        <v>1806</v>
      </c>
      <c r="H511" t="s">
        <v>2279</v>
      </c>
      <c r="I511" t="s">
        <v>2279</v>
      </c>
      <c r="J511">
        <v>3992.66</v>
      </c>
      <c r="K511" t="s">
        <v>2279</v>
      </c>
      <c r="L511" t="s">
        <v>2279</v>
      </c>
      <c r="M511" t="s">
        <v>2279</v>
      </c>
      <c r="N511" t="s">
        <v>2279</v>
      </c>
      <c r="O511" s="190" t="str">
        <f>"["&amp;$C511&amp;"]["&amp;$D511&amp;"]["&amp;$F511&amp;"]"</f>
        <v>[S05_BiomassInstallations][9][EnergyZeroRatedBiomass]</v>
      </c>
    </row>
    <row r="512" spans="1:15" x14ac:dyDescent="0.3">
      <c r="A512" t="s">
        <v>2277</v>
      </c>
      <c r="B512" t="s">
        <v>1910</v>
      </c>
      <c r="C512" t="s">
        <v>1912</v>
      </c>
      <c r="D512">
        <v>10</v>
      </c>
      <c r="E512" t="s">
        <v>1447</v>
      </c>
      <c r="F512" t="s">
        <v>1918</v>
      </c>
      <c r="G512" t="s">
        <v>1806</v>
      </c>
      <c r="H512" t="s">
        <v>2279</v>
      </c>
      <c r="I512" t="s">
        <v>2279</v>
      </c>
      <c r="J512">
        <v>38049.1</v>
      </c>
      <c r="K512" t="s">
        <v>2279</v>
      </c>
      <c r="L512" t="s">
        <v>2279</v>
      </c>
      <c r="M512" t="s">
        <v>2279</v>
      </c>
      <c r="N512" t="s">
        <v>2279</v>
      </c>
      <c r="O512" s="190" t="str">
        <f>"["&amp;$C512&amp;"]["&amp;$D512&amp;"]["&amp;$F512&amp;"]"</f>
        <v>[S05_BiomassInstallations][10][EnergyZeroRatedBiomass]</v>
      </c>
    </row>
    <row r="513" spans="1:15" x14ac:dyDescent="0.3">
      <c r="A513" t="s">
        <v>2277</v>
      </c>
      <c r="B513" t="s">
        <v>1910</v>
      </c>
      <c r="C513" t="s">
        <v>1912</v>
      </c>
      <c r="D513">
        <v>11</v>
      </c>
      <c r="E513" t="s">
        <v>1447</v>
      </c>
      <c r="F513" t="s">
        <v>1918</v>
      </c>
      <c r="G513" t="s">
        <v>1806</v>
      </c>
      <c r="H513" t="s">
        <v>2279</v>
      </c>
      <c r="I513" t="s">
        <v>2279</v>
      </c>
      <c r="J513">
        <v>7.28</v>
      </c>
      <c r="K513" t="s">
        <v>2279</v>
      </c>
      <c r="L513" t="s">
        <v>2279</v>
      </c>
      <c r="M513" t="s">
        <v>2279</v>
      </c>
      <c r="N513" t="s">
        <v>2279</v>
      </c>
      <c r="O513" s="190" t="str">
        <f>"["&amp;$C513&amp;"]["&amp;$D513&amp;"]["&amp;$F513&amp;"]"</f>
        <v>[S05_BiomassInstallations][11][EnergyZeroRatedBiomass]</v>
      </c>
    </row>
    <row r="514" spans="1:15" x14ac:dyDescent="0.3">
      <c r="A514" t="s">
        <v>2277</v>
      </c>
      <c r="B514" t="s">
        <v>1910</v>
      </c>
      <c r="C514" t="s">
        <v>1912</v>
      </c>
      <c r="D514">
        <v>1</v>
      </c>
      <c r="E514" t="s">
        <v>1447</v>
      </c>
      <c r="F514" t="s">
        <v>1919</v>
      </c>
      <c r="G514" t="s">
        <v>1806</v>
      </c>
      <c r="H514" t="s">
        <v>2279</v>
      </c>
      <c r="I514" t="s">
        <v>2279</v>
      </c>
      <c r="J514">
        <v>0</v>
      </c>
      <c r="K514" t="s">
        <v>2279</v>
      </c>
      <c r="L514" t="s">
        <v>2279</v>
      </c>
      <c r="M514" t="s">
        <v>2279</v>
      </c>
      <c r="N514" t="s">
        <v>2279</v>
      </c>
      <c r="O514" s="190" t="str">
        <f>"["&amp;$C514&amp;"]["&amp;$D514&amp;"]["&amp;$F514&amp;"]"</f>
        <v>[S05_BiomassInstallations][1][EnergyNonZeroRatedBiomass]</v>
      </c>
    </row>
    <row r="515" spans="1:15" x14ac:dyDescent="0.3">
      <c r="A515" t="s">
        <v>2277</v>
      </c>
      <c r="B515" t="s">
        <v>1910</v>
      </c>
      <c r="C515" t="s">
        <v>1912</v>
      </c>
      <c r="D515">
        <v>2</v>
      </c>
      <c r="E515" t="s">
        <v>1447</v>
      </c>
      <c r="F515" t="s">
        <v>1919</v>
      </c>
      <c r="G515" t="s">
        <v>1806</v>
      </c>
      <c r="H515" t="s">
        <v>2279</v>
      </c>
      <c r="I515" t="s">
        <v>2279</v>
      </c>
      <c r="J515">
        <v>0</v>
      </c>
      <c r="K515" t="s">
        <v>2279</v>
      </c>
      <c r="L515" t="s">
        <v>2279</v>
      </c>
      <c r="M515" t="s">
        <v>2279</v>
      </c>
      <c r="N515" t="s">
        <v>2279</v>
      </c>
      <c r="O515" s="190" t="str">
        <f>"["&amp;$C515&amp;"]["&amp;$D515&amp;"]["&amp;$F515&amp;"]"</f>
        <v>[S05_BiomassInstallations][2][EnergyNonZeroRatedBiomass]</v>
      </c>
    </row>
    <row r="516" spans="1:15" x14ac:dyDescent="0.3">
      <c r="A516" t="s">
        <v>2277</v>
      </c>
      <c r="B516" t="s">
        <v>1910</v>
      </c>
      <c r="C516" t="s">
        <v>1912</v>
      </c>
      <c r="D516">
        <v>3</v>
      </c>
      <c r="E516" t="s">
        <v>1447</v>
      </c>
      <c r="F516" t="s">
        <v>1919</v>
      </c>
      <c r="G516" t="s">
        <v>1806</v>
      </c>
      <c r="H516" t="s">
        <v>2279</v>
      </c>
      <c r="I516" t="s">
        <v>2279</v>
      </c>
      <c r="J516">
        <v>0</v>
      </c>
      <c r="K516" t="s">
        <v>2279</v>
      </c>
      <c r="L516" t="s">
        <v>2279</v>
      </c>
      <c r="M516" t="s">
        <v>2279</v>
      </c>
      <c r="N516" t="s">
        <v>2279</v>
      </c>
      <c r="O516" s="190" t="str">
        <f>"["&amp;$C516&amp;"]["&amp;$D516&amp;"]["&amp;$F516&amp;"]"</f>
        <v>[S05_BiomassInstallations][3][EnergyNonZeroRatedBiomass]</v>
      </c>
    </row>
    <row r="517" spans="1:15" x14ac:dyDescent="0.3">
      <c r="A517" t="s">
        <v>2277</v>
      </c>
      <c r="B517" t="s">
        <v>1910</v>
      </c>
      <c r="C517" t="s">
        <v>1912</v>
      </c>
      <c r="D517">
        <v>4</v>
      </c>
      <c r="E517" t="s">
        <v>1447</v>
      </c>
      <c r="F517" t="s">
        <v>1919</v>
      </c>
      <c r="G517" t="s">
        <v>1806</v>
      </c>
      <c r="H517" t="s">
        <v>2279</v>
      </c>
      <c r="I517" t="s">
        <v>2279</v>
      </c>
      <c r="J517">
        <v>0</v>
      </c>
      <c r="K517" t="s">
        <v>2279</v>
      </c>
      <c r="L517" t="s">
        <v>2279</v>
      </c>
      <c r="M517" t="s">
        <v>2279</v>
      </c>
      <c r="N517" t="s">
        <v>2279</v>
      </c>
      <c r="O517" s="190" t="str">
        <f>"["&amp;$C517&amp;"]["&amp;$D517&amp;"]["&amp;$F517&amp;"]"</f>
        <v>[S05_BiomassInstallations][4][EnergyNonZeroRatedBiomass]</v>
      </c>
    </row>
    <row r="518" spans="1:15" x14ac:dyDescent="0.3">
      <c r="A518" t="s">
        <v>2277</v>
      </c>
      <c r="B518" t="s">
        <v>1910</v>
      </c>
      <c r="C518" t="s">
        <v>1912</v>
      </c>
      <c r="D518">
        <v>5</v>
      </c>
      <c r="E518" t="s">
        <v>1447</v>
      </c>
      <c r="F518" t="s">
        <v>1919</v>
      </c>
      <c r="G518" t="s">
        <v>1806</v>
      </c>
      <c r="H518" t="s">
        <v>2279</v>
      </c>
      <c r="I518" t="s">
        <v>2279</v>
      </c>
      <c r="J518">
        <v>0</v>
      </c>
      <c r="K518" t="s">
        <v>2279</v>
      </c>
      <c r="L518" t="s">
        <v>2279</v>
      </c>
      <c r="M518" t="s">
        <v>2279</v>
      </c>
      <c r="N518" t="s">
        <v>2279</v>
      </c>
      <c r="O518" s="190" t="str">
        <f>"["&amp;$C518&amp;"]["&amp;$D518&amp;"]["&amp;$F518&amp;"]"</f>
        <v>[S05_BiomassInstallations][5][EnergyNonZeroRatedBiomass]</v>
      </c>
    </row>
    <row r="519" spans="1:15" x14ac:dyDescent="0.3">
      <c r="A519" t="s">
        <v>2277</v>
      </c>
      <c r="B519" t="s">
        <v>1910</v>
      </c>
      <c r="C519" t="s">
        <v>1912</v>
      </c>
      <c r="D519">
        <v>6</v>
      </c>
      <c r="E519" t="s">
        <v>1447</v>
      </c>
      <c r="F519" t="s">
        <v>1919</v>
      </c>
      <c r="G519" t="s">
        <v>1806</v>
      </c>
      <c r="H519" t="s">
        <v>2279</v>
      </c>
      <c r="I519" t="s">
        <v>2279</v>
      </c>
      <c r="J519">
        <v>0</v>
      </c>
      <c r="K519" t="s">
        <v>2279</v>
      </c>
      <c r="L519" t="s">
        <v>2279</v>
      </c>
      <c r="M519" t="s">
        <v>2279</v>
      </c>
      <c r="N519" t="s">
        <v>2279</v>
      </c>
      <c r="O519" s="190" t="str">
        <f>"["&amp;$C519&amp;"]["&amp;$D519&amp;"]["&amp;$F519&amp;"]"</f>
        <v>[S05_BiomassInstallations][6][EnergyNonZeroRatedBiomass]</v>
      </c>
    </row>
    <row r="520" spans="1:15" x14ac:dyDescent="0.3">
      <c r="A520" t="s">
        <v>2277</v>
      </c>
      <c r="B520" t="s">
        <v>1910</v>
      </c>
      <c r="C520" t="s">
        <v>1912</v>
      </c>
      <c r="D520">
        <v>7</v>
      </c>
      <c r="E520" t="s">
        <v>1447</v>
      </c>
      <c r="F520" t="s">
        <v>1919</v>
      </c>
      <c r="G520" t="s">
        <v>1806</v>
      </c>
      <c r="H520" t="s">
        <v>2279</v>
      </c>
      <c r="I520" t="s">
        <v>2279</v>
      </c>
      <c r="J520">
        <v>0</v>
      </c>
      <c r="K520" t="s">
        <v>2279</v>
      </c>
      <c r="L520" t="s">
        <v>2279</v>
      </c>
      <c r="M520" t="s">
        <v>2279</v>
      </c>
      <c r="N520" t="s">
        <v>2279</v>
      </c>
      <c r="O520" s="190" t="str">
        <f>"["&amp;$C520&amp;"]["&amp;$D520&amp;"]["&amp;$F520&amp;"]"</f>
        <v>[S05_BiomassInstallations][7][EnergyNonZeroRatedBiomass]</v>
      </c>
    </row>
    <row r="521" spans="1:15" x14ac:dyDescent="0.3">
      <c r="A521" t="s">
        <v>2277</v>
      </c>
      <c r="B521" t="s">
        <v>1910</v>
      </c>
      <c r="C521" t="s">
        <v>1912</v>
      </c>
      <c r="D521">
        <v>8</v>
      </c>
      <c r="E521" t="s">
        <v>1447</v>
      </c>
      <c r="F521" t="s">
        <v>1919</v>
      </c>
      <c r="G521" t="s">
        <v>1806</v>
      </c>
      <c r="H521" t="s">
        <v>2279</v>
      </c>
      <c r="I521" t="s">
        <v>2279</v>
      </c>
      <c r="J521">
        <v>0</v>
      </c>
      <c r="K521" t="s">
        <v>2279</v>
      </c>
      <c r="L521" t="s">
        <v>2279</v>
      </c>
      <c r="M521" t="s">
        <v>2279</v>
      </c>
      <c r="N521" t="s">
        <v>2279</v>
      </c>
      <c r="O521" s="190" t="str">
        <f>"["&amp;$C521&amp;"]["&amp;$D521&amp;"]["&amp;$F521&amp;"]"</f>
        <v>[S05_BiomassInstallations][8][EnergyNonZeroRatedBiomass]</v>
      </c>
    </row>
    <row r="522" spans="1:15" x14ac:dyDescent="0.3">
      <c r="A522" t="s">
        <v>2277</v>
      </c>
      <c r="B522" t="s">
        <v>1910</v>
      </c>
      <c r="C522" t="s">
        <v>1912</v>
      </c>
      <c r="D522">
        <v>9</v>
      </c>
      <c r="E522" t="s">
        <v>1447</v>
      </c>
      <c r="F522" t="s">
        <v>1919</v>
      </c>
      <c r="G522" t="s">
        <v>1806</v>
      </c>
      <c r="H522" t="s">
        <v>2279</v>
      </c>
      <c r="I522" t="s">
        <v>2279</v>
      </c>
      <c r="J522">
        <v>0</v>
      </c>
      <c r="K522" t="s">
        <v>2279</v>
      </c>
      <c r="L522" t="s">
        <v>2279</v>
      </c>
      <c r="M522" t="s">
        <v>2279</v>
      </c>
      <c r="N522" t="s">
        <v>2279</v>
      </c>
      <c r="O522" s="190" t="str">
        <f>"["&amp;$C522&amp;"]["&amp;$D522&amp;"]["&amp;$F522&amp;"]"</f>
        <v>[S05_BiomassInstallations][9][EnergyNonZeroRatedBiomass]</v>
      </c>
    </row>
    <row r="523" spans="1:15" x14ac:dyDescent="0.3">
      <c r="A523" t="s">
        <v>2277</v>
      </c>
      <c r="B523" t="s">
        <v>1910</v>
      </c>
      <c r="C523" t="s">
        <v>1912</v>
      </c>
      <c r="D523">
        <v>10</v>
      </c>
      <c r="E523" t="s">
        <v>1447</v>
      </c>
      <c r="F523" t="s">
        <v>1919</v>
      </c>
      <c r="G523" t="s">
        <v>1806</v>
      </c>
      <c r="H523" t="s">
        <v>2279</v>
      </c>
      <c r="I523" t="s">
        <v>2279</v>
      </c>
      <c r="J523">
        <v>0</v>
      </c>
      <c r="K523" t="s">
        <v>2279</v>
      </c>
      <c r="L523" t="s">
        <v>2279</v>
      </c>
      <c r="M523" t="s">
        <v>2279</v>
      </c>
      <c r="N523" t="s">
        <v>2279</v>
      </c>
      <c r="O523" s="190" t="str">
        <f>"["&amp;$C523&amp;"]["&amp;$D523&amp;"]["&amp;$F523&amp;"]"</f>
        <v>[S05_BiomassInstallations][10][EnergyNonZeroRatedBiomass]</v>
      </c>
    </row>
    <row r="524" spans="1:15" x14ac:dyDescent="0.3">
      <c r="A524" t="s">
        <v>2277</v>
      </c>
      <c r="B524" t="s">
        <v>1910</v>
      </c>
      <c r="C524" t="s">
        <v>1912</v>
      </c>
      <c r="D524">
        <v>11</v>
      </c>
      <c r="E524" t="s">
        <v>1447</v>
      </c>
      <c r="F524" t="s">
        <v>1919</v>
      </c>
      <c r="G524" t="s">
        <v>1806</v>
      </c>
      <c r="H524" t="s">
        <v>2279</v>
      </c>
      <c r="I524" t="s">
        <v>2279</v>
      </c>
      <c r="J524">
        <v>0</v>
      </c>
      <c r="K524" t="s">
        <v>2279</v>
      </c>
      <c r="L524" t="s">
        <v>2279</v>
      </c>
      <c r="M524" t="s">
        <v>2279</v>
      </c>
      <c r="N524" t="s">
        <v>2279</v>
      </c>
      <c r="O524" s="190" t="str">
        <f>"["&amp;$C524&amp;"]["&amp;$D524&amp;"]["&amp;$F524&amp;"]"</f>
        <v>[S05_BiomassInstallations][11][EnergyNonZeroRatedBiomass]</v>
      </c>
    </row>
    <row r="525" spans="1:15" x14ac:dyDescent="0.3">
      <c r="A525" t="s">
        <v>2277</v>
      </c>
      <c r="B525" t="s">
        <v>1910</v>
      </c>
      <c r="C525" t="s">
        <v>1912</v>
      </c>
      <c r="D525">
        <v>1</v>
      </c>
      <c r="E525" t="s">
        <v>1447</v>
      </c>
      <c r="F525" t="s">
        <v>1920</v>
      </c>
      <c r="G525" t="s">
        <v>1806</v>
      </c>
      <c r="H525" t="s">
        <v>2279</v>
      </c>
      <c r="I525" t="s">
        <v>2279</v>
      </c>
      <c r="J525">
        <v>0</v>
      </c>
      <c r="K525" t="s">
        <v>2279</v>
      </c>
      <c r="L525" t="s">
        <v>2279</v>
      </c>
      <c r="M525" t="s">
        <v>2279</v>
      </c>
      <c r="N525" t="s">
        <v>2279</v>
      </c>
      <c r="O525" s="190" t="str">
        <f>"["&amp;$C525&amp;"]["&amp;$D525&amp;"]["&amp;$F525&amp;"]"</f>
        <v>[S05_BiomassInstallations][1][EnergyFossil]</v>
      </c>
    </row>
    <row r="526" spans="1:15" x14ac:dyDescent="0.3">
      <c r="A526" t="s">
        <v>2277</v>
      </c>
      <c r="B526" t="s">
        <v>1910</v>
      </c>
      <c r="C526" t="s">
        <v>1912</v>
      </c>
      <c r="D526">
        <v>2</v>
      </c>
      <c r="E526" t="s">
        <v>1447</v>
      </c>
      <c r="F526" t="s">
        <v>1920</v>
      </c>
      <c r="G526" t="s">
        <v>1806</v>
      </c>
      <c r="H526" t="s">
        <v>2279</v>
      </c>
      <c r="I526" t="s">
        <v>2279</v>
      </c>
      <c r="J526">
        <v>0</v>
      </c>
      <c r="K526" t="s">
        <v>2279</v>
      </c>
      <c r="L526" t="s">
        <v>2279</v>
      </c>
      <c r="M526" t="s">
        <v>2279</v>
      </c>
      <c r="N526" t="s">
        <v>2279</v>
      </c>
      <c r="O526" s="190" t="str">
        <f>"["&amp;$C526&amp;"]["&amp;$D526&amp;"]["&amp;$F526&amp;"]"</f>
        <v>[S05_BiomassInstallations][2][EnergyFossil]</v>
      </c>
    </row>
    <row r="527" spans="1:15" x14ac:dyDescent="0.3">
      <c r="A527" t="s">
        <v>2277</v>
      </c>
      <c r="B527" t="s">
        <v>1910</v>
      </c>
      <c r="C527" t="s">
        <v>1912</v>
      </c>
      <c r="D527">
        <v>3</v>
      </c>
      <c r="E527" t="s">
        <v>1447</v>
      </c>
      <c r="F527" t="s">
        <v>1920</v>
      </c>
      <c r="G527" t="s">
        <v>1806</v>
      </c>
      <c r="H527" t="s">
        <v>2279</v>
      </c>
      <c r="I527" t="s">
        <v>2279</v>
      </c>
      <c r="J527">
        <v>0</v>
      </c>
      <c r="K527" t="s">
        <v>2279</v>
      </c>
      <c r="L527" t="s">
        <v>2279</v>
      </c>
      <c r="M527" t="s">
        <v>2279</v>
      </c>
      <c r="N527" t="s">
        <v>2279</v>
      </c>
      <c r="O527" s="190" t="str">
        <f>"["&amp;$C527&amp;"]["&amp;$D527&amp;"]["&amp;$F527&amp;"]"</f>
        <v>[S05_BiomassInstallations][3][EnergyFossil]</v>
      </c>
    </row>
    <row r="528" spans="1:15" x14ac:dyDescent="0.3">
      <c r="A528" t="s">
        <v>2277</v>
      </c>
      <c r="B528" t="s">
        <v>1910</v>
      </c>
      <c r="C528" t="s">
        <v>1912</v>
      </c>
      <c r="D528">
        <v>4</v>
      </c>
      <c r="E528" t="s">
        <v>1447</v>
      </c>
      <c r="F528" t="s">
        <v>1920</v>
      </c>
      <c r="G528" t="s">
        <v>1806</v>
      </c>
      <c r="H528" t="s">
        <v>2279</v>
      </c>
      <c r="I528" t="s">
        <v>2279</v>
      </c>
      <c r="J528">
        <v>0</v>
      </c>
      <c r="K528" t="s">
        <v>2279</v>
      </c>
      <c r="L528" t="s">
        <v>2279</v>
      </c>
      <c r="M528" t="s">
        <v>2279</v>
      </c>
      <c r="N528" t="s">
        <v>2279</v>
      </c>
      <c r="O528" s="190" t="str">
        <f>"["&amp;$C528&amp;"]["&amp;$D528&amp;"]["&amp;$F528&amp;"]"</f>
        <v>[S05_BiomassInstallations][4][EnergyFossil]</v>
      </c>
    </row>
    <row r="529" spans="1:15" x14ac:dyDescent="0.3">
      <c r="A529" t="s">
        <v>2277</v>
      </c>
      <c r="B529" t="s">
        <v>1910</v>
      </c>
      <c r="C529" t="s">
        <v>1912</v>
      </c>
      <c r="D529">
        <v>5</v>
      </c>
      <c r="E529" t="s">
        <v>1447</v>
      </c>
      <c r="F529" t="s">
        <v>1920</v>
      </c>
      <c r="G529" t="s">
        <v>1806</v>
      </c>
      <c r="H529" t="s">
        <v>2279</v>
      </c>
      <c r="I529" t="s">
        <v>2279</v>
      </c>
      <c r="J529">
        <v>0</v>
      </c>
      <c r="K529" t="s">
        <v>2279</v>
      </c>
      <c r="L529" t="s">
        <v>2279</v>
      </c>
      <c r="M529" t="s">
        <v>2279</v>
      </c>
      <c r="N529" t="s">
        <v>2279</v>
      </c>
      <c r="O529" s="190" t="str">
        <f>"["&amp;$C529&amp;"]["&amp;$D529&amp;"]["&amp;$F529&amp;"]"</f>
        <v>[S05_BiomassInstallations][5][EnergyFossil]</v>
      </c>
    </row>
    <row r="530" spans="1:15" x14ac:dyDescent="0.3">
      <c r="A530" t="s">
        <v>2277</v>
      </c>
      <c r="B530" t="s">
        <v>1910</v>
      </c>
      <c r="C530" t="s">
        <v>1912</v>
      </c>
      <c r="D530">
        <v>6</v>
      </c>
      <c r="E530" t="s">
        <v>1447</v>
      </c>
      <c r="F530" t="s">
        <v>1920</v>
      </c>
      <c r="G530" t="s">
        <v>1806</v>
      </c>
      <c r="H530" t="s">
        <v>2279</v>
      </c>
      <c r="I530" t="s">
        <v>2279</v>
      </c>
      <c r="J530">
        <v>0</v>
      </c>
      <c r="K530" t="s">
        <v>2279</v>
      </c>
      <c r="L530" t="s">
        <v>2279</v>
      </c>
      <c r="M530" t="s">
        <v>2279</v>
      </c>
      <c r="N530" t="s">
        <v>2279</v>
      </c>
      <c r="O530" s="190" t="str">
        <f>"["&amp;$C530&amp;"]["&amp;$D530&amp;"]["&amp;$F530&amp;"]"</f>
        <v>[S05_BiomassInstallations][6][EnergyFossil]</v>
      </c>
    </row>
    <row r="531" spans="1:15" x14ac:dyDescent="0.3">
      <c r="A531" t="s">
        <v>2277</v>
      </c>
      <c r="B531" t="s">
        <v>1910</v>
      </c>
      <c r="C531" t="s">
        <v>1912</v>
      </c>
      <c r="D531">
        <v>7</v>
      </c>
      <c r="E531" t="s">
        <v>1447</v>
      </c>
      <c r="F531" t="s">
        <v>1920</v>
      </c>
      <c r="G531" t="s">
        <v>1806</v>
      </c>
      <c r="H531" t="s">
        <v>2279</v>
      </c>
      <c r="I531" t="s">
        <v>2279</v>
      </c>
      <c r="J531">
        <v>0</v>
      </c>
      <c r="K531" t="s">
        <v>2279</v>
      </c>
      <c r="L531" t="s">
        <v>2279</v>
      </c>
      <c r="M531" t="s">
        <v>2279</v>
      </c>
      <c r="N531" t="s">
        <v>2279</v>
      </c>
      <c r="O531" s="190" t="str">
        <f>"["&amp;$C531&amp;"]["&amp;$D531&amp;"]["&amp;$F531&amp;"]"</f>
        <v>[S05_BiomassInstallations][7][EnergyFossil]</v>
      </c>
    </row>
    <row r="532" spans="1:15" x14ac:dyDescent="0.3">
      <c r="A532" t="s">
        <v>2277</v>
      </c>
      <c r="B532" t="s">
        <v>1910</v>
      </c>
      <c r="C532" t="s">
        <v>1912</v>
      </c>
      <c r="D532">
        <v>8</v>
      </c>
      <c r="E532" t="s">
        <v>1447</v>
      </c>
      <c r="F532" t="s">
        <v>1920</v>
      </c>
      <c r="G532" t="s">
        <v>1806</v>
      </c>
      <c r="H532" t="s">
        <v>2279</v>
      </c>
      <c r="I532" t="s">
        <v>2279</v>
      </c>
      <c r="J532">
        <v>0</v>
      </c>
      <c r="K532" t="s">
        <v>2279</v>
      </c>
      <c r="L532" t="s">
        <v>2279</v>
      </c>
      <c r="M532" t="s">
        <v>2279</v>
      </c>
      <c r="N532" t="s">
        <v>2279</v>
      </c>
      <c r="O532" s="190" t="str">
        <f>"["&amp;$C532&amp;"]["&amp;$D532&amp;"]["&amp;$F532&amp;"]"</f>
        <v>[S05_BiomassInstallations][8][EnergyFossil]</v>
      </c>
    </row>
    <row r="533" spans="1:15" x14ac:dyDescent="0.3">
      <c r="A533" t="s">
        <v>2277</v>
      </c>
      <c r="B533" t="s">
        <v>1910</v>
      </c>
      <c r="C533" t="s">
        <v>1912</v>
      </c>
      <c r="D533">
        <v>9</v>
      </c>
      <c r="E533" t="s">
        <v>1447</v>
      </c>
      <c r="F533" t="s">
        <v>1920</v>
      </c>
      <c r="G533" t="s">
        <v>1806</v>
      </c>
      <c r="H533" t="s">
        <v>2279</v>
      </c>
      <c r="I533" t="s">
        <v>2279</v>
      </c>
      <c r="J533">
        <v>0</v>
      </c>
      <c r="K533" t="s">
        <v>2279</v>
      </c>
      <c r="L533" t="s">
        <v>2279</v>
      </c>
      <c r="M533" t="s">
        <v>2279</v>
      </c>
      <c r="N533" t="s">
        <v>2279</v>
      </c>
      <c r="O533" s="190" t="str">
        <f>"["&amp;$C533&amp;"]["&amp;$D533&amp;"]["&amp;$F533&amp;"]"</f>
        <v>[S05_BiomassInstallations][9][EnergyFossil]</v>
      </c>
    </row>
    <row r="534" spans="1:15" x14ac:dyDescent="0.3">
      <c r="A534" t="s">
        <v>2277</v>
      </c>
      <c r="B534" t="s">
        <v>1910</v>
      </c>
      <c r="C534" t="s">
        <v>1912</v>
      </c>
      <c r="D534">
        <v>10</v>
      </c>
      <c r="E534" t="s">
        <v>1447</v>
      </c>
      <c r="F534" t="s">
        <v>1920</v>
      </c>
      <c r="G534" t="s">
        <v>1806</v>
      </c>
      <c r="H534" t="s">
        <v>2279</v>
      </c>
      <c r="I534" t="s">
        <v>2279</v>
      </c>
      <c r="J534">
        <v>0</v>
      </c>
      <c r="K534" t="s">
        <v>2279</v>
      </c>
      <c r="L534" t="s">
        <v>2279</v>
      </c>
      <c r="M534" t="s">
        <v>2279</v>
      </c>
      <c r="N534" t="s">
        <v>2279</v>
      </c>
      <c r="O534" s="190" t="str">
        <f>"["&amp;$C534&amp;"]["&amp;$D534&amp;"]["&amp;$F534&amp;"]"</f>
        <v>[S05_BiomassInstallations][10][EnergyFossil]</v>
      </c>
    </row>
    <row r="535" spans="1:15" x14ac:dyDescent="0.3">
      <c r="A535" t="s">
        <v>2277</v>
      </c>
      <c r="B535" t="s">
        <v>1910</v>
      </c>
      <c r="C535" t="s">
        <v>1912</v>
      </c>
      <c r="D535">
        <v>11</v>
      </c>
      <c r="E535" t="s">
        <v>1447</v>
      </c>
      <c r="F535" t="s">
        <v>1920</v>
      </c>
      <c r="G535" t="s">
        <v>1806</v>
      </c>
      <c r="H535" t="s">
        <v>2279</v>
      </c>
      <c r="I535" t="s">
        <v>2279</v>
      </c>
      <c r="J535">
        <v>0</v>
      </c>
      <c r="K535" t="s">
        <v>2279</v>
      </c>
      <c r="L535" t="s">
        <v>2279</v>
      </c>
      <c r="M535" t="s">
        <v>2279</v>
      </c>
      <c r="N535" t="s">
        <v>2279</v>
      </c>
      <c r="O535" s="190" t="str">
        <f>"["&amp;$C535&amp;"]["&amp;$D535&amp;"]["&amp;$F535&amp;"]"</f>
        <v>[S05_BiomassInstallations][11][EnergyFossil]</v>
      </c>
    </row>
    <row r="536" spans="1:15" x14ac:dyDescent="0.3">
      <c r="A536" t="s">
        <v>2277</v>
      </c>
      <c r="B536" t="s">
        <v>1921</v>
      </c>
      <c r="C536" t="s">
        <v>1922</v>
      </c>
      <c r="D536">
        <v>0</v>
      </c>
      <c r="E536" t="s">
        <v>1447</v>
      </c>
      <c r="F536" t="s">
        <v>1922</v>
      </c>
      <c r="G536" t="s">
        <v>1806</v>
      </c>
      <c r="H536" t="s">
        <v>2279</v>
      </c>
      <c r="I536" t="s">
        <v>2279</v>
      </c>
      <c r="J536">
        <v>363375.9</v>
      </c>
      <c r="K536" t="s">
        <v>2279</v>
      </c>
      <c r="L536" t="s">
        <v>2279</v>
      </c>
      <c r="M536" t="s">
        <v>2279</v>
      </c>
      <c r="N536" t="s">
        <v>2279</v>
      </c>
      <c r="O536" s="190" t="str">
        <f>"["&amp;$C536&amp;"]["&amp;$D536&amp;"]["&amp;$F536&amp;"]"</f>
        <v>[WasteFuelFossilCO2][0][WasteFuelFossilCO2]</v>
      </c>
    </row>
    <row r="537" spans="1:15" x14ac:dyDescent="0.3">
      <c r="A537" t="s">
        <v>2277</v>
      </c>
      <c r="B537" t="s">
        <v>1923</v>
      </c>
      <c r="C537" t="s">
        <v>1924</v>
      </c>
      <c r="D537">
        <v>0</v>
      </c>
      <c r="E537" t="s">
        <v>1447</v>
      </c>
      <c r="F537" t="s">
        <v>1924</v>
      </c>
      <c r="G537" t="s">
        <v>1759</v>
      </c>
      <c r="H537" t="s">
        <v>2279</v>
      </c>
      <c r="I537" t="s">
        <v>2279</v>
      </c>
      <c r="J537" t="s">
        <v>2279</v>
      </c>
      <c r="K537" t="s">
        <v>2279</v>
      </c>
      <c r="L537" t="s">
        <v>1447</v>
      </c>
      <c r="M537" t="s">
        <v>2279</v>
      </c>
      <c r="N537" t="s">
        <v>2279</v>
      </c>
      <c r="O537" s="190" t="str">
        <f>"["&amp;$C537&amp;"]["&amp;$D537&amp;"]["&amp;$F537&amp;"]"</f>
        <v>[SimplifiedMonitoringArt13][0][SimplifiedMonitoringArt13]</v>
      </c>
    </row>
    <row r="538" spans="1:15" x14ac:dyDescent="0.3">
      <c r="A538" t="s">
        <v>2277</v>
      </c>
      <c r="B538" t="s">
        <v>1928</v>
      </c>
      <c r="C538" t="s">
        <v>1929</v>
      </c>
      <c r="D538">
        <v>1</v>
      </c>
      <c r="E538" t="s">
        <v>1447</v>
      </c>
      <c r="F538" t="s">
        <v>1930</v>
      </c>
      <c r="G538" t="s">
        <v>1748</v>
      </c>
      <c r="H538" t="s">
        <v>2279</v>
      </c>
      <c r="I538">
        <v>1</v>
      </c>
      <c r="J538" t="s">
        <v>2279</v>
      </c>
      <c r="K538" t="s">
        <v>2279</v>
      </c>
      <c r="L538" t="s">
        <v>2279</v>
      </c>
      <c r="M538" t="s">
        <v>2279</v>
      </c>
      <c r="N538" t="s">
        <v>2279</v>
      </c>
      <c r="O538" s="190" t="str">
        <f>"["&amp;$C538&amp;"]["&amp;$D538&amp;"]["&amp;$F538&amp;"]"</f>
        <v>[S05_AircraftMethodFuelConsumption][1][CountAircraftOperators]</v>
      </c>
    </row>
    <row r="539" spans="1:15" x14ac:dyDescent="0.3">
      <c r="A539" t="s">
        <v>2277</v>
      </c>
      <c r="B539" t="s">
        <v>1928</v>
      </c>
      <c r="C539" t="s">
        <v>1929</v>
      </c>
      <c r="D539">
        <v>2</v>
      </c>
      <c r="E539" t="s">
        <v>1447</v>
      </c>
      <c r="F539" t="s">
        <v>1930</v>
      </c>
      <c r="G539" t="s">
        <v>1748</v>
      </c>
      <c r="H539" t="s">
        <v>2279</v>
      </c>
      <c r="I539">
        <v>2</v>
      </c>
      <c r="J539" t="s">
        <v>2279</v>
      </c>
      <c r="K539" t="s">
        <v>2279</v>
      </c>
      <c r="L539" t="s">
        <v>2279</v>
      </c>
      <c r="M539" t="s">
        <v>2279</v>
      </c>
      <c r="N539" t="s">
        <v>2279</v>
      </c>
      <c r="O539" s="190" t="str">
        <f>"["&amp;$C539&amp;"]["&amp;$D539&amp;"]["&amp;$F539&amp;"]"</f>
        <v>[S05_AircraftMethodFuelConsumption][2][CountAircraftOperators]</v>
      </c>
    </row>
    <row r="540" spans="1:15" x14ac:dyDescent="0.3">
      <c r="A540" t="s">
        <v>2277</v>
      </c>
      <c r="B540" t="s">
        <v>1928</v>
      </c>
      <c r="C540" t="s">
        <v>1929</v>
      </c>
      <c r="D540">
        <v>3</v>
      </c>
      <c r="E540" t="s">
        <v>1447</v>
      </c>
      <c r="F540" t="s">
        <v>1930</v>
      </c>
      <c r="G540" t="s">
        <v>1748</v>
      </c>
      <c r="H540" t="s">
        <v>2279</v>
      </c>
      <c r="I540">
        <v>0</v>
      </c>
      <c r="J540" t="s">
        <v>2279</v>
      </c>
      <c r="K540" t="s">
        <v>2279</v>
      </c>
      <c r="L540" t="s">
        <v>2279</v>
      </c>
      <c r="M540" t="s">
        <v>2279</v>
      </c>
      <c r="N540" t="s">
        <v>2279</v>
      </c>
      <c r="O540" s="190" t="str">
        <f>"["&amp;$C540&amp;"]["&amp;$D540&amp;"]["&amp;$F540&amp;"]"</f>
        <v>[S05_AircraftMethodFuelConsumption][3][CountAircraftOperators]</v>
      </c>
    </row>
    <row r="541" spans="1:15" x14ac:dyDescent="0.3">
      <c r="A541" t="s">
        <v>2277</v>
      </c>
      <c r="B541" t="s">
        <v>1928</v>
      </c>
      <c r="C541" t="s">
        <v>1929</v>
      </c>
      <c r="D541">
        <v>1</v>
      </c>
      <c r="E541" t="s">
        <v>1447</v>
      </c>
      <c r="F541" t="s">
        <v>1931</v>
      </c>
      <c r="G541" t="s">
        <v>1806</v>
      </c>
      <c r="H541" t="s">
        <v>2279</v>
      </c>
      <c r="I541" t="s">
        <v>2279</v>
      </c>
      <c r="J541">
        <v>0</v>
      </c>
      <c r="K541" t="s">
        <v>2279</v>
      </c>
      <c r="L541" t="s">
        <v>2279</v>
      </c>
      <c r="M541" t="s">
        <v>2279</v>
      </c>
      <c r="N541" t="s">
        <v>2279</v>
      </c>
      <c r="O541" s="190" t="str">
        <f>"["&amp;$C541&amp;"]["&amp;$D541&amp;"]["&amp;$F541&amp;"]"</f>
        <v>[S05_AircraftMethodFuelConsumption][1][SmallEmittersShare]</v>
      </c>
    </row>
    <row r="542" spans="1:15" x14ac:dyDescent="0.3">
      <c r="A542" t="s">
        <v>2277</v>
      </c>
      <c r="B542" t="s">
        <v>1928</v>
      </c>
      <c r="C542" t="s">
        <v>1929</v>
      </c>
      <c r="D542">
        <v>2</v>
      </c>
      <c r="E542" t="s">
        <v>1447</v>
      </c>
      <c r="F542" t="s">
        <v>1931</v>
      </c>
      <c r="G542" t="s">
        <v>1806</v>
      </c>
      <c r="H542" t="s">
        <v>2279</v>
      </c>
      <c r="I542" t="s">
        <v>2279</v>
      </c>
      <c r="J542">
        <v>0</v>
      </c>
      <c r="K542" t="s">
        <v>2279</v>
      </c>
      <c r="L542" t="s">
        <v>2279</v>
      </c>
      <c r="M542" t="s">
        <v>2279</v>
      </c>
      <c r="N542" t="s">
        <v>2279</v>
      </c>
      <c r="O542" s="190" t="str">
        <f>"["&amp;$C542&amp;"]["&amp;$D542&amp;"]["&amp;$F542&amp;"]"</f>
        <v>[S05_AircraftMethodFuelConsumption][2][SmallEmittersShare]</v>
      </c>
    </row>
    <row r="543" spans="1:15" x14ac:dyDescent="0.3">
      <c r="A543" t="s">
        <v>2277</v>
      </c>
      <c r="B543" t="s">
        <v>1928</v>
      </c>
      <c r="C543" t="s">
        <v>1929</v>
      </c>
      <c r="D543">
        <v>3</v>
      </c>
      <c r="E543" t="s">
        <v>1447</v>
      </c>
      <c r="F543" t="s">
        <v>1931</v>
      </c>
      <c r="G543" t="s">
        <v>1806</v>
      </c>
      <c r="H543" t="s">
        <v>2279</v>
      </c>
      <c r="I543" t="s">
        <v>2279</v>
      </c>
      <c r="J543">
        <v>0</v>
      </c>
      <c r="K543" t="s">
        <v>2279</v>
      </c>
      <c r="L543" t="s">
        <v>2279</v>
      </c>
      <c r="M543" t="s">
        <v>2279</v>
      </c>
      <c r="N543" t="s">
        <v>2279</v>
      </c>
      <c r="O543" s="190" t="str">
        <f>"["&amp;$C543&amp;"]["&amp;$D543&amp;"]["&amp;$F543&amp;"]"</f>
        <v>[S05_AircraftMethodFuelConsumption][3][SmallEmittersShare]</v>
      </c>
    </row>
    <row r="544" spans="1:15" x14ac:dyDescent="0.3">
      <c r="A544" t="s">
        <v>2277</v>
      </c>
      <c r="B544" t="s">
        <v>1932</v>
      </c>
      <c r="C544" t="s">
        <v>1933</v>
      </c>
      <c r="D544">
        <v>1</v>
      </c>
      <c r="E544" t="s">
        <v>1447</v>
      </c>
      <c r="F544" t="s">
        <v>1934</v>
      </c>
      <c r="G544" t="s">
        <v>1806</v>
      </c>
      <c r="H544" t="s">
        <v>2279</v>
      </c>
      <c r="I544" t="s">
        <v>2279</v>
      </c>
      <c r="J544">
        <v>622977</v>
      </c>
      <c r="K544" t="s">
        <v>2279</v>
      </c>
      <c r="L544" t="s">
        <v>2279</v>
      </c>
      <c r="M544" t="s">
        <v>2279</v>
      </c>
      <c r="N544" t="s">
        <v>2279</v>
      </c>
      <c r="O544" s="190" t="str">
        <f>"["&amp;$C544&amp;"]["&amp;$D544&amp;"]["&amp;$F544&amp;"]"</f>
        <v>[S05_TotalFlightEmissions][1][TotalFlightEmissions]</v>
      </c>
    </row>
    <row r="545" spans="1:15" x14ac:dyDescent="0.3">
      <c r="A545" t="s">
        <v>2277</v>
      </c>
      <c r="B545" t="s">
        <v>1932</v>
      </c>
      <c r="C545" t="s">
        <v>1933</v>
      </c>
      <c r="D545">
        <v>2</v>
      </c>
      <c r="E545" t="s">
        <v>1447</v>
      </c>
      <c r="F545" t="s">
        <v>1934</v>
      </c>
      <c r="G545" t="s">
        <v>1806</v>
      </c>
      <c r="H545" t="s">
        <v>2279</v>
      </c>
      <c r="I545" t="s">
        <v>2279</v>
      </c>
      <c r="J545">
        <v>42926</v>
      </c>
      <c r="K545" t="s">
        <v>2279</v>
      </c>
      <c r="L545" t="s">
        <v>2279</v>
      </c>
      <c r="M545" t="s">
        <v>2279</v>
      </c>
      <c r="N545" t="s">
        <v>2279</v>
      </c>
      <c r="O545" s="190" t="str">
        <f>"["&amp;$C545&amp;"]["&amp;$D545&amp;"]["&amp;$F545&amp;"]"</f>
        <v>[S05_TotalFlightEmissions][2][TotalFlightEmissions]</v>
      </c>
    </row>
    <row r="546" spans="1:15" x14ac:dyDescent="0.3">
      <c r="A546" t="s">
        <v>2277</v>
      </c>
      <c r="B546" t="s">
        <v>1932</v>
      </c>
      <c r="C546" t="s">
        <v>1933</v>
      </c>
      <c r="D546">
        <v>3</v>
      </c>
      <c r="E546" t="s">
        <v>1447</v>
      </c>
      <c r="F546" t="s">
        <v>1934</v>
      </c>
      <c r="G546" t="s">
        <v>1806</v>
      </c>
      <c r="H546" t="s">
        <v>2279</v>
      </c>
      <c r="I546" t="s">
        <v>2279</v>
      </c>
      <c r="J546">
        <v>1990951</v>
      </c>
      <c r="K546" t="s">
        <v>2279</v>
      </c>
      <c r="L546" t="s">
        <v>2279</v>
      </c>
      <c r="M546" t="s">
        <v>2279</v>
      </c>
      <c r="N546" t="s">
        <v>2279</v>
      </c>
      <c r="O546" s="190" t="str">
        <f>"["&amp;$C546&amp;"]["&amp;$D546&amp;"]["&amp;$F546&amp;"]"</f>
        <v>[S05_TotalFlightEmissions][3][TotalFlightEmissions]</v>
      </c>
    </row>
    <row r="547" spans="1:15" x14ac:dyDescent="0.3">
      <c r="A547" t="s">
        <v>2277</v>
      </c>
      <c r="B547" t="s">
        <v>1932</v>
      </c>
      <c r="C547" t="s">
        <v>1933</v>
      </c>
      <c r="D547">
        <v>4</v>
      </c>
      <c r="E547" t="s">
        <v>1447</v>
      </c>
      <c r="F547" t="s">
        <v>1934</v>
      </c>
      <c r="G547" t="s">
        <v>1806</v>
      </c>
      <c r="H547" t="s">
        <v>2279</v>
      </c>
      <c r="I547" t="s">
        <v>2279</v>
      </c>
      <c r="J547">
        <v>1158564.3550499999</v>
      </c>
      <c r="K547" t="s">
        <v>2279</v>
      </c>
      <c r="L547" t="s">
        <v>2279</v>
      </c>
      <c r="M547" t="s">
        <v>2279</v>
      </c>
      <c r="N547" t="s">
        <v>2279</v>
      </c>
      <c r="O547" s="190" t="str">
        <f>"["&amp;$C547&amp;"]["&amp;$D547&amp;"]["&amp;$F547&amp;"]"</f>
        <v>[S05_TotalFlightEmissions][4][TotalFlightEmissions]</v>
      </c>
    </row>
    <row r="548" spans="1:15" x14ac:dyDescent="0.3">
      <c r="A548" t="s">
        <v>2277</v>
      </c>
      <c r="B548" t="s">
        <v>1932</v>
      </c>
      <c r="C548" t="s">
        <v>1933</v>
      </c>
      <c r="D548">
        <v>5</v>
      </c>
      <c r="E548" t="s">
        <v>1447</v>
      </c>
      <c r="F548" t="s">
        <v>1934</v>
      </c>
      <c r="G548" t="s">
        <v>1806</v>
      </c>
      <c r="H548" t="s">
        <v>2279</v>
      </c>
      <c r="I548" t="s">
        <v>2279</v>
      </c>
      <c r="J548">
        <v>34370</v>
      </c>
      <c r="K548" t="s">
        <v>2279</v>
      </c>
      <c r="L548" t="s">
        <v>2279</v>
      </c>
      <c r="M548" t="s">
        <v>2279</v>
      </c>
      <c r="N548" t="s">
        <v>2279</v>
      </c>
      <c r="O548" s="190" t="str">
        <f>"["&amp;$C548&amp;"]["&amp;$D548&amp;"]["&amp;$F548&amp;"]"</f>
        <v>[S05_TotalFlightEmissions][5][TotalFlightEmissions]</v>
      </c>
    </row>
    <row r="549" spans="1:15" x14ac:dyDescent="0.3">
      <c r="A549" t="s">
        <v>2277</v>
      </c>
      <c r="B549" t="s">
        <v>1932</v>
      </c>
      <c r="C549" t="s">
        <v>1935</v>
      </c>
      <c r="D549">
        <v>0</v>
      </c>
      <c r="E549" t="s">
        <v>1447</v>
      </c>
      <c r="F549" t="s">
        <v>1935</v>
      </c>
      <c r="G549" t="s">
        <v>1748</v>
      </c>
      <c r="H549" t="s">
        <v>2279</v>
      </c>
      <c r="I549">
        <v>5</v>
      </c>
      <c r="J549" t="s">
        <v>2279</v>
      </c>
      <c r="K549" t="s">
        <v>2279</v>
      </c>
      <c r="L549" t="s">
        <v>2279</v>
      </c>
      <c r="M549" t="s">
        <v>2279</v>
      </c>
      <c r="N549" t="s">
        <v>2279</v>
      </c>
      <c r="O549" s="190" t="str">
        <f>"["&amp;$C549&amp;"]["&amp;$D549&amp;"]["&amp;$F549&amp;"]"</f>
        <v>[CountOperatorsThirdCountries][0][CountOperatorsThirdCountries]</v>
      </c>
    </row>
    <row r="550" spans="1:15" x14ac:dyDescent="0.3">
      <c r="A550" t="s">
        <v>2277</v>
      </c>
      <c r="B550" t="s">
        <v>1936</v>
      </c>
      <c r="C550" t="s">
        <v>1937</v>
      </c>
      <c r="D550">
        <v>0</v>
      </c>
      <c r="E550" t="s">
        <v>1447</v>
      </c>
      <c r="F550" t="s">
        <v>1937</v>
      </c>
      <c r="G550" t="s">
        <v>1748</v>
      </c>
      <c r="H550" t="s">
        <v>2279</v>
      </c>
      <c r="I550">
        <v>0</v>
      </c>
      <c r="J550" t="s">
        <v>2279</v>
      </c>
      <c r="K550" t="s">
        <v>2279</v>
      </c>
      <c r="L550" t="s">
        <v>2279</v>
      </c>
      <c r="M550" t="s">
        <v>2279</v>
      </c>
      <c r="N550" t="s">
        <v>2279</v>
      </c>
      <c r="O550" s="190" t="str">
        <f>"["&amp;$C550&amp;"]["&amp;$D550&amp;"]["&amp;$F550&amp;"]"</f>
        <v>[CountOperatorsUsingBiofuels][0][CountOperatorsUsingBiofuels]</v>
      </c>
    </row>
    <row r="551" spans="1:15" x14ac:dyDescent="0.3">
      <c r="A551" t="s">
        <v>2277</v>
      </c>
      <c r="B551" t="s">
        <v>1940</v>
      </c>
      <c r="C551" t="s">
        <v>1941</v>
      </c>
      <c r="D551">
        <v>1</v>
      </c>
      <c r="E551" t="s">
        <v>1447</v>
      </c>
      <c r="F551" t="s">
        <v>1942</v>
      </c>
      <c r="G551" t="s">
        <v>1748</v>
      </c>
      <c r="H551" t="s">
        <v>2279</v>
      </c>
      <c r="I551">
        <v>1</v>
      </c>
      <c r="J551" t="s">
        <v>2279</v>
      </c>
      <c r="K551" t="s">
        <v>2279</v>
      </c>
      <c r="L551" t="s">
        <v>2279</v>
      </c>
      <c r="M551" t="s">
        <v>2279</v>
      </c>
      <c r="N551" t="s">
        <v>2279</v>
      </c>
      <c r="O551" s="190" t="str">
        <f>"["&amp;$C551&amp;"]["&amp;$D551&amp;"]["&amp;$F551&amp;"]"</f>
        <v>[S05_SmallEmittersTool][1][CountSmallEmitters]</v>
      </c>
    </row>
    <row r="552" spans="1:15" x14ac:dyDescent="0.3">
      <c r="A552" t="s">
        <v>2277</v>
      </c>
      <c r="B552" t="s">
        <v>1940</v>
      </c>
      <c r="C552" t="s">
        <v>1941</v>
      </c>
      <c r="D552">
        <v>2</v>
      </c>
      <c r="E552" t="s">
        <v>1447</v>
      </c>
      <c r="F552" t="s">
        <v>1942</v>
      </c>
      <c r="G552" t="s">
        <v>1748</v>
      </c>
      <c r="H552" t="s">
        <v>2279</v>
      </c>
      <c r="I552">
        <v>1</v>
      </c>
      <c r="J552" t="s">
        <v>2279</v>
      </c>
      <c r="K552" t="s">
        <v>2279</v>
      </c>
      <c r="L552" t="s">
        <v>2279</v>
      </c>
      <c r="M552" t="s">
        <v>2279</v>
      </c>
      <c r="N552" t="s">
        <v>2279</v>
      </c>
      <c r="O552" s="190" t="str">
        <f>"["&amp;$C552&amp;"]["&amp;$D552&amp;"]["&amp;$F552&amp;"]"</f>
        <v>[S05_SmallEmittersTool][2][CountSmallEmitters]</v>
      </c>
    </row>
    <row r="553" spans="1:15" x14ac:dyDescent="0.3">
      <c r="A553" t="s">
        <v>2277</v>
      </c>
      <c r="B553" t="s">
        <v>1940</v>
      </c>
      <c r="C553" t="s">
        <v>1941</v>
      </c>
      <c r="D553">
        <v>3</v>
      </c>
      <c r="E553" t="s">
        <v>1447</v>
      </c>
      <c r="F553" t="s">
        <v>1942</v>
      </c>
      <c r="G553" t="s">
        <v>1748</v>
      </c>
      <c r="H553" t="s">
        <v>2279</v>
      </c>
      <c r="I553">
        <v>0</v>
      </c>
      <c r="J553" t="s">
        <v>2279</v>
      </c>
      <c r="K553" t="s">
        <v>2279</v>
      </c>
      <c r="L553" t="s">
        <v>2279</v>
      </c>
      <c r="M553" t="s">
        <v>2279</v>
      </c>
      <c r="N553" t="s">
        <v>2279</v>
      </c>
      <c r="O553" s="190" t="str">
        <f>"["&amp;$C553&amp;"]["&amp;$D553&amp;"]["&amp;$F553&amp;"]"</f>
        <v>[S05_SmallEmittersTool][3][CountSmallEmitters]</v>
      </c>
    </row>
    <row r="554" spans="1:15" x14ac:dyDescent="0.3">
      <c r="A554" t="s">
        <v>2277</v>
      </c>
      <c r="B554" t="s">
        <v>1940</v>
      </c>
      <c r="C554" t="s">
        <v>1941</v>
      </c>
      <c r="D554">
        <v>4</v>
      </c>
      <c r="E554" t="s">
        <v>1447</v>
      </c>
      <c r="F554" t="s">
        <v>1942</v>
      </c>
      <c r="G554" t="s">
        <v>1748</v>
      </c>
      <c r="H554" t="s">
        <v>2279</v>
      </c>
      <c r="I554">
        <v>2</v>
      </c>
      <c r="J554" t="s">
        <v>2279</v>
      </c>
      <c r="K554" t="s">
        <v>2279</v>
      </c>
      <c r="L554" t="s">
        <v>2279</v>
      </c>
      <c r="M554" t="s">
        <v>2279</v>
      </c>
      <c r="N554" t="s">
        <v>2279</v>
      </c>
      <c r="O554" s="190" t="str">
        <f>"["&amp;$C554&amp;"]["&amp;$D554&amp;"]["&amp;$F554&amp;"]"</f>
        <v>[S05_SmallEmittersTool][4][CountSmallEmitters]</v>
      </c>
    </row>
    <row r="555" spans="1:15" x14ac:dyDescent="0.3">
      <c r="A555" t="s">
        <v>2277</v>
      </c>
      <c r="B555" t="s">
        <v>1943</v>
      </c>
      <c r="C555" t="s">
        <v>1944</v>
      </c>
      <c r="D555">
        <v>0</v>
      </c>
      <c r="E555" t="s">
        <v>1447</v>
      </c>
      <c r="F555" t="s">
        <v>1944</v>
      </c>
      <c r="G555" t="s">
        <v>1748</v>
      </c>
      <c r="H555" t="s">
        <v>2279</v>
      </c>
      <c r="I555">
        <v>1</v>
      </c>
      <c r="J555" t="s">
        <v>2279</v>
      </c>
      <c r="K555" t="s">
        <v>2279</v>
      </c>
      <c r="L555" t="s">
        <v>2279</v>
      </c>
      <c r="M555" t="s">
        <v>2279</v>
      </c>
      <c r="N555" t="s">
        <v>2279</v>
      </c>
      <c r="O555" s="190" t="str">
        <f>"["&amp;$C555&amp;"]["&amp;$D555&amp;"]["&amp;$F555&amp;"]"</f>
        <v>[AircraftImprovementReportRequired][0][AircraftImprovementReportRequired]</v>
      </c>
    </row>
    <row r="556" spans="1:15" x14ac:dyDescent="0.3">
      <c r="A556" t="s">
        <v>2277</v>
      </c>
      <c r="B556" t="s">
        <v>1943</v>
      </c>
      <c r="C556" t="s">
        <v>1945</v>
      </c>
      <c r="D556">
        <v>0</v>
      </c>
      <c r="E556" t="s">
        <v>1447</v>
      </c>
      <c r="F556" t="s">
        <v>1945</v>
      </c>
      <c r="G556" t="s">
        <v>1748</v>
      </c>
      <c r="H556" t="s">
        <v>2279</v>
      </c>
      <c r="I556">
        <v>1</v>
      </c>
      <c r="J556" t="s">
        <v>2279</v>
      </c>
      <c r="K556" t="s">
        <v>2279</v>
      </c>
      <c r="L556" t="s">
        <v>2279</v>
      </c>
      <c r="M556" t="s">
        <v>2279</v>
      </c>
      <c r="N556" t="s">
        <v>2279</v>
      </c>
      <c r="O556" s="190" t="str">
        <f>"["&amp;$C556&amp;"]["&amp;$D556&amp;"]["&amp;$F556&amp;"]"</f>
        <v>[AircraftImprovementReportSubmitted][0][AircraftImprovementReportSubmitted]</v>
      </c>
    </row>
    <row r="557" spans="1:15" x14ac:dyDescent="0.3">
      <c r="A557" t="s">
        <v>2277</v>
      </c>
      <c r="B557" t="s">
        <v>1946</v>
      </c>
      <c r="C557" t="s">
        <v>1947</v>
      </c>
      <c r="D557">
        <v>0</v>
      </c>
      <c r="E557" t="s">
        <v>1447</v>
      </c>
      <c r="F557" t="s">
        <v>1947</v>
      </c>
      <c r="G557" t="s">
        <v>1759</v>
      </c>
      <c r="H557" t="s">
        <v>2279</v>
      </c>
      <c r="I557" t="s">
        <v>2279</v>
      </c>
      <c r="J557" t="s">
        <v>2279</v>
      </c>
      <c r="K557" t="s">
        <v>2279</v>
      </c>
      <c r="L557" t="s">
        <v>1447</v>
      </c>
      <c r="M557" t="s">
        <v>2279</v>
      </c>
      <c r="N557" t="s">
        <v>2279</v>
      </c>
      <c r="O557" s="190" t="str">
        <f>"["&amp;$C557&amp;"]["&amp;$D557&amp;"]["&amp;$F557&amp;"]"</f>
        <v>[AircraftSimplifiedMonitoringArt13][0][AircraftSimplifiedMonitoringArt13]</v>
      </c>
    </row>
    <row r="558" spans="1:15" x14ac:dyDescent="0.3">
      <c r="A558" t="s">
        <v>2277</v>
      </c>
      <c r="B558" t="s">
        <v>1951</v>
      </c>
      <c r="C558" t="s">
        <v>1952</v>
      </c>
      <c r="D558">
        <v>1</v>
      </c>
      <c r="E558" t="s">
        <v>1447</v>
      </c>
      <c r="F558" t="s">
        <v>1953</v>
      </c>
      <c r="G558" t="s">
        <v>1748</v>
      </c>
      <c r="H558" t="s">
        <v>2279</v>
      </c>
      <c r="I558">
        <v>3</v>
      </c>
      <c r="J558" t="s">
        <v>2279</v>
      </c>
      <c r="K558" t="s">
        <v>2279</v>
      </c>
      <c r="L558" t="s">
        <v>2279</v>
      </c>
      <c r="M558" t="s">
        <v>2279</v>
      </c>
      <c r="N558" t="s">
        <v>2279</v>
      </c>
      <c r="O558" s="190" t="str">
        <f>"["&amp;$C558&amp;"]["&amp;$D558&amp;"]["&amp;$F558&amp;"]"</f>
        <v>[S06_TotalVerifiers][1][CountVerifiersInstallations]</v>
      </c>
    </row>
    <row r="559" spans="1:15" x14ac:dyDescent="0.3">
      <c r="A559" t="s">
        <v>2277</v>
      </c>
      <c r="B559" t="s">
        <v>1951</v>
      </c>
      <c r="C559" t="s">
        <v>1952</v>
      </c>
      <c r="D559">
        <v>2</v>
      </c>
      <c r="E559" t="s">
        <v>1447</v>
      </c>
      <c r="F559" t="s">
        <v>1953</v>
      </c>
      <c r="G559" t="s">
        <v>1748</v>
      </c>
      <c r="H559" t="s">
        <v>2279</v>
      </c>
      <c r="I559">
        <v>0</v>
      </c>
      <c r="J559" t="s">
        <v>2279</v>
      </c>
      <c r="K559" t="s">
        <v>2279</v>
      </c>
      <c r="L559" t="s">
        <v>2279</v>
      </c>
      <c r="M559" t="s">
        <v>2279</v>
      </c>
      <c r="N559" t="s">
        <v>2279</v>
      </c>
      <c r="O559" s="190" t="str">
        <f>"["&amp;$C559&amp;"]["&amp;$D559&amp;"]["&amp;$F559&amp;"]"</f>
        <v>[S06_TotalVerifiers][2][CountVerifiersInstallations]</v>
      </c>
    </row>
    <row r="560" spans="1:15" x14ac:dyDescent="0.3">
      <c r="A560" t="s">
        <v>2277</v>
      </c>
      <c r="B560" t="s">
        <v>1951</v>
      </c>
      <c r="C560" t="s">
        <v>1952</v>
      </c>
      <c r="D560">
        <v>3</v>
      </c>
      <c r="E560" t="s">
        <v>1447</v>
      </c>
      <c r="F560" t="s">
        <v>1953</v>
      </c>
      <c r="G560" t="s">
        <v>1748</v>
      </c>
      <c r="H560" t="s">
        <v>2279</v>
      </c>
      <c r="I560">
        <v>1</v>
      </c>
      <c r="J560" t="s">
        <v>2279</v>
      </c>
      <c r="K560" t="s">
        <v>2279</v>
      </c>
      <c r="L560" t="s">
        <v>2279</v>
      </c>
      <c r="M560" t="s">
        <v>2279</v>
      </c>
      <c r="N560" t="s">
        <v>2279</v>
      </c>
      <c r="O560" s="190" t="str">
        <f>"["&amp;$C560&amp;"]["&amp;$D560&amp;"]["&amp;$F560&amp;"]"</f>
        <v>[S06_TotalVerifiers][3][CountVerifiersInstallations]</v>
      </c>
    </row>
    <row r="561" spans="1:15" x14ac:dyDescent="0.3">
      <c r="A561" t="s">
        <v>2277</v>
      </c>
      <c r="B561" t="s">
        <v>1951</v>
      </c>
      <c r="C561" t="s">
        <v>1952</v>
      </c>
      <c r="D561">
        <v>1</v>
      </c>
      <c r="E561" t="s">
        <v>1447</v>
      </c>
      <c r="F561" t="s">
        <v>1955</v>
      </c>
      <c r="G561" t="s">
        <v>1748</v>
      </c>
      <c r="H561" t="s">
        <v>2279</v>
      </c>
      <c r="I561">
        <v>2</v>
      </c>
      <c r="J561" t="s">
        <v>2279</v>
      </c>
      <c r="K561" t="s">
        <v>2279</v>
      </c>
      <c r="L561" t="s">
        <v>2279</v>
      </c>
      <c r="M561" t="s">
        <v>2279</v>
      </c>
      <c r="N561" t="s">
        <v>2279</v>
      </c>
      <c r="O561" s="190" t="str">
        <f>"["&amp;$C561&amp;"]["&amp;$D561&amp;"]["&amp;$F561&amp;"]"</f>
        <v>[S06_TotalVerifiers][1][CountVerifiersAviation]</v>
      </c>
    </row>
    <row r="562" spans="1:15" x14ac:dyDescent="0.3">
      <c r="A562" t="s">
        <v>2277</v>
      </c>
      <c r="B562" t="s">
        <v>1951</v>
      </c>
      <c r="C562" t="s">
        <v>1952</v>
      </c>
      <c r="D562">
        <v>2</v>
      </c>
      <c r="E562" t="s">
        <v>1447</v>
      </c>
      <c r="F562" t="s">
        <v>1955</v>
      </c>
      <c r="G562" t="s">
        <v>1748</v>
      </c>
      <c r="H562" t="s">
        <v>2279</v>
      </c>
      <c r="I562">
        <v>0</v>
      </c>
      <c r="J562" t="s">
        <v>2279</v>
      </c>
      <c r="K562" t="s">
        <v>2279</v>
      </c>
      <c r="L562" t="s">
        <v>2279</v>
      </c>
      <c r="M562" t="s">
        <v>2279</v>
      </c>
      <c r="N562" t="s">
        <v>2279</v>
      </c>
      <c r="O562" s="190" t="str">
        <f>"["&amp;$C562&amp;"]["&amp;$D562&amp;"]["&amp;$F562&amp;"]"</f>
        <v>[S06_TotalVerifiers][2][CountVerifiersAviation]</v>
      </c>
    </row>
    <row r="563" spans="1:15" x14ac:dyDescent="0.3">
      <c r="A563" t="s">
        <v>2277</v>
      </c>
      <c r="B563" t="s">
        <v>1951</v>
      </c>
      <c r="C563" t="s">
        <v>1952</v>
      </c>
      <c r="D563">
        <v>3</v>
      </c>
      <c r="E563" t="s">
        <v>1447</v>
      </c>
      <c r="F563" t="s">
        <v>1955</v>
      </c>
      <c r="G563" t="s">
        <v>1748</v>
      </c>
      <c r="H563" t="s">
        <v>2279</v>
      </c>
      <c r="I563">
        <v>1</v>
      </c>
      <c r="J563" t="s">
        <v>2279</v>
      </c>
      <c r="K563" t="s">
        <v>2279</v>
      </c>
      <c r="L563" t="s">
        <v>2279</v>
      </c>
      <c r="M563" t="s">
        <v>2279</v>
      </c>
      <c r="N563" t="s">
        <v>2279</v>
      </c>
      <c r="O563" s="190" t="str">
        <f>"["&amp;$C563&amp;"]["&amp;$D563&amp;"]["&amp;$F563&amp;"]"</f>
        <v>[S06_TotalVerifiers][3][CountVerifiersAviation]</v>
      </c>
    </row>
    <row r="564" spans="1:15" x14ac:dyDescent="0.3">
      <c r="A564" t="s">
        <v>2277</v>
      </c>
      <c r="B564" t="s">
        <v>1951</v>
      </c>
      <c r="C564" t="s">
        <v>1957</v>
      </c>
      <c r="D564">
        <v>1</v>
      </c>
      <c r="E564" t="s">
        <v>1447</v>
      </c>
      <c r="F564" t="s">
        <v>1958</v>
      </c>
      <c r="G564" t="s">
        <v>1737</v>
      </c>
      <c r="H564" t="s">
        <v>2279</v>
      </c>
      <c r="I564" t="s">
        <v>2279</v>
      </c>
      <c r="J564" t="s">
        <v>2279</v>
      </c>
      <c r="K564" t="s">
        <v>2279</v>
      </c>
      <c r="L564" t="s">
        <v>1436</v>
      </c>
      <c r="M564" t="s">
        <v>2279</v>
      </c>
      <c r="N564" t="s">
        <v>2279</v>
      </c>
      <c r="O564" s="190" t="str">
        <f>"["&amp;$C564&amp;"]["&amp;$D564&amp;"]["&amp;$F564&amp;"]"</f>
        <v>[S06_AccredCertVerifiersAnnexI][1][AccredCertScope]</v>
      </c>
    </row>
    <row r="565" spans="1:15" x14ac:dyDescent="0.3">
      <c r="A565" t="s">
        <v>2277</v>
      </c>
      <c r="B565" t="s">
        <v>1951</v>
      </c>
      <c r="C565" t="s">
        <v>1957</v>
      </c>
      <c r="D565">
        <v>2</v>
      </c>
      <c r="E565" t="s">
        <v>1447</v>
      </c>
      <c r="F565" t="s">
        <v>1958</v>
      </c>
      <c r="G565" t="s">
        <v>1737</v>
      </c>
      <c r="H565" t="s">
        <v>2279</v>
      </c>
      <c r="I565" t="s">
        <v>2279</v>
      </c>
      <c r="J565" t="s">
        <v>2279</v>
      </c>
      <c r="K565" t="s">
        <v>2279</v>
      </c>
      <c r="L565" t="s">
        <v>1465</v>
      </c>
      <c r="M565" t="s">
        <v>2279</v>
      </c>
      <c r="N565" t="s">
        <v>2279</v>
      </c>
      <c r="O565" s="190" t="str">
        <f>"["&amp;$C565&amp;"]["&amp;$D565&amp;"]["&amp;$F565&amp;"]"</f>
        <v>[S06_AccredCertVerifiersAnnexI][2][AccredCertScope]</v>
      </c>
    </row>
    <row r="566" spans="1:15" x14ac:dyDescent="0.3">
      <c r="A566" t="s">
        <v>2277</v>
      </c>
      <c r="B566" t="s">
        <v>1951</v>
      </c>
      <c r="C566" t="s">
        <v>1957</v>
      </c>
      <c r="D566">
        <v>3</v>
      </c>
      <c r="E566" t="s">
        <v>1447</v>
      </c>
      <c r="F566" t="s">
        <v>1958</v>
      </c>
      <c r="G566" t="s">
        <v>1737</v>
      </c>
      <c r="H566" t="s">
        <v>2279</v>
      </c>
      <c r="I566" t="s">
        <v>2279</v>
      </c>
      <c r="J566" t="s">
        <v>2279</v>
      </c>
      <c r="K566" t="s">
        <v>2279</v>
      </c>
      <c r="L566" t="s">
        <v>1490</v>
      </c>
      <c r="M566" t="s">
        <v>2279</v>
      </c>
      <c r="N566" t="s">
        <v>2279</v>
      </c>
      <c r="O566" s="190" t="str">
        <f>"["&amp;$C566&amp;"]["&amp;$D566&amp;"]["&amp;$F566&amp;"]"</f>
        <v>[S06_AccredCertVerifiersAnnexI][3][AccredCertScope]</v>
      </c>
    </row>
    <row r="567" spans="1:15" x14ac:dyDescent="0.3">
      <c r="A567" t="s">
        <v>2277</v>
      </c>
      <c r="B567" t="s">
        <v>1951</v>
      </c>
      <c r="C567" t="s">
        <v>1957</v>
      </c>
      <c r="D567">
        <v>4</v>
      </c>
      <c r="E567" t="s">
        <v>1447</v>
      </c>
      <c r="F567" t="s">
        <v>1958</v>
      </c>
      <c r="G567" t="s">
        <v>1737</v>
      </c>
      <c r="H567" t="s">
        <v>2279</v>
      </c>
      <c r="I567" t="s">
        <v>2279</v>
      </c>
      <c r="J567" t="s">
        <v>2279</v>
      </c>
      <c r="K567" t="s">
        <v>2279</v>
      </c>
      <c r="L567" t="s">
        <v>1510</v>
      </c>
      <c r="M567" t="s">
        <v>2279</v>
      </c>
      <c r="N567" t="s">
        <v>2279</v>
      </c>
      <c r="O567" s="190" t="str">
        <f>"["&amp;$C567&amp;"]["&amp;$D567&amp;"]["&amp;$F567&amp;"]"</f>
        <v>[S06_AccredCertVerifiersAnnexI][4][AccredCertScope]</v>
      </c>
    </row>
    <row r="568" spans="1:15" x14ac:dyDescent="0.3">
      <c r="A568" t="s">
        <v>2277</v>
      </c>
      <c r="B568" t="s">
        <v>1951</v>
      </c>
      <c r="C568" t="s">
        <v>1957</v>
      </c>
      <c r="D568">
        <v>5</v>
      </c>
      <c r="E568" t="s">
        <v>1447</v>
      </c>
      <c r="F568" t="s">
        <v>1958</v>
      </c>
      <c r="G568" t="s">
        <v>1737</v>
      </c>
      <c r="H568" t="s">
        <v>2279</v>
      </c>
      <c r="I568" t="s">
        <v>2279</v>
      </c>
      <c r="J568" t="s">
        <v>2279</v>
      </c>
      <c r="K568" t="s">
        <v>2279</v>
      </c>
      <c r="L568" t="s">
        <v>1523</v>
      </c>
      <c r="M568" t="s">
        <v>2279</v>
      </c>
      <c r="N568" t="s">
        <v>2279</v>
      </c>
      <c r="O568" s="190" t="str">
        <f>"["&amp;$C568&amp;"]["&amp;$D568&amp;"]["&amp;$F568&amp;"]"</f>
        <v>[S06_AccredCertVerifiersAnnexI][5][AccredCertScope]</v>
      </c>
    </row>
    <row r="569" spans="1:15" x14ac:dyDescent="0.3">
      <c r="A569" t="s">
        <v>2277</v>
      </c>
      <c r="B569" t="s">
        <v>1951</v>
      </c>
      <c r="C569" t="s">
        <v>1957</v>
      </c>
      <c r="D569">
        <v>6</v>
      </c>
      <c r="E569" t="s">
        <v>1447</v>
      </c>
      <c r="F569" t="s">
        <v>1958</v>
      </c>
      <c r="G569" t="s">
        <v>1737</v>
      </c>
      <c r="H569" t="s">
        <v>2279</v>
      </c>
      <c r="I569" t="s">
        <v>2279</v>
      </c>
      <c r="J569" t="s">
        <v>2279</v>
      </c>
      <c r="K569" t="s">
        <v>2279</v>
      </c>
      <c r="L569" t="s">
        <v>1535</v>
      </c>
      <c r="M569" t="s">
        <v>2279</v>
      </c>
      <c r="N569" t="s">
        <v>2279</v>
      </c>
      <c r="O569" s="190" t="str">
        <f>"["&amp;$C569&amp;"]["&amp;$D569&amp;"]["&amp;$F569&amp;"]"</f>
        <v>[S06_AccredCertVerifiersAnnexI][6][AccredCertScope]</v>
      </c>
    </row>
    <row r="570" spans="1:15" x14ac:dyDescent="0.3">
      <c r="A570" t="s">
        <v>2277</v>
      </c>
      <c r="B570" t="s">
        <v>1951</v>
      </c>
      <c r="C570" t="s">
        <v>1957</v>
      </c>
      <c r="D570">
        <v>7</v>
      </c>
      <c r="E570" t="s">
        <v>1447</v>
      </c>
      <c r="F570" t="s">
        <v>1958</v>
      </c>
      <c r="G570" t="s">
        <v>1737</v>
      </c>
      <c r="H570" t="s">
        <v>2279</v>
      </c>
      <c r="I570" t="s">
        <v>2279</v>
      </c>
      <c r="J570" t="s">
        <v>2279</v>
      </c>
      <c r="K570" t="s">
        <v>2279</v>
      </c>
      <c r="L570" t="s">
        <v>1545</v>
      </c>
      <c r="M570" t="s">
        <v>2279</v>
      </c>
      <c r="N570" t="s">
        <v>2279</v>
      </c>
      <c r="O570" s="190" t="str">
        <f>"["&amp;$C570&amp;"]["&amp;$D570&amp;"]["&amp;$F570&amp;"]"</f>
        <v>[S06_AccredCertVerifiersAnnexI][7][AccredCertScope]</v>
      </c>
    </row>
    <row r="571" spans="1:15" x14ac:dyDescent="0.3">
      <c r="A571" t="s">
        <v>2277</v>
      </c>
      <c r="B571" t="s">
        <v>1951</v>
      </c>
      <c r="C571" t="s">
        <v>1957</v>
      </c>
      <c r="D571">
        <v>8</v>
      </c>
      <c r="E571" t="s">
        <v>1447</v>
      </c>
      <c r="F571" t="s">
        <v>1958</v>
      </c>
      <c r="G571" t="s">
        <v>1737</v>
      </c>
      <c r="H571" t="s">
        <v>2279</v>
      </c>
      <c r="I571" t="s">
        <v>2279</v>
      </c>
      <c r="J571" t="s">
        <v>2279</v>
      </c>
      <c r="K571" t="s">
        <v>2279</v>
      </c>
      <c r="L571" t="s">
        <v>1553</v>
      </c>
      <c r="M571" t="s">
        <v>2279</v>
      </c>
      <c r="N571" t="s">
        <v>2279</v>
      </c>
      <c r="O571" s="190" t="str">
        <f>"["&amp;$C571&amp;"]["&amp;$D571&amp;"]["&amp;$F571&amp;"]"</f>
        <v>[S06_AccredCertVerifiersAnnexI][8][AccredCertScope]</v>
      </c>
    </row>
    <row r="572" spans="1:15" x14ac:dyDescent="0.3">
      <c r="A572" t="s">
        <v>2277</v>
      </c>
      <c r="B572" t="s">
        <v>1951</v>
      </c>
      <c r="C572" t="s">
        <v>1957</v>
      </c>
      <c r="D572">
        <v>9</v>
      </c>
      <c r="E572" t="s">
        <v>1447</v>
      </c>
      <c r="F572" t="s">
        <v>1958</v>
      </c>
      <c r="G572" t="s">
        <v>1737</v>
      </c>
      <c r="H572" t="s">
        <v>2279</v>
      </c>
      <c r="I572" t="s">
        <v>2279</v>
      </c>
      <c r="J572" t="s">
        <v>2279</v>
      </c>
      <c r="K572" t="s">
        <v>2279</v>
      </c>
      <c r="L572" t="s">
        <v>1545</v>
      </c>
      <c r="M572" t="s">
        <v>2279</v>
      </c>
      <c r="N572" t="s">
        <v>2279</v>
      </c>
      <c r="O572" s="190" t="str">
        <f>"["&amp;$C572&amp;"]["&amp;$D572&amp;"]["&amp;$F572&amp;"]"</f>
        <v>[S06_AccredCertVerifiersAnnexI][9][AccredCertScope]</v>
      </c>
    </row>
    <row r="573" spans="1:15" x14ac:dyDescent="0.3">
      <c r="A573" t="s">
        <v>2277</v>
      </c>
      <c r="B573" t="s">
        <v>1951</v>
      </c>
      <c r="C573" t="s">
        <v>1957</v>
      </c>
      <c r="D573">
        <v>10</v>
      </c>
      <c r="E573" t="s">
        <v>1447</v>
      </c>
      <c r="F573" t="s">
        <v>1958</v>
      </c>
      <c r="G573" t="s">
        <v>1737</v>
      </c>
      <c r="H573" t="s">
        <v>2279</v>
      </c>
      <c r="I573" t="s">
        <v>2279</v>
      </c>
      <c r="J573" t="s">
        <v>2279</v>
      </c>
      <c r="K573" t="s">
        <v>2279</v>
      </c>
      <c r="L573" t="s">
        <v>1571</v>
      </c>
      <c r="M573" t="s">
        <v>2279</v>
      </c>
      <c r="N573" t="s">
        <v>2279</v>
      </c>
      <c r="O573" s="190" t="str">
        <f>"["&amp;$C573&amp;"]["&amp;$D573&amp;"]["&amp;$F573&amp;"]"</f>
        <v>[S06_AccredCertVerifiersAnnexI][10][AccredCertScope]</v>
      </c>
    </row>
    <row r="574" spans="1:15" x14ac:dyDescent="0.3">
      <c r="A574" t="s">
        <v>2277</v>
      </c>
      <c r="B574" t="s">
        <v>1951</v>
      </c>
      <c r="C574" t="s">
        <v>1957</v>
      </c>
      <c r="D574">
        <v>11</v>
      </c>
      <c r="E574" t="s">
        <v>1447</v>
      </c>
      <c r="F574" t="s">
        <v>1958</v>
      </c>
      <c r="G574" t="s">
        <v>1737</v>
      </c>
      <c r="H574" t="s">
        <v>2279</v>
      </c>
      <c r="I574" t="s">
        <v>2279</v>
      </c>
      <c r="J574" t="s">
        <v>2279</v>
      </c>
      <c r="K574" t="s">
        <v>2279</v>
      </c>
      <c r="L574" t="s">
        <v>1576</v>
      </c>
      <c r="M574" t="s">
        <v>2279</v>
      </c>
      <c r="N574" t="s">
        <v>2279</v>
      </c>
      <c r="O574" s="190" t="str">
        <f>"["&amp;$C574&amp;"]["&amp;$D574&amp;"]["&amp;$F574&amp;"]"</f>
        <v>[S06_AccredCertVerifiersAnnexI][11][AccredCertScope]</v>
      </c>
    </row>
    <row r="575" spans="1:15" x14ac:dyDescent="0.3">
      <c r="A575" t="s">
        <v>2277</v>
      </c>
      <c r="B575" t="s">
        <v>1951</v>
      </c>
      <c r="C575" t="s">
        <v>1957</v>
      </c>
      <c r="D575">
        <v>12</v>
      </c>
      <c r="E575" t="s">
        <v>1447</v>
      </c>
      <c r="F575" t="s">
        <v>1958</v>
      </c>
      <c r="G575" t="s">
        <v>1737</v>
      </c>
      <c r="H575" t="s">
        <v>2279</v>
      </c>
      <c r="I575" t="s">
        <v>2279</v>
      </c>
      <c r="J575" t="s">
        <v>2279</v>
      </c>
      <c r="K575" t="s">
        <v>2279</v>
      </c>
      <c r="L575" t="s">
        <v>1580</v>
      </c>
      <c r="M575" t="s">
        <v>2279</v>
      </c>
      <c r="N575" t="s">
        <v>2279</v>
      </c>
      <c r="O575" s="190" t="str">
        <f>"["&amp;$C575&amp;"]["&amp;$D575&amp;"]["&amp;$F575&amp;"]"</f>
        <v>[S06_AccredCertVerifiersAnnexI][12][AccredCertScope]</v>
      </c>
    </row>
    <row r="576" spans="1:15" x14ac:dyDescent="0.3">
      <c r="A576" t="s">
        <v>2277</v>
      </c>
      <c r="B576" t="s">
        <v>1951</v>
      </c>
      <c r="C576" t="s">
        <v>1957</v>
      </c>
      <c r="D576">
        <v>13</v>
      </c>
      <c r="E576" t="s">
        <v>1447</v>
      </c>
      <c r="F576" t="s">
        <v>1958</v>
      </c>
      <c r="G576" t="s">
        <v>1737</v>
      </c>
      <c r="H576" t="s">
        <v>2279</v>
      </c>
      <c r="I576" t="s">
        <v>2279</v>
      </c>
      <c r="J576" t="s">
        <v>2279</v>
      </c>
      <c r="K576" t="s">
        <v>2279</v>
      </c>
      <c r="L576" t="s">
        <v>1590</v>
      </c>
      <c r="M576" t="s">
        <v>2279</v>
      </c>
      <c r="N576" t="s">
        <v>2279</v>
      </c>
      <c r="O576" s="190" t="str">
        <f>"["&amp;$C576&amp;"]["&amp;$D576&amp;"]["&amp;$F576&amp;"]"</f>
        <v>[S06_AccredCertVerifiersAnnexI][13][AccredCertScope]</v>
      </c>
    </row>
    <row r="577" spans="1:15" x14ac:dyDescent="0.3">
      <c r="A577" t="s">
        <v>2277</v>
      </c>
      <c r="B577" t="s">
        <v>1951</v>
      </c>
      <c r="C577" t="s">
        <v>1957</v>
      </c>
      <c r="D577">
        <v>14</v>
      </c>
      <c r="E577" t="s">
        <v>1447</v>
      </c>
      <c r="F577" t="s">
        <v>1958</v>
      </c>
      <c r="G577" t="s">
        <v>1737</v>
      </c>
      <c r="H577" t="s">
        <v>2279</v>
      </c>
      <c r="I577" t="s">
        <v>2279</v>
      </c>
      <c r="J577" t="s">
        <v>2279</v>
      </c>
      <c r="K577" t="s">
        <v>2279</v>
      </c>
      <c r="L577" t="s">
        <v>1595</v>
      </c>
      <c r="M577" t="s">
        <v>2279</v>
      </c>
      <c r="N577" t="s">
        <v>2279</v>
      </c>
      <c r="O577" s="190" t="str">
        <f>"["&amp;$C577&amp;"]["&amp;$D577&amp;"]["&amp;$F577&amp;"]"</f>
        <v>[S06_AccredCertVerifiersAnnexI][14][AccredCertScope]</v>
      </c>
    </row>
    <row r="578" spans="1:15" x14ac:dyDescent="0.3">
      <c r="A578" t="s">
        <v>2277</v>
      </c>
      <c r="B578" t="s">
        <v>1951</v>
      </c>
      <c r="C578" t="s">
        <v>1957</v>
      </c>
      <c r="D578">
        <v>15</v>
      </c>
      <c r="E578" t="s">
        <v>1447</v>
      </c>
      <c r="F578" t="s">
        <v>1958</v>
      </c>
      <c r="G578" t="s">
        <v>1737</v>
      </c>
      <c r="H578" t="s">
        <v>2279</v>
      </c>
      <c r="I578" t="s">
        <v>2279</v>
      </c>
      <c r="J578" t="s">
        <v>2279</v>
      </c>
      <c r="K578" t="s">
        <v>2279</v>
      </c>
      <c r="L578" t="s">
        <v>1600</v>
      </c>
      <c r="M578" t="s">
        <v>2279</v>
      </c>
      <c r="N578" t="s">
        <v>2279</v>
      </c>
      <c r="O578" s="190" t="str">
        <f>"["&amp;$C578&amp;"]["&amp;$D578&amp;"]["&amp;$F578&amp;"]"</f>
        <v>[S06_AccredCertVerifiersAnnexI][15][AccredCertScope]</v>
      </c>
    </row>
    <row r="579" spans="1:15" x14ac:dyDescent="0.3">
      <c r="A579" t="s">
        <v>2277</v>
      </c>
      <c r="B579" t="s">
        <v>1951</v>
      </c>
      <c r="C579" t="s">
        <v>1957</v>
      </c>
      <c r="D579">
        <v>16</v>
      </c>
      <c r="E579" t="s">
        <v>1447</v>
      </c>
      <c r="F579" t="s">
        <v>1958</v>
      </c>
      <c r="G579" t="s">
        <v>1737</v>
      </c>
      <c r="H579" t="s">
        <v>2279</v>
      </c>
      <c r="I579" t="s">
        <v>2279</v>
      </c>
      <c r="J579" t="s">
        <v>2279</v>
      </c>
      <c r="K579" t="s">
        <v>2279</v>
      </c>
      <c r="L579" t="s">
        <v>1605</v>
      </c>
      <c r="M579" t="s">
        <v>2279</v>
      </c>
      <c r="N579" t="s">
        <v>2279</v>
      </c>
      <c r="O579" s="190" t="str">
        <f>"["&amp;$C579&amp;"]["&amp;$D579&amp;"]["&amp;$F579&amp;"]"</f>
        <v>[S06_AccredCertVerifiersAnnexI][16][AccredCertScope]</v>
      </c>
    </row>
    <row r="580" spans="1:15" x14ac:dyDescent="0.3">
      <c r="A580" t="s">
        <v>2277</v>
      </c>
      <c r="B580" t="s">
        <v>1951</v>
      </c>
      <c r="C580" t="s">
        <v>1957</v>
      </c>
      <c r="D580">
        <v>17</v>
      </c>
      <c r="E580" t="s">
        <v>1447</v>
      </c>
      <c r="F580" t="s">
        <v>1958</v>
      </c>
      <c r="G580" t="s">
        <v>1737</v>
      </c>
      <c r="H580" t="s">
        <v>2279</v>
      </c>
      <c r="I580" t="s">
        <v>2279</v>
      </c>
      <c r="J580" t="s">
        <v>2279</v>
      </c>
      <c r="K580" t="s">
        <v>2279</v>
      </c>
      <c r="L580" t="s">
        <v>1610</v>
      </c>
      <c r="M580" t="s">
        <v>2279</v>
      </c>
      <c r="N580" t="s">
        <v>2279</v>
      </c>
      <c r="O580" s="190" t="str">
        <f>"["&amp;$C580&amp;"]["&amp;$D580&amp;"]["&amp;$F580&amp;"]"</f>
        <v>[S06_AccredCertVerifiersAnnexI][17][AccredCertScope]</v>
      </c>
    </row>
    <row r="581" spans="1:15" x14ac:dyDescent="0.3">
      <c r="A581" t="s">
        <v>2277</v>
      </c>
      <c r="B581" t="s">
        <v>1951</v>
      </c>
      <c r="C581" t="s">
        <v>1957</v>
      </c>
      <c r="D581">
        <v>18</v>
      </c>
      <c r="E581" t="s">
        <v>1447</v>
      </c>
      <c r="F581" t="s">
        <v>1958</v>
      </c>
      <c r="G581" t="s">
        <v>1737</v>
      </c>
      <c r="H581" t="s">
        <v>2279</v>
      </c>
      <c r="I581" t="s">
        <v>2279</v>
      </c>
      <c r="J581" t="s">
        <v>2279</v>
      </c>
      <c r="K581" t="s">
        <v>2279</v>
      </c>
      <c r="L581" t="s">
        <v>1615</v>
      </c>
      <c r="M581" t="s">
        <v>2279</v>
      </c>
      <c r="N581" t="s">
        <v>2279</v>
      </c>
      <c r="O581" s="190" t="str">
        <f>"["&amp;$C581&amp;"]["&amp;$D581&amp;"]["&amp;$F581&amp;"]"</f>
        <v>[S06_AccredCertVerifiersAnnexI][18][AccredCertScope]</v>
      </c>
    </row>
    <row r="582" spans="1:15" x14ac:dyDescent="0.3">
      <c r="A582" t="s">
        <v>2277</v>
      </c>
      <c r="B582" t="s">
        <v>1951</v>
      </c>
      <c r="C582" t="s">
        <v>1957</v>
      </c>
      <c r="D582">
        <v>19</v>
      </c>
      <c r="E582" t="s">
        <v>1447</v>
      </c>
      <c r="F582" t="s">
        <v>1958</v>
      </c>
      <c r="G582" t="s">
        <v>1737</v>
      </c>
      <c r="H582" t="s">
        <v>2279</v>
      </c>
      <c r="I582" t="s">
        <v>2279</v>
      </c>
      <c r="J582" t="s">
        <v>2279</v>
      </c>
      <c r="K582" t="s">
        <v>2279</v>
      </c>
      <c r="L582" t="s">
        <v>1620</v>
      </c>
      <c r="M582" t="s">
        <v>2279</v>
      </c>
      <c r="N582" t="s">
        <v>2279</v>
      </c>
      <c r="O582" s="190" t="str">
        <f>"["&amp;$C582&amp;"]["&amp;$D582&amp;"]["&amp;$F582&amp;"]"</f>
        <v>[S06_AccredCertVerifiersAnnexI][19][AccredCertScope]</v>
      </c>
    </row>
    <row r="583" spans="1:15" x14ac:dyDescent="0.3">
      <c r="A583" t="s">
        <v>2277</v>
      </c>
      <c r="B583" t="s">
        <v>1951</v>
      </c>
      <c r="C583" t="s">
        <v>1957</v>
      </c>
      <c r="D583">
        <v>20</v>
      </c>
      <c r="E583" t="s">
        <v>1447</v>
      </c>
      <c r="F583" t="s">
        <v>1958</v>
      </c>
      <c r="G583" t="s">
        <v>1737</v>
      </c>
      <c r="H583" t="s">
        <v>2279</v>
      </c>
      <c r="I583" t="s">
        <v>2279</v>
      </c>
      <c r="J583" t="s">
        <v>2279</v>
      </c>
      <c r="K583" t="s">
        <v>2279</v>
      </c>
      <c r="L583" t="s">
        <v>1625</v>
      </c>
      <c r="M583" t="s">
        <v>2279</v>
      </c>
      <c r="N583" t="s">
        <v>2279</v>
      </c>
      <c r="O583" s="190" t="str">
        <f>"["&amp;$C583&amp;"]["&amp;$D583&amp;"]["&amp;$F583&amp;"]"</f>
        <v>[S06_AccredCertVerifiersAnnexI][20][AccredCertScope]</v>
      </c>
    </row>
    <row r="584" spans="1:15" x14ac:dyDescent="0.3">
      <c r="A584" t="s">
        <v>2277</v>
      </c>
      <c r="B584" t="s">
        <v>1951</v>
      </c>
      <c r="C584" t="s">
        <v>1957</v>
      </c>
      <c r="D584">
        <v>21</v>
      </c>
      <c r="E584" t="s">
        <v>1447</v>
      </c>
      <c r="F584" t="s">
        <v>1958</v>
      </c>
      <c r="G584" t="s">
        <v>1737</v>
      </c>
      <c r="H584" t="s">
        <v>2279</v>
      </c>
      <c r="I584" t="s">
        <v>2279</v>
      </c>
      <c r="J584" t="s">
        <v>2279</v>
      </c>
      <c r="K584" t="s">
        <v>2279</v>
      </c>
      <c r="L584" t="s">
        <v>1629</v>
      </c>
      <c r="M584" t="s">
        <v>2279</v>
      </c>
      <c r="N584" t="s">
        <v>2279</v>
      </c>
      <c r="O584" s="190" t="str">
        <f>"["&amp;$C584&amp;"]["&amp;$D584&amp;"]["&amp;$F584&amp;"]"</f>
        <v>[S06_AccredCertVerifiersAnnexI][21][AccredCertScope]</v>
      </c>
    </row>
    <row r="585" spans="1:15" x14ac:dyDescent="0.3">
      <c r="A585" t="s">
        <v>2277</v>
      </c>
      <c r="B585" t="s">
        <v>1951</v>
      </c>
      <c r="C585" t="s">
        <v>1957</v>
      </c>
      <c r="D585">
        <v>22</v>
      </c>
      <c r="E585" t="s">
        <v>1447</v>
      </c>
      <c r="F585" t="s">
        <v>1958</v>
      </c>
      <c r="G585" t="s">
        <v>1737</v>
      </c>
      <c r="H585" t="s">
        <v>2279</v>
      </c>
      <c r="I585" t="s">
        <v>2279</v>
      </c>
      <c r="J585" t="s">
        <v>2279</v>
      </c>
      <c r="K585" t="s">
        <v>2279</v>
      </c>
      <c r="L585" t="s">
        <v>1663</v>
      </c>
      <c r="M585" t="s">
        <v>2279</v>
      </c>
      <c r="N585" t="s">
        <v>2279</v>
      </c>
      <c r="O585" s="190" t="str">
        <f>"["&amp;$C585&amp;"]["&amp;$D585&amp;"]["&amp;$F585&amp;"]"</f>
        <v>[S06_AccredCertVerifiersAnnexI][22][AccredCertScope]</v>
      </c>
    </row>
    <row r="586" spans="1:15" x14ac:dyDescent="0.3">
      <c r="A586" t="s">
        <v>2277</v>
      </c>
      <c r="B586" t="s">
        <v>1951</v>
      </c>
      <c r="C586" t="s">
        <v>1957</v>
      </c>
      <c r="D586">
        <v>23</v>
      </c>
      <c r="E586" t="s">
        <v>1447</v>
      </c>
      <c r="F586" t="s">
        <v>1958</v>
      </c>
      <c r="G586" t="s">
        <v>1737</v>
      </c>
      <c r="H586" t="s">
        <v>2279</v>
      </c>
      <c r="I586" t="s">
        <v>2279</v>
      </c>
      <c r="J586" t="s">
        <v>2279</v>
      </c>
      <c r="K586" t="s">
        <v>2279</v>
      </c>
      <c r="L586" t="s">
        <v>1666</v>
      </c>
      <c r="M586" t="s">
        <v>2279</v>
      </c>
      <c r="N586" t="s">
        <v>2279</v>
      </c>
      <c r="O586" s="190" t="str">
        <f>"["&amp;$C586&amp;"]["&amp;$D586&amp;"]["&amp;$F586&amp;"]"</f>
        <v>[S06_AccredCertVerifiersAnnexI][23][AccredCertScope]</v>
      </c>
    </row>
    <row r="587" spans="1:15" x14ac:dyDescent="0.3">
      <c r="A587" t="s">
        <v>2277</v>
      </c>
      <c r="B587" t="s">
        <v>1951</v>
      </c>
      <c r="C587" t="s">
        <v>1957</v>
      </c>
      <c r="D587">
        <v>1</v>
      </c>
      <c r="E587" t="s">
        <v>1447</v>
      </c>
      <c r="F587" t="s">
        <v>1959</v>
      </c>
      <c r="G587" t="s">
        <v>1748</v>
      </c>
      <c r="H587" t="s">
        <v>2279</v>
      </c>
      <c r="I587">
        <v>3</v>
      </c>
      <c r="J587" t="s">
        <v>2279</v>
      </c>
      <c r="K587" t="s">
        <v>2279</v>
      </c>
      <c r="L587" t="s">
        <v>2279</v>
      </c>
      <c r="M587" t="s">
        <v>2279</v>
      </c>
      <c r="N587" t="s">
        <v>2279</v>
      </c>
      <c r="O587" s="190" t="str">
        <f>"["&amp;$C587&amp;"]["&amp;$D587&amp;"]["&amp;$F587&amp;"]"</f>
        <v>[S06_AccredCertVerifiersAnnexI][1][NumberAccredited]</v>
      </c>
    </row>
    <row r="588" spans="1:15" x14ac:dyDescent="0.3">
      <c r="A588" t="s">
        <v>2277</v>
      </c>
      <c r="B588" t="s">
        <v>1951</v>
      </c>
      <c r="C588" t="s">
        <v>1957</v>
      </c>
      <c r="D588">
        <v>2</v>
      </c>
      <c r="E588" t="s">
        <v>1447</v>
      </c>
      <c r="F588" t="s">
        <v>1959</v>
      </c>
      <c r="G588" t="s">
        <v>1748</v>
      </c>
      <c r="H588" t="s">
        <v>2279</v>
      </c>
      <c r="I588">
        <v>3</v>
      </c>
      <c r="J588" t="s">
        <v>2279</v>
      </c>
      <c r="K588" t="s">
        <v>2279</v>
      </c>
      <c r="L588" t="s">
        <v>2279</v>
      </c>
      <c r="M588" t="s">
        <v>2279</v>
      </c>
      <c r="N588" t="s">
        <v>2279</v>
      </c>
      <c r="O588" s="190" t="str">
        <f>"["&amp;$C588&amp;"]["&amp;$D588&amp;"]["&amp;$F588&amp;"]"</f>
        <v>[S06_AccredCertVerifiersAnnexI][2][NumberAccredited]</v>
      </c>
    </row>
    <row r="589" spans="1:15" x14ac:dyDescent="0.3">
      <c r="A589" t="s">
        <v>2277</v>
      </c>
      <c r="B589" t="s">
        <v>1951</v>
      </c>
      <c r="C589" t="s">
        <v>1957</v>
      </c>
      <c r="D589">
        <v>3</v>
      </c>
      <c r="E589" t="s">
        <v>1447</v>
      </c>
      <c r="F589" t="s">
        <v>1959</v>
      </c>
      <c r="G589" t="s">
        <v>1748</v>
      </c>
      <c r="H589" t="s">
        <v>2279</v>
      </c>
      <c r="I589">
        <v>1</v>
      </c>
      <c r="J589" t="s">
        <v>2279</v>
      </c>
      <c r="K589" t="s">
        <v>2279</v>
      </c>
      <c r="L589" t="s">
        <v>2279</v>
      </c>
      <c r="M589" t="s">
        <v>2279</v>
      </c>
      <c r="N589" t="s">
        <v>2279</v>
      </c>
      <c r="O589" s="190" t="str">
        <f>"["&amp;$C589&amp;"]["&amp;$D589&amp;"]["&amp;$F589&amp;"]"</f>
        <v>[S06_AccredCertVerifiersAnnexI][3][NumberAccredited]</v>
      </c>
    </row>
    <row r="590" spans="1:15" x14ac:dyDescent="0.3">
      <c r="A590" t="s">
        <v>2277</v>
      </c>
      <c r="B590" t="s">
        <v>1951</v>
      </c>
      <c r="C590" t="s">
        <v>1957</v>
      </c>
      <c r="D590">
        <v>4</v>
      </c>
      <c r="E590" t="s">
        <v>1447</v>
      </c>
      <c r="F590" t="s">
        <v>1959</v>
      </c>
      <c r="G590" t="s">
        <v>1748</v>
      </c>
      <c r="H590" t="s">
        <v>2279</v>
      </c>
      <c r="I590">
        <v>1</v>
      </c>
      <c r="J590" t="s">
        <v>2279</v>
      </c>
      <c r="K590" t="s">
        <v>2279</v>
      </c>
      <c r="L590" t="s">
        <v>2279</v>
      </c>
      <c r="M590" t="s">
        <v>2279</v>
      </c>
      <c r="N590" t="s">
        <v>2279</v>
      </c>
      <c r="O590" s="190" t="str">
        <f>"["&amp;$C590&amp;"]["&amp;$D590&amp;"]["&amp;$F590&amp;"]"</f>
        <v>[S06_AccredCertVerifiersAnnexI][4][NumberAccredited]</v>
      </c>
    </row>
    <row r="591" spans="1:15" x14ac:dyDescent="0.3">
      <c r="A591" t="s">
        <v>2277</v>
      </c>
      <c r="B591" t="s">
        <v>1951</v>
      </c>
      <c r="C591" t="s">
        <v>1957</v>
      </c>
      <c r="D591">
        <v>5</v>
      </c>
      <c r="E591" t="s">
        <v>1447</v>
      </c>
      <c r="F591" t="s">
        <v>1959</v>
      </c>
      <c r="G591" t="s">
        <v>1748</v>
      </c>
      <c r="H591" t="s">
        <v>2279</v>
      </c>
      <c r="I591">
        <v>1</v>
      </c>
      <c r="J591" t="s">
        <v>2279</v>
      </c>
      <c r="K591" t="s">
        <v>2279</v>
      </c>
      <c r="L591" t="s">
        <v>2279</v>
      </c>
      <c r="M591" t="s">
        <v>2279</v>
      </c>
      <c r="N591" t="s">
        <v>2279</v>
      </c>
      <c r="O591" s="190" t="str">
        <f>"["&amp;$C591&amp;"]["&amp;$D591&amp;"]["&amp;$F591&amp;"]"</f>
        <v>[S06_AccredCertVerifiersAnnexI][5][NumberAccredited]</v>
      </c>
    </row>
    <row r="592" spans="1:15" x14ac:dyDescent="0.3">
      <c r="A592" t="s">
        <v>2277</v>
      </c>
      <c r="B592" t="s">
        <v>1951</v>
      </c>
      <c r="C592" t="s">
        <v>1957</v>
      </c>
      <c r="D592">
        <v>6</v>
      </c>
      <c r="E592" t="s">
        <v>1447</v>
      </c>
      <c r="F592" t="s">
        <v>1959</v>
      </c>
      <c r="G592" t="s">
        <v>1748</v>
      </c>
      <c r="H592" t="s">
        <v>2279</v>
      </c>
      <c r="I592">
        <v>1</v>
      </c>
      <c r="J592" t="s">
        <v>2279</v>
      </c>
      <c r="K592" t="s">
        <v>2279</v>
      </c>
      <c r="L592" t="s">
        <v>2279</v>
      </c>
      <c r="M592" t="s">
        <v>2279</v>
      </c>
      <c r="N592" t="s">
        <v>2279</v>
      </c>
      <c r="O592" s="190" t="str">
        <f>"["&amp;$C592&amp;"]["&amp;$D592&amp;"]["&amp;$F592&amp;"]"</f>
        <v>[S06_AccredCertVerifiersAnnexI][6][NumberAccredited]</v>
      </c>
    </row>
    <row r="593" spans="1:15" x14ac:dyDescent="0.3">
      <c r="A593" t="s">
        <v>2277</v>
      </c>
      <c r="B593" t="s">
        <v>1951</v>
      </c>
      <c r="C593" t="s">
        <v>1957</v>
      </c>
      <c r="D593">
        <v>7</v>
      </c>
      <c r="E593" t="s">
        <v>1447</v>
      </c>
      <c r="F593" t="s">
        <v>1959</v>
      </c>
      <c r="G593" t="s">
        <v>1748</v>
      </c>
      <c r="H593" t="s">
        <v>2279</v>
      </c>
      <c r="I593">
        <v>2</v>
      </c>
      <c r="J593" t="s">
        <v>2279</v>
      </c>
      <c r="K593" t="s">
        <v>2279</v>
      </c>
      <c r="L593" t="s">
        <v>2279</v>
      </c>
      <c r="M593" t="s">
        <v>2279</v>
      </c>
      <c r="N593" t="s">
        <v>2279</v>
      </c>
      <c r="O593" s="190" t="str">
        <f>"["&amp;$C593&amp;"]["&amp;$D593&amp;"]["&amp;$F593&amp;"]"</f>
        <v>[S06_AccredCertVerifiersAnnexI][7][NumberAccredited]</v>
      </c>
    </row>
    <row r="594" spans="1:15" x14ac:dyDescent="0.3">
      <c r="A594" t="s">
        <v>2277</v>
      </c>
      <c r="B594" t="s">
        <v>1951</v>
      </c>
      <c r="C594" t="s">
        <v>1957</v>
      </c>
      <c r="D594">
        <v>8</v>
      </c>
      <c r="E594" t="s">
        <v>1447</v>
      </c>
      <c r="F594" t="s">
        <v>1959</v>
      </c>
      <c r="G594" t="s">
        <v>1748</v>
      </c>
      <c r="H594" t="s">
        <v>2279</v>
      </c>
      <c r="I594">
        <v>2</v>
      </c>
      <c r="J594" t="s">
        <v>2279</v>
      </c>
      <c r="K594" t="s">
        <v>2279</v>
      </c>
      <c r="L594" t="s">
        <v>2279</v>
      </c>
      <c r="M594" t="s">
        <v>2279</v>
      </c>
      <c r="N594" t="s">
        <v>2279</v>
      </c>
      <c r="O594" s="190" t="str">
        <f>"["&amp;$C594&amp;"]["&amp;$D594&amp;"]["&amp;$F594&amp;"]"</f>
        <v>[S06_AccredCertVerifiersAnnexI][8][NumberAccredited]</v>
      </c>
    </row>
    <row r="595" spans="1:15" x14ac:dyDescent="0.3">
      <c r="A595" t="s">
        <v>2277</v>
      </c>
      <c r="B595" t="s">
        <v>1951</v>
      </c>
      <c r="C595" t="s">
        <v>1957</v>
      </c>
      <c r="D595">
        <v>9</v>
      </c>
      <c r="E595" t="s">
        <v>1447</v>
      </c>
      <c r="F595" t="s">
        <v>1959</v>
      </c>
      <c r="G595" t="s">
        <v>1748</v>
      </c>
      <c r="H595" t="s">
        <v>2279</v>
      </c>
      <c r="I595">
        <v>2</v>
      </c>
      <c r="J595" t="s">
        <v>2279</v>
      </c>
      <c r="K595" t="s">
        <v>2279</v>
      </c>
      <c r="L595" t="s">
        <v>2279</v>
      </c>
      <c r="M595" t="s">
        <v>2279</v>
      </c>
      <c r="N595" t="s">
        <v>2279</v>
      </c>
      <c r="O595" s="190" t="str">
        <f>"["&amp;$C595&amp;"]["&amp;$D595&amp;"]["&amp;$F595&amp;"]"</f>
        <v>[S06_AccredCertVerifiersAnnexI][9][NumberAccredited]</v>
      </c>
    </row>
    <row r="596" spans="1:15" x14ac:dyDescent="0.3">
      <c r="A596" t="s">
        <v>2277</v>
      </c>
      <c r="B596" t="s">
        <v>1951</v>
      </c>
      <c r="C596" t="s">
        <v>1957</v>
      </c>
      <c r="D596">
        <v>10</v>
      </c>
      <c r="E596" t="s">
        <v>1447</v>
      </c>
      <c r="F596" t="s">
        <v>1959</v>
      </c>
      <c r="G596" t="s">
        <v>1748</v>
      </c>
      <c r="H596" t="s">
        <v>2279</v>
      </c>
      <c r="I596">
        <v>3</v>
      </c>
      <c r="J596" t="s">
        <v>2279</v>
      </c>
      <c r="K596" t="s">
        <v>2279</v>
      </c>
      <c r="L596" t="s">
        <v>2279</v>
      </c>
      <c r="M596" t="s">
        <v>2279</v>
      </c>
      <c r="N596" t="s">
        <v>2279</v>
      </c>
      <c r="O596" s="190" t="str">
        <f>"["&amp;$C596&amp;"]["&amp;$D596&amp;"]["&amp;$F596&amp;"]"</f>
        <v>[S06_AccredCertVerifiersAnnexI][10][NumberAccredited]</v>
      </c>
    </row>
    <row r="597" spans="1:15" x14ac:dyDescent="0.3">
      <c r="A597" t="s">
        <v>2277</v>
      </c>
      <c r="B597" t="s">
        <v>1951</v>
      </c>
      <c r="C597" t="s">
        <v>1957</v>
      </c>
      <c r="D597">
        <v>11</v>
      </c>
      <c r="E597" t="s">
        <v>1447</v>
      </c>
      <c r="F597" t="s">
        <v>1959</v>
      </c>
      <c r="G597" t="s">
        <v>1748</v>
      </c>
      <c r="H597" t="s">
        <v>2279</v>
      </c>
      <c r="I597">
        <v>3</v>
      </c>
      <c r="J597" t="s">
        <v>2279</v>
      </c>
      <c r="K597" t="s">
        <v>2279</v>
      </c>
      <c r="L597" t="s">
        <v>2279</v>
      </c>
      <c r="M597" t="s">
        <v>2279</v>
      </c>
      <c r="N597" t="s">
        <v>2279</v>
      </c>
      <c r="O597" s="190" t="str">
        <f>"["&amp;$C597&amp;"]["&amp;$D597&amp;"]["&amp;$F597&amp;"]"</f>
        <v>[S06_AccredCertVerifiersAnnexI][11][NumberAccredited]</v>
      </c>
    </row>
    <row r="598" spans="1:15" x14ac:dyDescent="0.3">
      <c r="A598" t="s">
        <v>2277</v>
      </c>
      <c r="B598" t="s">
        <v>1951</v>
      </c>
      <c r="C598" t="s">
        <v>1957</v>
      </c>
      <c r="D598">
        <v>12</v>
      </c>
      <c r="E598" t="s">
        <v>1447</v>
      </c>
      <c r="F598" t="s">
        <v>1959</v>
      </c>
      <c r="G598" t="s">
        <v>1748</v>
      </c>
      <c r="H598" t="s">
        <v>2279</v>
      </c>
      <c r="I598">
        <v>3</v>
      </c>
      <c r="J598" t="s">
        <v>2279</v>
      </c>
      <c r="K598" t="s">
        <v>2279</v>
      </c>
      <c r="L598" t="s">
        <v>2279</v>
      </c>
      <c r="M598" t="s">
        <v>2279</v>
      </c>
      <c r="N598" t="s">
        <v>2279</v>
      </c>
      <c r="O598" s="190" t="str">
        <f>"["&amp;$C598&amp;"]["&amp;$D598&amp;"]["&amp;$F598&amp;"]"</f>
        <v>[S06_AccredCertVerifiersAnnexI][12][NumberAccredited]</v>
      </c>
    </row>
    <row r="599" spans="1:15" x14ac:dyDescent="0.3">
      <c r="A599" t="s">
        <v>2277</v>
      </c>
      <c r="B599" t="s">
        <v>1951</v>
      </c>
      <c r="C599" t="s">
        <v>1957</v>
      </c>
      <c r="D599">
        <v>13</v>
      </c>
      <c r="E599" t="s">
        <v>1447</v>
      </c>
      <c r="F599" t="s">
        <v>1959</v>
      </c>
      <c r="G599" t="s">
        <v>1748</v>
      </c>
      <c r="H599" t="s">
        <v>2279</v>
      </c>
      <c r="I599">
        <v>3</v>
      </c>
      <c r="J599" t="s">
        <v>2279</v>
      </c>
      <c r="K599" t="s">
        <v>2279</v>
      </c>
      <c r="L599" t="s">
        <v>2279</v>
      </c>
      <c r="M599" t="s">
        <v>2279</v>
      </c>
      <c r="N599" t="s">
        <v>2279</v>
      </c>
      <c r="O599" s="190" t="str">
        <f>"["&amp;$C599&amp;"]["&amp;$D599&amp;"]["&amp;$F599&amp;"]"</f>
        <v>[S06_AccredCertVerifiersAnnexI][13][NumberAccredited]</v>
      </c>
    </row>
    <row r="600" spans="1:15" x14ac:dyDescent="0.3">
      <c r="A600" t="s">
        <v>2277</v>
      </c>
      <c r="B600" t="s">
        <v>1951</v>
      </c>
      <c r="C600" t="s">
        <v>1957</v>
      </c>
      <c r="D600">
        <v>14</v>
      </c>
      <c r="E600" t="s">
        <v>1447</v>
      </c>
      <c r="F600" t="s">
        <v>1959</v>
      </c>
      <c r="G600" t="s">
        <v>1748</v>
      </c>
      <c r="H600" t="s">
        <v>2279</v>
      </c>
      <c r="I600">
        <v>3</v>
      </c>
      <c r="J600" t="s">
        <v>2279</v>
      </c>
      <c r="K600" t="s">
        <v>2279</v>
      </c>
      <c r="L600" t="s">
        <v>2279</v>
      </c>
      <c r="M600" t="s">
        <v>2279</v>
      </c>
      <c r="N600" t="s">
        <v>2279</v>
      </c>
      <c r="O600" s="190" t="str">
        <f>"["&amp;$C600&amp;"]["&amp;$D600&amp;"]["&amp;$F600&amp;"]"</f>
        <v>[S06_AccredCertVerifiersAnnexI][14][NumberAccredited]</v>
      </c>
    </row>
    <row r="601" spans="1:15" x14ac:dyDescent="0.3">
      <c r="A601" t="s">
        <v>2277</v>
      </c>
      <c r="B601" t="s">
        <v>1951</v>
      </c>
      <c r="C601" t="s">
        <v>1957</v>
      </c>
      <c r="D601">
        <v>15</v>
      </c>
      <c r="E601" t="s">
        <v>1447</v>
      </c>
      <c r="F601" t="s">
        <v>1959</v>
      </c>
      <c r="G601" t="s">
        <v>1748</v>
      </c>
      <c r="H601" t="s">
        <v>2279</v>
      </c>
      <c r="I601">
        <v>3</v>
      </c>
      <c r="J601" t="s">
        <v>2279</v>
      </c>
      <c r="K601" t="s">
        <v>2279</v>
      </c>
      <c r="L601" t="s">
        <v>2279</v>
      </c>
      <c r="M601" t="s">
        <v>2279</v>
      </c>
      <c r="N601" t="s">
        <v>2279</v>
      </c>
      <c r="O601" s="190" t="str">
        <f>"["&amp;$C601&amp;"]["&amp;$D601&amp;"]["&amp;$F601&amp;"]"</f>
        <v>[S06_AccredCertVerifiersAnnexI][15][NumberAccredited]</v>
      </c>
    </row>
    <row r="602" spans="1:15" x14ac:dyDescent="0.3">
      <c r="A602" t="s">
        <v>2277</v>
      </c>
      <c r="B602" t="s">
        <v>1951</v>
      </c>
      <c r="C602" t="s">
        <v>1957</v>
      </c>
      <c r="D602">
        <v>16</v>
      </c>
      <c r="E602" t="s">
        <v>1447</v>
      </c>
      <c r="F602" t="s">
        <v>1959</v>
      </c>
      <c r="G602" t="s">
        <v>1748</v>
      </c>
      <c r="H602" t="s">
        <v>2279</v>
      </c>
      <c r="I602">
        <v>3</v>
      </c>
      <c r="J602" t="s">
        <v>2279</v>
      </c>
      <c r="K602" t="s">
        <v>2279</v>
      </c>
      <c r="L602" t="s">
        <v>2279</v>
      </c>
      <c r="M602" t="s">
        <v>2279</v>
      </c>
      <c r="N602" t="s">
        <v>2279</v>
      </c>
      <c r="O602" s="190" t="str">
        <f>"["&amp;$C602&amp;"]["&amp;$D602&amp;"]["&amp;$F602&amp;"]"</f>
        <v>[S06_AccredCertVerifiersAnnexI][16][NumberAccredited]</v>
      </c>
    </row>
    <row r="603" spans="1:15" x14ac:dyDescent="0.3">
      <c r="A603" t="s">
        <v>2277</v>
      </c>
      <c r="B603" t="s">
        <v>1951</v>
      </c>
      <c r="C603" t="s">
        <v>1957</v>
      </c>
      <c r="D603">
        <v>17</v>
      </c>
      <c r="E603" t="s">
        <v>1447</v>
      </c>
      <c r="F603" t="s">
        <v>1959</v>
      </c>
      <c r="G603" t="s">
        <v>1748</v>
      </c>
      <c r="H603" t="s">
        <v>2279</v>
      </c>
      <c r="I603">
        <v>3</v>
      </c>
      <c r="J603" t="s">
        <v>2279</v>
      </c>
      <c r="K603" t="s">
        <v>2279</v>
      </c>
      <c r="L603" t="s">
        <v>2279</v>
      </c>
      <c r="M603" t="s">
        <v>2279</v>
      </c>
      <c r="N603" t="s">
        <v>2279</v>
      </c>
      <c r="O603" s="190" t="str">
        <f>"["&amp;$C603&amp;"]["&amp;$D603&amp;"]["&amp;$F603&amp;"]"</f>
        <v>[S06_AccredCertVerifiersAnnexI][17][NumberAccredited]</v>
      </c>
    </row>
    <row r="604" spans="1:15" x14ac:dyDescent="0.3">
      <c r="A604" t="s">
        <v>2277</v>
      </c>
      <c r="B604" t="s">
        <v>1951</v>
      </c>
      <c r="C604" t="s">
        <v>1957</v>
      </c>
      <c r="D604">
        <v>18</v>
      </c>
      <c r="E604" t="s">
        <v>1447</v>
      </c>
      <c r="F604" t="s">
        <v>1959</v>
      </c>
      <c r="G604" t="s">
        <v>1748</v>
      </c>
      <c r="H604" t="s">
        <v>2279</v>
      </c>
      <c r="I604">
        <v>3</v>
      </c>
      <c r="J604" t="s">
        <v>2279</v>
      </c>
      <c r="K604" t="s">
        <v>2279</v>
      </c>
      <c r="L604" t="s">
        <v>2279</v>
      </c>
      <c r="M604" t="s">
        <v>2279</v>
      </c>
      <c r="N604" t="s">
        <v>2279</v>
      </c>
      <c r="O604" s="190" t="str">
        <f>"["&amp;$C604&amp;"]["&amp;$D604&amp;"]["&amp;$F604&amp;"]"</f>
        <v>[S06_AccredCertVerifiersAnnexI][18][NumberAccredited]</v>
      </c>
    </row>
    <row r="605" spans="1:15" x14ac:dyDescent="0.3">
      <c r="A605" t="s">
        <v>2277</v>
      </c>
      <c r="B605" t="s">
        <v>1951</v>
      </c>
      <c r="C605" t="s">
        <v>1957</v>
      </c>
      <c r="D605">
        <v>19</v>
      </c>
      <c r="E605" t="s">
        <v>1447</v>
      </c>
      <c r="F605" t="s">
        <v>1959</v>
      </c>
      <c r="G605" t="s">
        <v>1748</v>
      </c>
      <c r="H605" t="s">
        <v>2279</v>
      </c>
      <c r="I605">
        <v>3</v>
      </c>
      <c r="J605" t="s">
        <v>2279</v>
      </c>
      <c r="K605" t="s">
        <v>2279</v>
      </c>
      <c r="L605" t="s">
        <v>2279</v>
      </c>
      <c r="M605" t="s">
        <v>2279</v>
      </c>
      <c r="N605" t="s">
        <v>2279</v>
      </c>
      <c r="O605" s="190" t="str">
        <f>"["&amp;$C605&amp;"]["&amp;$D605&amp;"]["&amp;$F605&amp;"]"</f>
        <v>[S06_AccredCertVerifiersAnnexI][19][NumberAccredited]</v>
      </c>
    </row>
    <row r="606" spans="1:15" x14ac:dyDescent="0.3">
      <c r="A606" t="s">
        <v>2277</v>
      </c>
      <c r="B606" t="s">
        <v>1951</v>
      </c>
      <c r="C606" t="s">
        <v>1957</v>
      </c>
      <c r="D606">
        <v>20</v>
      </c>
      <c r="E606" t="s">
        <v>1447</v>
      </c>
      <c r="F606" t="s">
        <v>1959</v>
      </c>
      <c r="G606" t="s">
        <v>1748</v>
      </c>
      <c r="H606" t="s">
        <v>2279</v>
      </c>
      <c r="I606">
        <v>3</v>
      </c>
      <c r="J606" t="s">
        <v>2279</v>
      </c>
      <c r="K606" t="s">
        <v>2279</v>
      </c>
      <c r="L606" t="s">
        <v>2279</v>
      </c>
      <c r="M606" t="s">
        <v>2279</v>
      </c>
      <c r="N606" t="s">
        <v>2279</v>
      </c>
      <c r="O606" s="190" t="str">
        <f>"["&amp;$C606&amp;"]["&amp;$D606&amp;"]["&amp;$F606&amp;"]"</f>
        <v>[S06_AccredCertVerifiersAnnexI][20][NumberAccredited]</v>
      </c>
    </row>
    <row r="607" spans="1:15" x14ac:dyDescent="0.3">
      <c r="A607" t="s">
        <v>2277</v>
      </c>
      <c r="B607" t="s">
        <v>1951</v>
      </c>
      <c r="C607" t="s">
        <v>1957</v>
      </c>
      <c r="D607">
        <v>21</v>
      </c>
      <c r="E607" t="s">
        <v>1447</v>
      </c>
      <c r="F607" t="s">
        <v>1959</v>
      </c>
      <c r="G607" t="s">
        <v>1748</v>
      </c>
      <c r="H607" t="s">
        <v>2279</v>
      </c>
      <c r="I607">
        <v>3</v>
      </c>
      <c r="J607" t="s">
        <v>2279</v>
      </c>
      <c r="K607" t="s">
        <v>2279</v>
      </c>
      <c r="L607" t="s">
        <v>2279</v>
      </c>
      <c r="M607" t="s">
        <v>2279</v>
      </c>
      <c r="N607" t="s">
        <v>2279</v>
      </c>
      <c r="O607" s="190" t="str">
        <f>"["&amp;$C607&amp;"]["&amp;$D607&amp;"]["&amp;$F607&amp;"]"</f>
        <v>[S06_AccredCertVerifiersAnnexI][21][NumberAccredited]</v>
      </c>
    </row>
    <row r="608" spans="1:15" x14ac:dyDescent="0.3">
      <c r="A608" t="s">
        <v>2277</v>
      </c>
      <c r="B608" t="s">
        <v>1951</v>
      </c>
      <c r="C608" t="s">
        <v>1957</v>
      </c>
      <c r="D608">
        <v>22</v>
      </c>
      <c r="E608" t="s">
        <v>1447</v>
      </c>
      <c r="F608" t="s">
        <v>1959</v>
      </c>
      <c r="G608" t="s">
        <v>1748</v>
      </c>
      <c r="H608" t="s">
        <v>2279</v>
      </c>
      <c r="I608">
        <v>2</v>
      </c>
      <c r="J608" t="s">
        <v>2279</v>
      </c>
      <c r="K608" t="s">
        <v>2279</v>
      </c>
      <c r="L608" t="s">
        <v>2279</v>
      </c>
      <c r="M608" t="s">
        <v>2279</v>
      </c>
      <c r="N608" t="s">
        <v>2279</v>
      </c>
      <c r="O608" s="190" t="str">
        <f>"["&amp;$C608&amp;"]["&amp;$D608&amp;"]["&amp;$F608&amp;"]"</f>
        <v>[S06_AccredCertVerifiersAnnexI][22][NumberAccredited]</v>
      </c>
    </row>
    <row r="609" spans="1:15" x14ac:dyDescent="0.3">
      <c r="A609" t="s">
        <v>2277</v>
      </c>
      <c r="B609" t="s">
        <v>1951</v>
      </c>
      <c r="C609" t="s">
        <v>1957</v>
      </c>
      <c r="D609">
        <v>23</v>
      </c>
      <c r="E609" t="s">
        <v>1447</v>
      </c>
      <c r="F609" t="s">
        <v>1959</v>
      </c>
      <c r="G609" t="s">
        <v>1748</v>
      </c>
      <c r="H609" t="s">
        <v>2279</v>
      </c>
      <c r="I609">
        <v>3</v>
      </c>
      <c r="J609" t="s">
        <v>2279</v>
      </c>
      <c r="K609" t="s">
        <v>2279</v>
      </c>
      <c r="L609" t="s">
        <v>2279</v>
      </c>
      <c r="M609" t="s">
        <v>2279</v>
      </c>
      <c r="N609" t="s">
        <v>2279</v>
      </c>
      <c r="O609" s="190" t="str">
        <f>"["&amp;$C609&amp;"]["&amp;$D609&amp;"]["&amp;$F609&amp;"]"</f>
        <v>[S06_AccredCertVerifiersAnnexI][23][NumberAccredited]</v>
      </c>
    </row>
    <row r="610" spans="1:15" x14ac:dyDescent="0.3">
      <c r="A610" t="s">
        <v>2277</v>
      </c>
      <c r="B610" t="s">
        <v>1961</v>
      </c>
      <c r="C610" t="s">
        <v>1962</v>
      </c>
      <c r="D610">
        <v>1</v>
      </c>
      <c r="E610" t="s">
        <v>1447</v>
      </c>
      <c r="F610" t="s">
        <v>1963</v>
      </c>
      <c r="G610" t="s">
        <v>1759</v>
      </c>
      <c r="H610" t="s">
        <v>2279</v>
      </c>
      <c r="I610" t="s">
        <v>2279</v>
      </c>
      <c r="J610" t="s">
        <v>2279</v>
      </c>
      <c r="K610" t="s">
        <v>2279</v>
      </c>
      <c r="L610" t="s">
        <v>1419</v>
      </c>
      <c r="M610" t="s">
        <v>2279</v>
      </c>
      <c r="N610" t="s">
        <v>2279</v>
      </c>
      <c r="O610" s="190" t="str">
        <f>"["&amp;$C610&amp;"]["&amp;$D610&amp;"]["&amp;$F610&amp;"]"</f>
        <v>[S06_ApplicationInformationExchangeRequirements1][1][FromOwnMS]</v>
      </c>
    </row>
    <row r="611" spans="1:15" x14ac:dyDescent="0.3">
      <c r="A611" t="s">
        <v>2277</v>
      </c>
      <c r="B611" t="s">
        <v>1961</v>
      </c>
      <c r="C611" t="s">
        <v>1962</v>
      </c>
      <c r="D611">
        <v>1</v>
      </c>
      <c r="E611" t="s">
        <v>1447</v>
      </c>
      <c r="F611" t="s">
        <v>1964</v>
      </c>
      <c r="G611" t="s">
        <v>1759</v>
      </c>
      <c r="H611" t="s">
        <v>2279</v>
      </c>
      <c r="I611" t="s">
        <v>2279</v>
      </c>
      <c r="J611" t="s">
        <v>2279</v>
      </c>
      <c r="K611" t="s">
        <v>2279</v>
      </c>
      <c r="L611" t="s">
        <v>1477</v>
      </c>
      <c r="M611" t="s">
        <v>2279</v>
      </c>
      <c r="N611" t="s">
        <v>2279</v>
      </c>
      <c r="O611" s="190" t="str">
        <f>"["&amp;$C611&amp;"]["&amp;$D611&amp;"]["&amp;$F611&amp;"]"</f>
        <v>[S06_ApplicationInformationExchangeRequirements1][1][FromOtherMS]</v>
      </c>
    </row>
    <row r="612" spans="1:15" x14ac:dyDescent="0.3">
      <c r="A612" t="s">
        <v>2277</v>
      </c>
      <c r="B612" t="s">
        <v>1961</v>
      </c>
      <c r="C612" t="s">
        <v>1962</v>
      </c>
      <c r="D612">
        <v>2</v>
      </c>
      <c r="E612" t="s">
        <v>1447</v>
      </c>
      <c r="F612" t="s">
        <v>1963</v>
      </c>
      <c r="G612" t="s">
        <v>1759</v>
      </c>
      <c r="H612" t="s">
        <v>2279</v>
      </c>
      <c r="I612" t="s">
        <v>2279</v>
      </c>
      <c r="J612" t="s">
        <v>2279</v>
      </c>
      <c r="K612" t="s">
        <v>2279</v>
      </c>
      <c r="L612" t="s">
        <v>1419</v>
      </c>
      <c r="M612" t="s">
        <v>2279</v>
      </c>
      <c r="N612" t="s">
        <v>2279</v>
      </c>
      <c r="O612" s="190" t="str">
        <f>"["&amp;$C612&amp;"]["&amp;$D612&amp;"]["&amp;$F612&amp;"]"</f>
        <v>[S06_ApplicationInformationExchangeRequirements1][2][FromOwnMS]</v>
      </c>
    </row>
    <row r="613" spans="1:15" x14ac:dyDescent="0.3">
      <c r="A613" t="s">
        <v>2277</v>
      </c>
      <c r="B613" t="s">
        <v>1961</v>
      </c>
      <c r="C613" t="s">
        <v>1962</v>
      </c>
      <c r="D613">
        <v>2</v>
      </c>
      <c r="E613" t="s">
        <v>1447</v>
      </c>
      <c r="F613" t="s">
        <v>1964</v>
      </c>
      <c r="G613" t="s">
        <v>1759</v>
      </c>
      <c r="H613" t="s">
        <v>2279</v>
      </c>
      <c r="I613" t="s">
        <v>2279</v>
      </c>
      <c r="J613" t="s">
        <v>2279</v>
      </c>
      <c r="K613" t="s">
        <v>2279</v>
      </c>
      <c r="L613" t="s">
        <v>1477</v>
      </c>
      <c r="M613" t="s">
        <v>2279</v>
      </c>
      <c r="N613" t="s">
        <v>2279</v>
      </c>
      <c r="O613" s="190" t="str">
        <f>"["&amp;$C613&amp;"]["&amp;$D613&amp;"]["&amp;$F613&amp;"]"</f>
        <v>[S06_ApplicationInformationExchangeRequirements1][2][FromOtherMS]</v>
      </c>
    </row>
    <row r="614" spans="1:15" x14ac:dyDescent="0.3">
      <c r="A614" t="s">
        <v>2277</v>
      </c>
      <c r="B614" t="s">
        <v>1961</v>
      </c>
      <c r="C614" t="s">
        <v>1962</v>
      </c>
      <c r="D614">
        <v>3</v>
      </c>
      <c r="E614" t="s">
        <v>1447</v>
      </c>
      <c r="F614" t="s">
        <v>1963</v>
      </c>
      <c r="G614" t="s">
        <v>1759</v>
      </c>
      <c r="H614" t="s">
        <v>2279</v>
      </c>
      <c r="I614" t="s">
        <v>2279</v>
      </c>
      <c r="J614" t="s">
        <v>2279</v>
      </c>
      <c r="K614" t="s">
        <v>2279</v>
      </c>
      <c r="L614" t="s">
        <v>1419</v>
      </c>
      <c r="M614" t="s">
        <v>2279</v>
      </c>
      <c r="N614" t="s">
        <v>2279</v>
      </c>
      <c r="O614" s="190" t="str">
        <f>"["&amp;$C614&amp;"]["&amp;$D614&amp;"]["&amp;$F614&amp;"]"</f>
        <v>[S06_ApplicationInformationExchangeRequirements1][3][FromOwnMS]</v>
      </c>
    </row>
    <row r="615" spans="1:15" x14ac:dyDescent="0.3">
      <c r="A615" t="s">
        <v>2277</v>
      </c>
      <c r="B615" t="s">
        <v>1961</v>
      </c>
      <c r="C615" t="s">
        <v>1962</v>
      </c>
      <c r="D615">
        <v>3</v>
      </c>
      <c r="E615" t="s">
        <v>1447</v>
      </c>
      <c r="F615" t="s">
        <v>1964</v>
      </c>
      <c r="G615" t="s">
        <v>1759</v>
      </c>
      <c r="H615" t="s">
        <v>2279</v>
      </c>
      <c r="I615" t="s">
        <v>2279</v>
      </c>
      <c r="J615" t="s">
        <v>2279</v>
      </c>
      <c r="K615" t="s">
        <v>2279</v>
      </c>
      <c r="L615" t="s">
        <v>1419</v>
      </c>
      <c r="M615" t="s">
        <v>2279</v>
      </c>
      <c r="N615" t="s">
        <v>2279</v>
      </c>
      <c r="O615" s="190" t="str">
        <f>"["&amp;$C615&amp;"]["&amp;$D615&amp;"]["&amp;$F615&amp;"]"</f>
        <v>[S06_ApplicationInformationExchangeRequirements1][3][FromOtherMS]</v>
      </c>
    </row>
    <row r="616" spans="1:15" x14ac:dyDescent="0.3">
      <c r="A616" t="s">
        <v>2277</v>
      </c>
      <c r="B616" t="s">
        <v>1961</v>
      </c>
      <c r="C616" t="s">
        <v>1965</v>
      </c>
      <c r="D616">
        <v>1</v>
      </c>
      <c r="E616" t="s">
        <v>1447</v>
      </c>
      <c r="F616" t="s">
        <v>1966</v>
      </c>
      <c r="G616" t="s">
        <v>1748</v>
      </c>
      <c r="H616" t="s">
        <v>2279</v>
      </c>
      <c r="I616">
        <v>0</v>
      </c>
      <c r="J616" t="s">
        <v>2279</v>
      </c>
      <c r="K616" t="s">
        <v>2279</v>
      </c>
      <c r="L616" t="s">
        <v>2279</v>
      </c>
      <c r="M616" t="s">
        <v>2279</v>
      </c>
      <c r="N616" t="s">
        <v>2279</v>
      </c>
      <c r="O616" s="190" t="str">
        <f>"["&amp;$C616&amp;"]["&amp;$D616&amp;"]["&amp;$F616&amp;"]"</f>
        <v>[S06_ApplicationInformationExchangeRequirements2][1][NumberImposedOnVerifiersSuspension]</v>
      </c>
    </row>
    <row r="617" spans="1:15" x14ac:dyDescent="0.3">
      <c r="A617" t="s">
        <v>2277</v>
      </c>
      <c r="B617" t="s">
        <v>1961</v>
      </c>
      <c r="C617" t="s">
        <v>1965</v>
      </c>
      <c r="D617">
        <v>1</v>
      </c>
      <c r="E617" t="s">
        <v>1447</v>
      </c>
      <c r="F617" t="s">
        <v>1967</v>
      </c>
      <c r="G617" t="s">
        <v>1748</v>
      </c>
      <c r="H617" t="s">
        <v>2279</v>
      </c>
      <c r="I617">
        <v>0</v>
      </c>
      <c r="J617" t="s">
        <v>2279</v>
      </c>
      <c r="K617" t="s">
        <v>2279</v>
      </c>
      <c r="L617" t="s">
        <v>2279</v>
      </c>
      <c r="M617" t="s">
        <v>2279</v>
      </c>
      <c r="N617" t="s">
        <v>2279</v>
      </c>
      <c r="O617" s="190" t="str">
        <f>"["&amp;$C617&amp;"]["&amp;$D617&amp;"]["&amp;$F617&amp;"]"</f>
        <v>[S06_ApplicationInformationExchangeRequirements2][1][NumberImposedOnVerifiersWithdrawal]</v>
      </c>
    </row>
    <row r="618" spans="1:15" x14ac:dyDescent="0.3">
      <c r="A618" t="s">
        <v>2277</v>
      </c>
      <c r="B618" t="s">
        <v>1961</v>
      </c>
      <c r="C618" t="s">
        <v>1965</v>
      </c>
      <c r="D618">
        <v>1</v>
      </c>
      <c r="E618" t="s">
        <v>1447</v>
      </c>
      <c r="F618" t="s">
        <v>1968</v>
      </c>
      <c r="G618" t="s">
        <v>1748</v>
      </c>
      <c r="H618" t="s">
        <v>2279</v>
      </c>
      <c r="I618">
        <v>0</v>
      </c>
      <c r="J618" t="s">
        <v>2279</v>
      </c>
      <c r="K618" t="s">
        <v>2279</v>
      </c>
      <c r="L618" t="s">
        <v>2279</v>
      </c>
      <c r="M618" t="s">
        <v>2279</v>
      </c>
      <c r="N618" t="s">
        <v>2279</v>
      </c>
      <c r="O618" s="190" t="str">
        <f>"["&amp;$C618&amp;"]["&amp;$D618&amp;"]["&amp;$F618&amp;"]"</f>
        <v>[S06_ApplicationInformationExchangeRequirements2][1][NumberImposedOnVerifiersReductionOfScope]</v>
      </c>
    </row>
    <row r="619" spans="1:15" x14ac:dyDescent="0.3">
      <c r="A619" t="s">
        <v>2277</v>
      </c>
      <c r="B619" t="s">
        <v>1961</v>
      </c>
      <c r="C619" t="s">
        <v>1969</v>
      </c>
      <c r="D619">
        <v>0</v>
      </c>
      <c r="E619" t="s">
        <v>1447</v>
      </c>
      <c r="F619" t="s">
        <v>1970</v>
      </c>
      <c r="G619" t="s">
        <v>1748</v>
      </c>
      <c r="H619" t="s">
        <v>2279</v>
      </c>
      <c r="I619">
        <v>0</v>
      </c>
      <c r="J619" t="s">
        <v>2279</v>
      </c>
      <c r="K619" t="s">
        <v>2279</v>
      </c>
      <c r="L619" t="s">
        <v>2279</v>
      </c>
      <c r="M619" t="s">
        <v>2279</v>
      </c>
      <c r="N619" t="s">
        <v>2279</v>
      </c>
      <c r="O619" s="190" t="str">
        <f>"["&amp;$C619&amp;"]["&amp;$D619&amp;"]["&amp;$F619&amp;"]"</f>
        <v>[S06_ApplicationInformationExchangeRequirements3][0][TimesSurveillanceRequested]</v>
      </c>
    </row>
    <row r="620" spans="1:15" x14ac:dyDescent="0.3">
      <c r="A620" t="s">
        <v>2277</v>
      </c>
      <c r="B620" t="s">
        <v>1961</v>
      </c>
      <c r="C620" t="s">
        <v>1971</v>
      </c>
      <c r="D620">
        <v>1</v>
      </c>
      <c r="E620" t="s">
        <v>1447</v>
      </c>
      <c r="F620" t="s">
        <v>1972</v>
      </c>
      <c r="G620" t="s">
        <v>1748</v>
      </c>
      <c r="H620" t="s">
        <v>2279</v>
      </c>
      <c r="I620">
        <v>0</v>
      </c>
      <c r="J620" t="s">
        <v>2279</v>
      </c>
      <c r="K620" t="s">
        <v>2279</v>
      </c>
      <c r="L620" t="s">
        <v>2279</v>
      </c>
      <c r="M620" t="s">
        <v>2279</v>
      </c>
      <c r="N620" t="s">
        <v>2279</v>
      </c>
      <c r="O620" s="190" t="str">
        <f>"["&amp;$C620&amp;"]["&amp;$D620&amp;"]["&amp;$F620&amp;"]"</f>
        <v>[S06_ApplicationInformationExchangeRequirements4][1][NumberOfIssues]</v>
      </c>
    </row>
    <row r="621" spans="1:15" x14ac:dyDescent="0.3">
      <c r="A621" t="s">
        <v>2277</v>
      </c>
      <c r="B621" t="s">
        <v>1961</v>
      </c>
      <c r="C621" t="s">
        <v>1971</v>
      </c>
      <c r="D621">
        <v>3</v>
      </c>
      <c r="E621" t="s">
        <v>1447</v>
      </c>
      <c r="F621" t="s">
        <v>1972</v>
      </c>
      <c r="G621" t="s">
        <v>1748</v>
      </c>
      <c r="H621" t="s">
        <v>2279</v>
      </c>
      <c r="I621">
        <v>0</v>
      </c>
      <c r="J621" t="s">
        <v>2279</v>
      </c>
      <c r="K621" t="s">
        <v>2279</v>
      </c>
      <c r="L621" t="s">
        <v>2279</v>
      </c>
      <c r="M621" t="s">
        <v>2279</v>
      </c>
      <c r="N621" t="s">
        <v>2279</v>
      </c>
      <c r="O621" s="190" t="str">
        <f>"["&amp;$C621&amp;"]["&amp;$D621&amp;"]["&amp;$F621&amp;"]"</f>
        <v>[S06_ApplicationInformationExchangeRequirements4][3][NumberOfIssues]</v>
      </c>
    </row>
    <row r="622" spans="1:15" x14ac:dyDescent="0.3">
      <c r="A622" t="s">
        <v>2277</v>
      </c>
      <c r="B622" t="s">
        <v>1975</v>
      </c>
      <c r="C622" t="s">
        <v>1983</v>
      </c>
      <c r="D622">
        <v>1</v>
      </c>
      <c r="E622" t="s">
        <v>1447</v>
      </c>
      <c r="F622" t="s">
        <v>1984</v>
      </c>
      <c r="G622" t="s">
        <v>1748</v>
      </c>
      <c r="H622" t="s">
        <v>2279</v>
      </c>
      <c r="I622">
        <v>1</v>
      </c>
      <c r="J622" t="s">
        <v>2279</v>
      </c>
      <c r="K622" t="s">
        <v>2279</v>
      </c>
      <c r="L622" t="s">
        <v>2279</v>
      </c>
      <c r="M622" t="s">
        <v>2279</v>
      </c>
      <c r="N622" t="s">
        <v>2279</v>
      </c>
      <c r="O622" s="190" t="str">
        <f>"["&amp;$C622&amp;"]["&amp;$D622&amp;"]["&amp;$F622&amp;"]"</f>
        <v>[S06_NegativeOpinionInstallations][1][CountNegativeOpinions]</v>
      </c>
    </row>
    <row r="623" spans="1:15" x14ac:dyDescent="0.3">
      <c r="A623" t="s">
        <v>2277</v>
      </c>
      <c r="B623" t="s">
        <v>1975</v>
      </c>
      <c r="C623" t="s">
        <v>1983</v>
      </c>
      <c r="D623">
        <v>2</v>
      </c>
      <c r="E623" t="s">
        <v>1447</v>
      </c>
      <c r="F623" t="s">
        <v>1984</v>
      </c>
      <c r="G623" t="s">
        <v>1748</v>
      </c>
      <c r="H623" t="s">
        <v>2279</v>
      </c>
      <c r="I623">
        <v>0</v>
      </c>
      <c r="J623" t="s">
        <v>2279</v>
      </c>
      <c r="K623" t="s">
        <v>2279</v>
      </c>
      <c r="L623" t="s">
        <v>2279</v>
      </c>
      <c r="M623" t="s">
        <v>2279</v>
      </c>
      <c r="N623" t="s">
        <v>2279</v>
      </c>
      <c r="O623" s="190" t="str">
        <f>"["&amp;$C623&amp;"]["&amp;$D623&amp;"]["&amp;$F623&amp;"]"</f>
        <v>[S06_NegativeOpinionInstallations][2][CountNegativeOpinions]</v>
      </c>
    </row>
    <row r="624" spans="1:15" x14ac:dyDescent="0.3">
      <c r="A624" t="s">
        <v>2277</v>
      </c>
      <c r="B624" t="s">
        <v>1975</v>
      </c>
      <c r="C624" t="s">
        <v>1983</v>
      </c>
      <c r="D624">
        <v>3</v>
      </c>
      <c r="E624" t="s">
        <v>1447</v>
      </c>
      <c r="F624" t="s">
        <v>1984</v>
      </c>
      <c r="G624" t="s">
        <v>1748</v>
      </c>
      <c r="H624" t="s">
        <v>2279</v>
      </c>
      <c r="I624">
        <v>0</v>
      </c>
      <c r="J624" t="s">
        <v>2279</v>
      </c>
      <c r="K624" t="s">
        <v>2279</v>
      </c>
      <c r="L624" t="s">
        <v>2279</v>
      </c>
      <c r="M624" t="s">
        <v>2279</v>
      </c>
      <c r="N624" t="s">
        <v>2279</v>
      </c>
      <c r="O624" s="190" t="str">
        <f>"["&amp;$C624&amp;"]["&amp;$D624&amp;"]["&amp;$F624&amp;"]"</f>
        <v>[S06_NegativeOpinionInstallations][3][CountNegativeOpinions]</v>
      </c>
    </row>
    <row r="625" spans="1:15" x14ac:dyDescent="0.3">
      <c r="A625" t="s">
        <v>2277</v>
      </c>
      <c r="B625" t="s">
        <v>1975</v>
      </c>
      <c r="C625" t="s">
        <v>1983</v>
      </c>
      <c r="D625">
        <v>4</v>
      </c>
      <c r="E625" t="s">
        <v>1447</v>
      </c>
      <c r="F625" t="s">
        <v>1984</v>
      </c>
      <c r="G625" t="s">
        <v>1748</v>
      </c>
      <c r="H625" t="s">
        <v>2279</v>
      </c>
      <c r="I625">
        <v>0</v>
      </c>
      <c r="J625" t="s">
        <v>2279</v>
      </c>
      <c r="K625" t="s">
        <v>2279</v>
      </c>
      <c r="L625" t="s">
        <v>2279</v>
      </c>
      <c r="M625" t="s">
        <v>2279</v>
      </c>
      <c r="N625" t="s">
        <v>2279</v>
      </c>
      <c r="O625" s="190" t="str">
        <f>"["&amp;$C625&amp;"]["&amp;$D625&amp;"]["&amp;$F625&amp;"]"</f>
        <v>[S06_NegativeOpinionInstallations][4][CountNegativeOpinions]</v>
      </c>
    </row>
    <row r="626" spans="1:15" x14ac:dyDescent="0.3">
      <c r="A626" t="s">
        <v>2277</v>
      </c>
      <c r="B626" t="s">
        <v>1985</v>
      </c>
      <c r="C626" t="s">
        <v>1987</v>
      </c>
      <c r="D626">
        <v>1</v>
      </c>
      <c r="E626" t="s">
        <v>1447</v>
      </c>
      <c r="F626" t="s">
        <v>1988</v>
      </c>
      <c r="G626" t="s">
        <v>1737</v>
      </c>
      <c r="H626" t="s">
        <v>2279</v>
      </c>
      <c r="I626" t="s">
        <v>2279</v>
      </c>
      <c r="J626" t="s">
        <v>2279</v>
      </c>
      <c r="K626" t="s">
        <v>2279</v>
      </c>
      <c r="L626" t="s">
        <v>1420</v>
      </c>
      <c r="M626" t="s">
        <v>2279</v>
      </c>
      <c r="N626" t="s">
        <v>2279</v>
      </c>
      <c r="O626" s="190" t="str">
        <f>"["&amp;$C626&amp;"]["&amp;$D626&amp;"]["&amp;$F626&amp;"]"</f>
        <v>[S06_InstallationsVerificationReportsIssueDetail][1][AnnexIActivity]</v>
      </c>
    </row>
    <row r="627" spans="1:15" x14ac:dyDescent="0.3">
      <c r="A627" t="s">
        <v>2277</v>
      </c>
      <c r="B627" t="s">
        <v>1985</v>
      </c>
      <c r="C627" t="s">
        <v>1987</v>
      </c>
      <c r="D627">
        <v>2</v>
      </c>
      <c r="E627" t="s">
        <v>1447</v>
      </c>
      <c r="F627" t="s">
        <v>1988</v>
      </c>
      <c r="G627" t="s">
        <v>1737</v>
      </c>
      <c r="H627" t="s">
        <v>2279</v>
      </c>
      <c r="I627" t="s">
        <v>2279</v>
      </c>
      <c r="J627" t="s">
        <v>2279</v>
      </c>
      <c r="K627" t="s">
        <v>2279</v>
      </c>
      <c r="L627" t="s">
        <v>1420</v>
      </c>
      <c r="M627" t="s">
        <v>2279</v>
      </c>
      <c r="N627" t="s">
        <v>2279</v>
      </c>
      <c r="O627" s="190" t="str">
        <f>"["&amp;$C627&amp;"]["&amp;$D627&amp;"]["&amp;$F627&amp;"]"</f>
        <v>[S06_InstallationsVerificationReportsIssueDetail][2][AnnexIActivity]</v>
      </c>
    </row>
    <row r="628" spans="1:15" x14ac:dyDescent="0.3">
      <c r="A628" t="s">
        <v>2277</v>
      </c>
      <c r="B628" t="s">
        <v>1985</v>
      </c>
      <c r="C628" t="s">
        <v>1987</v>
      </c>
      <c r="D628">
        <v>3</v>
      </c>
      <c r="E628" t="s">
        <v>1447</v>
      </c>
      <c r="F628" t="s">
        <v>1988</v>
      </c>
      <c r="G628" t="s">
        <v>1737</v>
      </c>
      <c r="H628" t="s">
        <v>2279</v>
      </c>
      <c r="I628" t="s">
        <v>2279</v>
      </c>
      <c r="J628" t="s">
        <v>2279</v>
      </c>
      <c r="K628" t="s">
        <v>2279</v>
      </c>
      <c r="L628" t="s">
        <v>1420</v>
      </c>
      <c r="M628" t="s">
        <v>2279</v>
      </c>
      <c r="N628" t="s">
        <v>2279</v>
      </c>
      <c r="O628" s="190" t="str">
        <f>"["&amp;$C628&amp;"]["&amp;$D628&amp;"]["&amp;$F628&amp;"]"</f>
        <v>[S06_InstallationsVerificationReportsIssueDetail][3][AnnexIActivity]</v>
      </c>
    </row>
    <row r="629" spans="1:15" x14ac:dyDescent="0.3">
      <c r="A629" t="s">
        <v>2277</v>
      </c>
      <c r="B629" t="s">
        <v>1985</v>
      </c>
      <c r="C629" t="s">
        <v>1987</v>
      </c>
      <c r="D629">
        <v>4</v>
      </c>
      <c r="E629" t="s">
        <v>1447</v>
      </c>
      <c r="F629" t="s">
        <v>1988</v>
      </c>
      <c r="G629" t="s">
        <v>1737</v>
      </c>
      <c r="H629" t="s">
        <v>2279</v>
      </c>
      <c r="I629" t="s">
        <v>2279</v>
      </c>
      <c r="J629" t="s">
        <v>2279</v>
      </c>
      <c r="K629" t="s">
        <v>2279</v>
      </c>
      <c r="L629" t="s">
        <v>1420</v>
      </c>
      <c r="M629" t="s">
        <v>2279</v>
      </c>
      <c r="N629" t="s">
        <v>2279</v>
      </c>
      <c r="O629" s="190" t="str">
        <f>"["&amp;$C629&amp;"]["&amp;$D629&amp;"]["&amp;$F629&amp;"]"</f>
        <v>[S06_InstallationsVerificationReportsIssueDetail][4][AnnexIActivity]</v>
      </c>
    </row>
    <row r="630" spans="1:15" x14ac:dyDescent="0.3">
      <c r="A630" t="s">
        <v>2277</v>
      </c>
      <c r="B630" t="s">
        <v>1985</v>
      </c>
      <c r="C630" t="s">
        <v>1987</v>
      </c>
      <c r="D630">
        <v>5</v>
      </c>
      <c r="E630" t="s">
        <v>1447</v>
      </c>
      <c r="F630" t="s">
        <v>1988</v>
      </c>
      <c r="G630" t="s">
        <v>1737</v>
      </c>
      <c r="H630" t="s">
        <v>2279</v>
      </c>
      <c r="I630" t="s">
        <v>2279</v>
      </c>
      <c r="J630" t="s">
        <v>2279</v>
      </c>
      <c r="K630" t="s">
        <v>2279</v>
      </c>
      <c r="L630" t="s">
        <v>1577</v>
      </c>
      <c r="M630" t="s">
        <v>2279</v>
      </c>
      <c r="N630" t="s">
        <v>2279</v>
      </c>
      <c r="O630" s="190" t="str">
        <f>"["&amp;$C630&amp;"]["&amp;$D630&amp;"]["&amp;$F630&amp;"]"</f>
        <v>[S06_InstallationsVerificationReportsIssueDetail][5][AnnexIActivity]</v>
      </c>
    </row>
    <row r="631" spans="1:15" x14ac:dyDescent="0.3">
      <c r="A631" t="s">
        <v>2277</v>
      </c>
      <c r="B631" t="s">
        <v>1985</v>
      </c>
      <c r="C631" t="s">
        <v>1987</v>
      </c>
      <c r="D631">
        <v>6</v>
      </c>
      <c r="E631" t="s">
        <v>1447</v>
      </c>
      <c r="F631" t="s">
        <v>1988</v>
      </c>
      <c r="G631" t="s">
        <v>1737</v>
      </c>
      <c r="H631" t="s">
        <v>2279</v>
      </c>
      <c r="I631" t="s">
        <v>2279</v>
      </c>
      <c r="J631" t="s">
        <v>2279</v>
      </c>
      <c r="K631" t="s">
        <v>2279</v>
      </c>
      <c r="L631" t="s">
        <v>1577</v>
      </c>
      <c r="M631" t="s">
        <v>2279</v>
      </c>
      <c r="N631" t="s">
        <v>2279</v>
      </c>
      <c r="O631" s="190" t="str">
        <f>"["&amp;$C631&amp;"]["&amp;$D631&amp;"]["&amp;$F631&amp;"]"</f>
        <v>[S06_InstallationsVerificationReportsIssueDetail][6][AnnexIActivity]</v>
      </c>
    </row>
    <row r="632" spans="1:15" x14ac:dyDescent="0.3">
      <c r="A632" t="s">
        <v>2277</v>
      </c>
      <c r="B632" t="s">
        <v>1985</v>
      </c>
      <c r="C632" t="s">
        <v>1987</v>
      </c>
      <c r="D632">
        <v>7</v>
      </c>
      <c r="E632" t="s">
        <v>1447</v>
      </c>
      <c r="F632" t="s">
        <v>1988</v>
      </c>
      <c r="G632" t="s">
        <v>1737</v>
      </c>
      <c r="H632" t="s">
        <v>2279</v>
      </c>
      <c r="I632" t="s">
        <v>2279</v>
      </c>
      <c r="J632" t="s">
        <v>2279</v>
      </c>
      <c r="K632" t="s">
        <v>2279</v>
      </c>
      <c r="L632" t="s">
        <v>1577</v>
      </c>
      <c r="M632" t="s">
        <v>2279</v>
      </c>
      <c r="N632" t="s">
        <v>2279</v>
      </c>
      <c r="O632" s="190" t="str">
        <f>"["&amp;$C632&amp;"]["&amp;$D632&amp;"]["&amp;$F632&amp;"]"</f>
        <v>[S06_InstallationsVerificationReportsIssueDetail][7][AnnexIActivity]</v>
      </c>
    </row>
    <row r="633" spans="1:15" x14ac:dyDescent="0.3">
      <c r="A633" t="s">
        <v>2277</v>
      </c>
      <c r="B633" t="s">
        <v>1985</v>
      </c>
      <c r="C633" t="s">
        <v>1987</v>
      </c>
      <c r="D633">
        <v>8</v>
      </c>
      <c r="E633" t="s">
        <v>1447</v>
      </c>
      <c r="F633" t="s">
        <v>1988</v>
      </c>
      <c r="G633" t="s">
        <v>1737</v>
      </c>
      <c r="H633" t="s">
        <v>2279</v>
      </c>
      <c r="I633" t="s">
        <v>2279</v>
      </c>
      <c r="J633" t="s">
        <v>2279</v>
      </c>
      <c r="K633" t="s">
        <v>2279</v>
      </c>
      <c r="L633" t="s">
        <v>1562</v>
      </c>
      <c r="M633" t="s">
        <v>2279</v>
      </c>
      <c r="N633" t="s">
        <v>2279</v>
      </c>
      <c r="O633" s="190" t="str">
        <f>"["&amp;$C633&amp;"]["&amp;$D633&amp;"]["&amp;$F633&amp;"]"</f>
        <v>[S06_InstallationsVerificationReportsIssueDetail][8][AnnexIActivity]</v>
      </c>
    </row>
    <row r="634" spans="1:15" x14ac:dyDescent="0.3">
      <c r="A634" t="s">
        <v>2277</v>
      </c>
      <c r="B634" t="s">
        <v>1985</v>
      </c>
      <c r="C634" t="s">
        <v>1987</v>
      </c>
      <c r="D634">
        <v>9</v>
      </c>
      <c r="E634" t="s">
        <v>1447</v>
      </c>
      <c r="F634" t="s">
        <v>1988</v>
      </c>
      <c r="G634" t="s">
        <v>1737</v>
      </c>
      <c r="H634" t="s">
        <v>2279</v>
      </c>
      <c r="I634" t="s">
        <v>2279</v>
      </c>
      <c r="J634" t="s">
        <v>2279</v>
      </c>
      <c r="K634" t="s">
        <v>2279</v>
      </c>
      <c r="L634" t="s">
        <v>1562</v>
      </c>
      <c r="M634" t="s">
        <v>2279</v>
      </c>
      <c r="N634" t="s">
        <v>2279</v>
      </c>
      <c r="O634" s="190" t="str">
        <f>"["&amp;$C634&amp;"]["&amp;$D634&amp;"]["&amp;$F634&amp;"]"</f>
        <v>[S06_InstallationsVerificationReportsIssueDetail][9][AnnexIActivity]</v>
      </c>
    </row>
    <row r="635" spans="1:15" x14ac:dyDescent="0.3">
      <c r="A635" t="s">
        <v>2277</v>
      </c>
      <c r="B635" t="s">
        <v>1985</v>
      </c>
      <c r="C635" t="s">
        <v>1987</v>
      </c>
      <c r="D635">
        <v>10</v>
      </c>
      <c r="E635" t="s">
        <v>1447</v>
      </c>
      <c r="F635" t="s">
        <v>1988</v>
      </c>
      <c r="G635" t="s">
        <v>1737</v>
      </c>
      <c r="H635" t="s">
        <v>2279</v>
      </c>
      <c r="I635" t="s">
        <v>2279</v>
      </c>
      <c r="J635" t="s">
        <v>2279</v>
      </c>
      <c r="K635" t="s">
        <v>2279</v>
      </c>
      <c r="L635" t="s">
        <v>1562</v>
      </c>
      <c r="M635" t="s">
        <v>2279</v>
      </c>
      <c r="N635" t="s">
        <v>2279</v>
      </c>
      <c r="O635" s="190" t="str">
        <f>"["&amp;$C635&amp;"]["&amp;$D635&amp;"]["&amp;$F635&amp;"]"</f>
        <v>[S06_InstallationsVerificationReportsIssueDetail][10][AnnexIActivity]</v>
      </c>
    </row>
    <row r="636" spans="1:15" x14ac:dyDescent="0.3">
      <c r="A636" t="s">
        <v>2277</v>
      </c>
      <c r="B636" t="s">
        <v>1985</v>
      </c>
      <c r="C636" t="s">
        <v>1987</v>
      </c>
      <c r="D636">
        <v>11</v>
      </c>
      <c r="E636" t="s">
        <v>1447</v>
      </c>
      <c r="F636" t="s">
        <v>1988</v>
      </c>
      <c r="G636" t="s">
        <v>1737</v>
      </c>
      <c r="H636" t="s">
        <v>2279</v>
      </c>
      <c r="I636" t="s">
        <v>2279</v>
      </c>
      <c r="J636" t="s">
        <v>2279</v>
      </c>
      <c r="K636" t="s">
        <v>2279</v>
      </c>
      <c r="L636" t="s">
        <v>1568</v>
      </c>
      <c r="M636" t="s">
        <v>2279</v>
      </c>
      <c r="N636" t="s">
        <v>2279</v>
      </c>
      <c r="O636" s="190" t="str">
        <f>"["&amp;$C636&amp;"]["&amp;$D636&amp;"]["&amp;$F636&amp;"]"</f>
        <v>[S06_InstallationsVerificationReportsIssueDetail][11][AnnexIActivity]</v>
      </c>
    </row>
    <row r="637" spans="1:15" x14ac:dyDescent="0.3">
      <c r="A637" t="s">
        <v>2277</v>
      </c>
      <c r="B637" t="s">
        <v>1985</v>
      </c>
      <c r="C637" t="s">
        <v>1987</v>
      </c>
      <c r="D637">
        <v>12</v>
      </c>
      <c r="E637" t="s">
        <v>1447</v>
      </c>
      <c r="F637" t="s">
        <v>1988</v>
      </c>
      <c r="G637" t="s">
        <v>1737</v>
      </c>
      <c r="H637" t="s">
        <v>2279</v>
      </c>
      <c r="I637" t="s">
        <v>2279</v>
      </c>
      <c r="J637" t="s">
        <v>2279</v>
      </c>
      <c r="K637" t="s">
        <v>2279</v>
      </c>
      <c r="L637" t="s">
        <v>1597</v>
      </c>
      <c r="M637" t="s">
        <v>2279</v>
      </c>
      <c r="N637" t="s">
        <v>2279</v>
      </c>
      <c r="O637" s="190" t="str">
        <f>"["&amp;$C637&amp;"]["&amp;$D637&amp;"]["&amp;$F637&amp;"]"</f>
        <v>[S06_InstallationsVerificationReportsIssueDetail][12][AnnexIActivity]</v>
      </c>
    </row>
    <row r="638" spans="1:15" x14ac:dyDescent="0.3">
      <c r="A638" t="s">
        <v>2277</v>
      </c>
      <c r="B638" t="s">
        <v>1985</v>
      </c>
      <c r="C638" t="s">
        <v>1987</v>
      </c>
      <c r="D638">
        <v>13</v>
      </c>
      <c r="E638" t="s">
        <v>1447</v>
      </c>
      <c r="F638" t="s">
        <v>1988</v>
      </c>
      <c r="G638" t="s">
        <v>1737</v>
      </c>
      <c r="H638" t="s">
        <v>2279</v>
      </c>
      <c r="I638" t="s">
        <v>2279</v>
      </c>
      <c r="J638" t="s">
        <v>2279</v>
      </c>
      <c r="K638" t="s">
        <v>2279</v>
      </c>
      <c r="L638" t="s">
        <v>1597</v>
      </c>
      <c r="M638" t="s">
        <v>2279</v>
      </c>
      <c r="N638" t="s">
        <v>2279</v>
      </c>
      <c r="O638" s="190" t="str">
        <f>"["&amp;$C638&amp;"]["&amp;$D638&amp;"]["&amp;$F638&amp;"]"</f>
        <v>[S06_InstallationsVerificationReportsIssueDetail][13][AnnexIActivity]</v>
      </c>
    </row>
    <row r="639" spans="1:15" x14ac:dyDescent="0.3">
      <c r="A639" t="s">
        <v>2277</v>
      </c>
      <c r="B639" t="s">
        <v>1985</v>
      </c>
      <c r="C639" t="s">
        <v>1987</v>
      </c>
      <c r="D639">
        <v>14</v>
      </c>
      <c r="E639" t="s">
        <v>1447</v>
      </c>
      <c r="F639" t="s">
        <v>1988</v>
      </c>
      <c r="G639" t="s">
        <v>1737</v>
      </c>
      <c r="H639" t="s">
        <v>2279</v>
      </c>
      <c r="I639" t="s">
        <v>2279</v>
      </c>
      <c r="J639" t="s">
        <v>2279</v>
      </c>
      <c r="K639" t="s">
        <v>2279</v>
      </c>
      <c r="L639" t="s">
        <v>1592</v>
      </c>
      <c r="M639" t="s">
        <v>2279</v>
      </c>
      <c r="N639" t="s">
        <v>2279</v>
      </c>
      <c r="O639" s="190" t="str">
        <f>"["&amp;$C639&amp;"]["&amp;$D639&amp;"]["&amp;$F639&amp;"]"</f>
        <v>[S06_InstallationsVerificationReportsIssueDetail][14][AnnexIActivity]</v>
      </c>
    </row>
    <row r="640" spans="1:15" x14ac:dyDescent="0.3">
      <c r="A640" t="s">
        <v>2277</v>
      </c>
      <c r="B640" t="s">
        <v>1985</v>
      </c>
      <c r="C640" t="s">
        <v>1987</v>
      </c>
      <c r="D640">
        <v>15</v>
      </c>
      <c r="E640" t="s">
        <v>1447</v>
      </c>
      <c r="F640" t="s">
        <v>1988</v>
      </c>
      <c r="G640" t="s">
        <v>1737</v>
      </c>
      <c r="H640" t="s">
        <v>2279</v>
      </c>
      <c r="I640" t="s">
        <v>2279</v>
      </c>
      <c r="J640" t="s">
        <v>2279</v>
      </c>
      <c r="K640" t="s">
        <v>2279</v>
      </c>
      <c r="L640" t="s">
        <v>1592</v>
      </c>
      <c r="M640" t="s">
        <v>2279</v>
      </c>
      <c r="N640" t="s">
        <v>2279</v>
      </c>
      <c r="O640" s="190" t="str">
        <f>"["&amp;$C640&amp;"]["&amp;$D640&amp;"]["&amp;$F640&amp;"]"</f>
        <v>[S06_InstallationsVerificationReportsIssueDetail][15][AnnexIActivity]</v>
      </c>
    </row>
    <row r="641" spans="1:15" x14ac:dyDescent="0.3">
      <c r="A641" t="s">
        <v>2277</v>
      </c>
      <c r="B641" t="s">
        <v>1985</v>
      </c>
      <c r="C641" t="s">
        <v>1987</v>
      </c>
      <c r="D641">
        <v>16</v>
      </c>
      <c r="E641" t="s">
        <v>1447</v>
      </c>
      <c r="F641" t="s">
        <v>1988</v>
      </c>
      <c r="G641" t="s">
        <v>1737</v>
      </c>
      <c r="H641" t="s">
        <v>2279</v>
      </c>
      <c r="I641" t="s">
        <v>2279</v>
      </c>
      <c r="J641" t="s">
        <v>2279</v>
      </c>
      <c r="K641" t="s">
        <v>2279</v>
      </c>
      <c r="L641" t="s">
        <v>1592</v>
      </c>
      <c r="M641" t="s">
        <v>2279</v>
      </c>
      <c r="N641" t="s">
        <v>2279</v>
      </c>
      <c r="O641" s="190" t="str">
        <f>"["&amp;$C641&amp;"]["&amp;$D641&amp;"]["&amp;$F641&amp;"]"</f>
        <v>[S06_InstallationsVerificationReportsIssueDetail][16][AnnexIActivity]</v>
      </c>
    </row>
    <row r="642" spans="1:15" x14ac:dyDescent="0.3">
      <c r="A642" t="s">
        <v>2277</v>
      </c>
      <c r="B642" t="s">
        <v>1985</v>
      </c>
      <c r="C642" t="s">
        <v>1987</v>
      </c>
      <c r="D642">
        <v>17</v>
      </c>
      <c r="E642" t="s">
        <v>1447</v>
      </c>
      <c r="F642" t="s">
        <v>1988</v>
      </c>
      <c r="G642" t="s">
        <v>1737</v>
      </c>
      <c r="H642" t="s">
        <v>2279</v>
      </c>
      <c r="I642" t="s">
        <v>2279</v>
      </c>
      <c r="J642" t="s">
        <v>2279</v>
      </c>
      <c r="K642" t="s">
        <v>2279</v>
      </c>
      <c r="L642" t="s">
        <v>1518</v>
      </c>
      <c r="M642" t="s">
        <v>2279</v>
      </c>
      <c r="N642" t="s">
        <v>2279</v>
      </c>
      <c r="O642" s="190" t="str">
        <f>"["&amp;$C642&amp;"]["&amp;$D642&amp;"]["&amp;$F642&amp;"]"</f>
        <v>[S06_InstallationsVerificationReportsIssueDetail][17][AnnexIActivity]</v>
      </c>
    </row>
    <row r="643" spans="1:15" x14ac:dyDescent="0.3">
      <c r="A643" t="s">
        <v>2277</v>
      </c>
      <c r="B643" t="s">
        <v>1985</v>
      </c>
      <c r="C643" t="s">
        <v>1987</v>
      </c>
      <c r="D643">
        <v>18</v>
      </c>
      <c r="E643" t="s">
        <v>1447</v>
      </c>
      <c r="F643" t="s">
        <v>1988</v>
      </c>
      <c r="G643" t="s">
        <v>1737</v>
      </c>
      <c r="H643" t="s">
        <v>2279</v>
      </c>
      <c r="I643" t="s">
        <v>2279</v>
      </c>
      <c r="J643" t="s">
        <v>2279</v>
      </c>
      <c r="K643" t="s">
        <v>2279</v>
      </c>
      <c r="L643" t="s">
        <v>1573</v>
      </c>
      <c r="M643" t="s">
        <v>2279</v>
      </c>
      <c r="N643" t="s">
        <v>2279</v>
      </c>
      <c r="O643" s="190" t="str">
        <f>"["&amp;$C643&amp;"]["&amp;$D643&amp;"]["&amp;$F643&amp;"]"</f>
        <v>[S06_InstallationsVerificationReportsIssueDetail][18][AnnexIActivity]</v>
      </c>
    </row>
    <row r="644" spans="1:15" x14ac:dyDescent="0.3">
      <c r="A644" t="s">
        <v>2277</v>
      </c>
      <c r="B644" t="s">
        <v>1985</v>
      </c>
      <c r="C644" t="s">
        <v>1987</v>
      </c>
      <c r="D644">
        <v>19</v>
      </c>
      <c r="E644" t="s">
        <v>1447</v>
      </c>
      <c r="F644" t="s">
        <v>1988</v>
      </c>
      <c r="G644" t="s">
        <v>1737</v>
      </c>
      <c r="H644" t="s">
        <v>2279</v>
      </c>
      <c r="I644" t="s">
        <v>2279</v>
      </c>
      <c r="J644" t="s">
        <v>2279</v>
      </c>
      <c r="K644" t="s">
        <v>2279</v>
      </c>
      <c r="L644" t="s">
        <v>1573</v>
      </c>
      <c r="M644" t="s">
        <v>2279</v>
      </c>
      <c r="N644" t="s">
        <v>2279</v>
      </c>
      <c r="O644" s="190" t="str">
        <f>"["&amp;$C644&amp;"]["&amp;$D644&amp;"]["&amp;$F644&amp;"]"</f>
        <v>[S06_InstallationsVerificationReportsIssueDetail][19][AnnexIActivity]</v>
      </c>
    </row>
    <row r="645" spans="1:15" x14ac:dyDescent="0.3">
      <c r="A645" t="s">
        <v>2277</v>
      </c>
      <c r="B645" t="s">
        <v>1985</v>
      </c>
      <c r="C645" t="s">
        <v>1987</v>
      </c>
      <c r="D645">
        <v>20</v>
      </c>
      <c r="E645" t="s">
        <v>1447</v>
      </c>
      <c r="F645" t="s">
        <v>1988</v>
      </c>
      <c r="G645" t="s">
        <v>1737</v>
      </c>
      <c r="H645" t="s">
        <v>2279</v>
      </c>
      <c r="I645" t="s">
        <v>2279</v>
      </c>
      <c r="J645" t="s">
        <v>2279</v>
      </c>
      <c r="K645" t="s">
        <v>2279</v>
      </c>
      <c r="L645" t="s">
        <v>1573</v>
      </c>
      <c r="M645" t="s">
        <v>2279</v>
      </c>
      <c r="N645" t="s">
        <v>2279</v>
      </c>
      <c r="O645" s="190" t="str">
        <f>"["&amp;$C645&amp;"]["&amp;$D645&amp;"]["&amp;$F645&amp;"]"</f>
        <v>[S06_InstallationsVerificationReportsIssueDetail][20][AnnexIActivity]</v>
      </c>
    </row>
    <row r="646" spans="1:15" x14ac:dyDescent="0.3">
      <c r="A646" t="s">
        <v>2277</v>
      </c>
      <c r="B646" t="s">
        <v>1985</v>
      </c>
      <c r="C646" t="s">
        <v>1987</v>
      </c>
      <c r="D646">
        <v>21</v>
      </c>
      <c r="E646" t="s">
        <v>1447</v>
      </c>
      <c r="F646" t="s">
        <v>1988</v>
      </c>
      <c r="G646" t="s">
        <v>1737</v>
      </c>
      <c r="H646" t="s">
        <v>2279</v>
      </c>
      <c r="I646" t="s">
        <v>2279</v>
      </c>
      <c r="J646" t="s">
        <v>2279</v>
      </c>
      <c r="K646" t="s">
        <v>2279</v>
      </c>
      <c r="L646" t="s">
        <v>1530</v>
      </c>
      <c r="M646" t="s">
        <v>2279</v>
      </c>
      <c r="N646" t="s">
        <v>2279</v>
      </c>
      <c r="O646" s="190" t="str">
        <f>"["&amp;$C646&amp;"]["&amp;$D646&amp;"]["&amp;$F646&amp;"]"</f>
        <v>[S06_InstallationsVerificationReportsIssueDetail][21][AnnexIActivity]</v>
      </c>
    </row>
    <row r="647" spans="1:15" x14ac:dyDescent="0.3">
      <c r="A647" t="s">
        <v>2277</v>
      </c>
      <c r="B647" t="s">
        <v>1985</v>
      </c>
      <c r="C647" t="s">
        <v>1987</v>
      </c>
      <c r="D647">
        <v>22</v>
      </c>
      <c r="E647" t="s">
        <v>1447</v>
      </c>
      <c r="F647" t="s">
        <v>1988</v>
      </c>
      <c r="G647" t="s">
        <v>1737</v>
      </c>
      <c r="H647" t="s">
        <v>2279</v>
      </c>
      <c r="I647" t="s">
        <v>2279</v>
      </c>
      <c r="J647" t="s">
        <v>2279</v>
      </c>
      <c r="K647" t="s">
        <v>2279</v>
      </c>
      <c r="L647" t="s">
        <v>1587</v>
      </c>
      <c r="M647" t="s">
        <v>2279</v>
      </c>
      <c r="N647" t="s">
        <v>2279</v>
      </c>
      <c r="O647" s="190" t="str">
        <f>"["&amp;$C647&amp;"]["&amp;$D647&amp;"]["&amp;$F647&amp;"]"</f>
        <v>[S06_InstallationsVerificationReportsIssueDetail][22][AnnexIActivity]</v>
      </c>
    </row>
    <row r="648" spans="1:15" x14ac:dyDescent="0.3">
      <c r="A648" t="s">
        <v>2277</v>
      </c>
      <c r="B648" t="s">
        <v>1985</v>
      </c>
      <c r="C648" t="s">
        <v>1987</v>
      </c>
      <c r="D648">
        <v>23</v>
      </c>
      <c r="E648" t="s">
        <v>1447</v>
      </c>
      <c r="F648" t="s">
        <v>1988</v>
      </c>
      <c r="G648" t="s">
        <v>1737</v>
      </c>
      <c r="H648" t="s">
        <v>2279</v>
      </c>
      <c r="I648" t="s">
        <v>2279</v>
      </c>
      <c r="J648" t="s">
        <v>2279</v>
      </c>
      <c r="K648" t="s">
        <v>2279</v>
      </c>
      <c r="L648" t="s">
        <v>1626</v>
      </c>
      <c r="M648" t="s">
        <v>2279</v>
      </c>
      <c r="N648" t="s">
        <v>2279</v>
      </c>
      <c r="O648" s="190" t="str">
        <f>"["&amp;$C648&amp;"]["&amp;$D648&amp;"]["&amp;$F648&amp;"]"</f>
        <v>[S06_InstallationsVerificationReportsIssueDetail][23][AnnexIActivity]</v>
      </c>
    </row>
    <row r="649" spans="1:15" x14ac:dyDescent="0.3">
      <c r="A649" t="s">
        <v>2277</v>
      </c>
      <c r="B649" t="s">
        <v>1985</v>
      </c>
      <c r="C649" t="s">
        <v>1987</v>
      </c>
      <c r="D649">
        <v>24</v>
      </c>
      <c r="E649" t="s">
        <v>1447</v>
      </c>
      <c r="F649" t="s">
        <v>1988</v>
      </c>
      <c r="G649" t="s">
        <v>1737</v>
      </c>
      <c r="H649" t="s">
        <v>2279</v>
      </c>
      <c r="I649" t="s">
        <v>2279</v>
      </c>
      <c r="J649" t="s">
        <v>2279</v>
      </c>
      <c r="K649" t="s">
        <v>2279</v>
      </c>
      <c r="L649" t="s">
        <v>1626</v>
      </c>
      <c r="M649" t="s">
        <v>2279</v>
      </c>
      <c r="N649" t="s">
        <v>2279</v>
      </c>
      <c r="O649" s="190" t="str">
        <f>"["&amp;$C649&amp;"]["&amp;$D649&amp;"]["&amp;$F649&amp;"]"</f>
        <v>[S06_InstallationsVerificationReportsIssueDetail][24][AnnexIActivity]</v>
      </c>
    </row>
    <row r="650" spans="1:15" x14ac:dyDescent="0.3">
      <c r="A650" t="s">
        <v>2277</v>
      </c>
      <c r="B650" t="s">
        <v>1985</v>
      </c>
      <c r="C650" t="s">
        <v>1987</v>
      </c>
      <c r="D650">
        <v>25</v>
      </c>
      <c r="E650" t="s">
        <v>1447</v>
      </c>
      <c r="F650" t="s">
        <v>1988</v>
      </c>
      <c r="G650" t="s">
        <v>1737</v>
      </c>
      <c r="H650" t="s">
        <v>2279</v>
      </c>
      <c r="I650" t="s">
        <v>2279</v>
      </c>
      <c r="J650" t="s">
        <v>2279</v>
      </c>
      <c r="K650" t="s">
        <v>2279</v>
      </c>
      <c r="L650" t="s">
        <v>1448</v>
      </c>
      <c r="M650" t="s">
        <v>2279</v>
      </c>
      <c r="N650" t="s">
        <v>2279</v>
      </c>
      <c r="O650" s="190" t="str">
        <f>"["&amp;$C650&amp;"]["&amp;$D650&amp;"]["&amp;$F650&amp;"]"</f>
        <v>[S06_InstallationsVerificationReportsIssueDetail][25][AnnexIActivity]</v>
      </c>
    </row>
    <row r="651" spans="1:15" x14ac:dyDescent="0.3">
      <c r="A651" t="s">
        <v>2277</v>
      </c>
      <c r="B651" t="s">
        <v>1985</v>
      </c>
      <c r="C651" t="s">
        <v>1987</v>
      </c>
      <c r="D651">
        <v>26</v>
      </c>
      <c r="E651" t="s">
        <v>1447</v>
      </c>
      <c r="F651" t="s">
        <v>1988</v>
      </c>
      <c r="G651" t="s">
        <v>1737</v>
      </c>
      <c r="H651" t="s">
        <v>2279</v>
      </c>
      <c r="I651" t="s">
        <v>2279</v>
      </c>
      <c r="J651" t="s">
        <v>2279</v>
      </c>
      <c r="K651" t="s">
        <v>2279</v>
      </c>
      <c r="L651" t="s">
        <v>1448</v>
      </c>
      <c r="M651" t="s">
        <v>2279</v>
      </c>
      <c r="N651" t="s">
        <v>2279</v>
      </c>
      <c r="O651" s="190" t="str">
        <f>"["&amp;$C651&amp;"]["&amp;$D651&amp;"]["&amp;$F651&amp;"]"</f>
        <v>[S06_InstallationsVerificationReportsIssueDetail][26][AnnexIActivity]</v>
      </c>
    </row>
    <row r="652" spans="1:15" x14ac:dyDescent="0.3">
      <c r="A652" t="s">
        <v>2277</v>
      </c>
      <c r="B652" t="s">
        <v>1985</v>
      </c>
      <c r="C652" t="s">
        <v>1987</v>
      </c>
      <c r="D652">
        <v>27</v>
      </c>
      <c r="E652" t="s">
        <v>1447</v>
      </c>
      <c r="F652" t="s">
        <v>1988</v>
      </c>
      <c r="G652" t="s">
        <v>1737</v>
      </c>
      <c r="H652" t="s">
        <v>2279</v>
      </c>
      <c r="I652" t="s">
        <v>2279</v>
      </c>
      <c r="J652" t="s">
        <v>2279</v>
      </c>
      <c r="K652" t="s">
        <v>2279</v>
      </c>
      <c r="L652" t="s">
        <v>1448</v>
      </c>
      <c r="M652" t="s">
        <v>2279</v>
      </c>
      <c r="N652" t="s">
        <v>2279</v>
      </c>
      <c r="O652" s="190" t="str">
        <f>"["&amp;$C652&amp;"]["&amp;$D652&amp;"]["&amp;$F652&amp;"]"</f>
        <v>[S06_InstallationsVerificationReportsIssueDetail][27][AnnexIActivity]</v>
      </c>
    </row>
    <row r="653" spans="1:15" x14ac:dyDescent="0.3">
      <c r="A653" t="s">
        <v>2277</v>
      </c>
      <c r="B653" t="s">
        <v>1985</v>
      </c>
      <c r="C653" t="s">
        <v>1987</v>
      </c>
      <c r="D653">
        <v>28</v>
      </c>
      <c r="E653" t="s">
        <v>1447</v>
      </c>
      <c r="F653" t="s">
        <v>1988</v>
      </c>
      <c r="G653" t="s">
        <v>1737</v>
      </c>
      <c r="H653" t="s">
        <v>2279</v>
      </c>
      <c r="I653" t="s">
        <v>2279</v>
      </c>
      <c r="J653" t="s">
        <v>2279</v>
      </c>
      <c r="K653" t="s">
        <v>2279</v>
      </c>
      <c r="L653" t="s">
        <v>1448</v>
      </c>
      <c r="M653" t="s">
        <v>2279</v>
      </c>
      <c r="N653" t="s">
        <v>2279</v>
      </c>
      <c r="O653" s="190" t="str">
        <f>"["&amp;$C653&amp;"]["&amp;$D653&amp;"]["&amp;$F653&amp;"]"</f>
        <v>[S06_InstallationsVerificationReportsIssueDetail][28][AnnexIActivity]</v>
      </c>
    </row>
    <row r="654" spans="1:15" x14ac:dyDescent="0.3">
      <c r="A654" t="s">
        <v>2277</v>
      </c>
      <c r="B654" t="s">
        <v>1985</v>
      </c>
      <c r="C654" t="s">
        <v>1987</v>
      </c>
      <c r="D654">
        <v>1</v>
      </c>
      <c r="E654" t="s">
        <v>1447</v>
      </c>
      <c r="F654" t="s">
        <v>1989</v>
      </c>
      <c r="G654" t="s">
        <v>1737</v>
      </c>
      <c r="H654" t="s">
        <v>2279</v>
      </c>
      <c r="I654" t="s">
        <v>2279</v>
      </c>
      <c r="J654" t="s">
        <v>2279</v>
      </c>
      <c r="K654" t="s">
        <v>2279</v>
      </c>
      <c r="L654" t="s">
        <v>1512</v>
      </c>
      <c r="M654" t="s">
        <v>2279</v>
      </c>
      <c r="N654" t="s">
        <v>2279</v>
      </c>
      <c r="O654" s="190" t="str">
        <f>"["&amp;$C654&amp;"]["&amp;$D654&amp;"]["&amp;$F654&amp;"]"</f>
        <v>[S06_InstallationsVerificationReportsIssueDetail][1][TypeOfIssue]</v>
      </c>
    </row>
    <row r="655" spans="1:15" x14ac:dyDescent="0.3">
      <c r="A655" t="s">
        <v>2277</v>
      </c>
      <c r="B655" t="s">
        <v>1985</v>
      </c>
      <c r="C655" t="s">
        <v>1987</v>
      </c>
      <c r="D655">
        <v>2</v>
      </c>
      <c r="E655" t="s">
        <v>1447</v>
      </c>
      <c r="F655" t="s">
        <v>1989</v>
      </c>
      <c r="G655" t="s">
        <v>1737</v>
      </c>
      <c r="H655" t="s">
        <v>2279</v>
      </c>
      <c r="I655" t="s">
        <v>2279</v>
      </c>
      <c r="J655" t="s">
        <v>2279</v>
      </c>
      <c r="K655" t="s">
        <v>2279</v>
      </c>
      <c r="L655" t="s">
        <v>1439</v>
      </c>
      <c r="M655" t="s">
        <v>2279</v>
      </c>
      <c r="N655" t="s">
        <v>2279</v>
      </c>
      <c r="O655" s="190" t="str">
        <f>"["&amp;$C655&amp;"]["&amp;$D655&amp;"]["&amp;$F655&amp;"]"</f>
        <v>[S06_InstallationsVerificationReportsIssueDetail][2][TypeOfIssue]</v>
      </c>
    </row>
    <row r="656" spans="1:15" x14ac:dyDescent="0.3">
      <c r="A656" t="s">
        <v>2277</v>
      </c>
      <c r="B656" t="s">
        <v>1985</v>
      </c>
      <c r="C656" t="s">
        <v>1987</v>
      </c>
      <c r="D656">
        <v>3</v>
      </c>
      <c r="E656" t="s">
        <v>1447</v>
      </c>
      <c r="F656" t="s">
        <v>1989</v>
      </c>
      <c r="G656" t="s">
        <v>1737</v>
      </c>
      <c r="H656" t="s">
        <v>2279</v>
      </c>
      <c r="I656" t="s">
        <v>2279</v>
      </c>
      <c r="J656" t="s">
        <v>2279</v>
      </c>
      <c r="K656" t="s">
        <v>2279</v>
      </c>
      <c r="L656" t="s">
        <v>1467</v>
      </c>
      <c r="M656" t="s">
        <v>2279</v>
      </c>
      <c r="N656" t="s">
        <v>2279</v>
      </c>
      <c r="O656" s="190" t="str">
        <f>"["&amp;$C656&amp;"]["&amp;$D656&amp;"]["&amp;$F656&amp;"]"</f>
        <v>[S06_InstallationsVerificationReportsIssueDetail][3][TypeOfIssue]</v>
      </c>
    </row>
    <row r="657" spans="1:15" x14ac:dyDescent="0.3">
      <c r="A657" t="s">
        <v>2277</v>
      </c>
      <c r="B657" t="s">
        <v>1985</v>
      </c>
      <c r="C657" t="s">
        <v>1987</v>
      </c>
      <c r="D657">
        <v>4</v>
      </c>
      <c r="E657" t="s">
        <v>1447</v>
      </c>
      <c r="F657" t="s">
        <v>1989</v>
      </c>
      <c r="G657" t="s">
        <v>1737</v>
      </c>
      <c r="H657" t="s">
        <v>2279</v>
      </c>
      <c r="I657" t="s">
        <v>2279</v>
      </c>
      <c r="J657" t="s">
        <v>2279</v>
      </c>
      <c r="K657" t="s">
        <v>2279</v>
      </c>
      <c r="L657" t="s">
        <v>1492</v>
      </c>
      <c r="M657" t="s">
        <v>2279</v>
      </c>
      <c r="N657" t="s">
        <v>2279</v>
      </c>
      <c r="O657" s="190" t="str">
        <f>"["&amp;$C657&amp;"]["&amp;$D657&amp;"]["&amp;$F657&amp;"]"</f>
        <v>[S06_InstallationsVerificationReportsIssueDetail][4][TypeOfIssue]</v>
      </c>
    </row>
    <row r="658" spans="1:15" x14ac:dyDescent="0.3">
      <c r="A658" t="s">
        <v>2277</v>
      </c>
      <c r="B658" t="s">
        <v>1985</v>
      </c>
      <c r="C658" t="s">
        <v>1987</v>
      </c>
      <c r="D658">
        <v>5</v>
      </c>
      <c r="E658" t="s">
        <v>1447</v>
      </c>
      <c r="F658" t="s">
        <v>1989</v>
      </c>
      <c r="G658" t="s">
        <v>1737</v>
      </c>
      <c r="H658" t="s">
        <v>2279</v>
      </c>
      <c r="I658" t="s">
        <v>2279</v>
      </c>
      <c r="J658" t="s">
        <v>2279</v>
      </c>
      <c r="K658" t="s">
        <v>2279</v>
      </c>
      <c r="L658" t="s">
        <v>1512</v>
      </c>
      <c r="M658" t="s">
        <v>2279</v>
      </c>
      <c r="N658" t="s">
        <v>2279</v>
      </c>
      <c r="O658" s="190" t="str">
        <f>"["&amp;$C658&amp;"]["&amp;$D658&amp;"]["&amp;$F658&amp;"]"</f>
        <v>[S06_InstallationsVerificationReportsIssueDetail][5][TypeOfIssue]</v>
      </c>
    </row>
    <row r="659" spans="1:15" x14ac:dyDescent="0.3">
      <c r="A659" t="s">
        <v>2277</v>
      </c>
      <c r="B659" t="s">
        <v>1985</v>
      </c>
      <c r="C659" t="s">
        <v>1987</v>
      </c>
      <c r="D659">
        <v>6</v>
      </c>
      <c r="E659" t="s">
        <v>1447</v>
      </c>
      <c r="F659" t="s">
        <v>1989</v>
      </c>
      <c r="G659" t="s">
        <v>1737</v>
      </c>
      <c r="H659" t="s">
        <v>2279</v>
      </c>
      <c r="I659" t="s">
        <v>2279</v>
      </c>
      <c r="J659" t="s">
        <v>2279</v>
      </c>
      <c r="K659" t="s">
        <v>2279</v>
      </c>
      <c r="L659" t="s">
        <v>1467</v>
      </c>
      <c r="M659" t="s">
        <v>2279</v>
      </c>
      <c r="N659" t="s">
        <v>2279</v>
      </c>
      <c r="O659" s="190" t="str">
        <f>"["&amp;$C659&amp;"]["&amp;$D659&amp;"]["&amp;$F659&amp;"]"</f>
        <v>[S06_InstallationsVerificationReportsIssueDetail][6][TypeOfIssue]</v>
      </c>
    </row>
    <row r="660" spans="1:15" x14ac:dyDescent="0.3">
      <c r="A660" t="s">
        <v>2277</v>
      </c>
      <c r="B660" t="s">
        <v>1985</v>
      </c>
      <c r="C660" t="s">
        <v>1987</v>
      </c>
      <c r="D660">
        <v>7</v>
      </c>
      <c r="E660" t="s">
        <v>1447</v>
      </c>
      <c r="F660" t="s">
        <v>1989</v>
      </c>
      <c r="G660" t="s">
        <v>1737</v>
      </c>
      <c r="H660" t="s">
        <v>2279</v>
      </c>
      <c r="I660" t="s">
        <v>2279</v>
      </c>
      <c r="J660" t="s">
        <v>2279</v>
      </c>
      <c r="K660" t="s">
        <v>2279</v>
      </c>
      <c r="L660" t="s">
        <v>1492</v>
      </c>
      <c r="M660" t="s">
        <v>2279</v>
      </c>
      <c r="N660" t="s">
        <v>2279</v>
      </c>
      <c r="O660" s="190" t="str">
        <f>"["&amp;$C660&amp;"]["&amp;$D660&amp;"]["&amp;$F660&amp;"]"</f>
        <v>[S06_InstallationsVerificationReportsIssueDetail][7][TypeOfIssue]</v>
      </c>
    </row>
    <row r="661" spans="1:15" x14ac:dyDescent="0.3">
      <c r="A661" t="s">
        <v>2277</v>
      </c>
      <c r="B661" t="s">
        <v>1985</v>
      </c>
      <c r="C661" t="s">
        <v>1987</v>
      </c>
      <c r="D661">
        <v>8</v>
      </c>
      <c r="E661" t="s">
        <v>1447</v>
      </c>
      <c r="F661" t="s">
        <v>1989</v>
      </c>
      <c r="G661" t="s">
        <v>1737</v>
      </c>
      <c r="H661" t="s">
        <v>2279</v>
      </c>
      <c r="I661" t="s">
        <v>2279</v>
      </c>
      <c r="J661" t="s">
        <v>2279</v>
      </c>
      <c r="K661" t="s">
        <v>2279</v>
      </c>
      <c r="L661" t="s">
        <v>1512</v>
      </c>
      <c r="M661" t="s">
        <v>2279</v>
      </c>
      <c r="N661" t="s">
        <v>2279</v>
      </c>
      <c r="O661" s="190" t="str">
        <f>"["&amp;$C661&amp;"]["&amp;$D661&amp;"]["&amp;$F661&amp;"]"</f>
        <v>[S06_InstallationsVerificationReportsIssueDetail][8][TypeOfIssue]</v>
      </c>
    </row>
    <row r="662" spans="1:15" x14ac:dyDescent="0.3">
      <c r="A662" t="s">
        <v>2277</v>
      </c>
      <c r="B662" t="s">
        <v>1985</v>
      </c>
      <c r="C662" t="s">
        <v>1987</v>
      </c>
      <c r="D662">
        <v>9</v>
      </c>
      <c r="E662" t="s">
        <v>1447</v>
      </c>
      <c r="F662" t="s">
        <v>1989</v>
      </c>
      <c r="G662" t="s">
        <v>1737</v>
      </c>
      <c r="H662" t="s">
        <v>2279</v>
      </c>
      <c r="I662" t="s">
        <v>2279</v>
      </c>
      <c r="J662" t="s">
        <v>2279</v>
      </c>
      <c r="K662" t="s">
        <v>2279</v>
      </c>
      <c r="L662" t="s">
        <v>1467</v>
      </c>
      <c r="M662" t="s">
        <v>2279</v>
      </c>
      <c r="N662" t="s">
        <v>2279</v>
      </c>
      <c r="O662" s="190" t="str">
        <f>"["&amp;$C662&amp;"]["&amp;$D662&amp;"]["&amp;$F662&amp;"]"</f>
        <v>[S06_InstallationsVerificationReportsIssueDetail][9][TypeOfIssue]</v>
      </c>
    </row>
    <row r="663" spans="1:15" x14ac:dyDescent="0.3">
      <c r="A663" t="s">
        <v>2277</v>
      </c>
      <c r="B663" t="s">
        <v>1985</v>
      </c>
      <c r="C663" t="s">
        <v>1987</v>
      </c>
      <c r="D663">
        <v>10</v>
      </c>
      <c r="E663" t="s">
        <v>1447</v>
      </c>
      <c r="F663" t="s">
        <v>1989</v>
      </c>
      <c r="G663" t="s">
        <v>1737</v>
      </c>
      <c r="H663" t="s">
        <v>2279</v>
      </c>
      <c r="I663" t="s">
        <v>2279</v>
      </c>
      <c r="J663" t="s">
        <v>2279</v>
      </c>
      <c r="K663" t="s">
        <v>2279</v>
      </c>
      <c r="L663" t="s">
        <v>1492</v>
      </c>
      <c r="M663" t="s">
        <v>2279</v>
      </c>
      <c r="N663" t="s">
        <v>2279</v>
      </c>
      <c r="O663" s="190" t="str">
        <f>"["&amp;$C663&amp;"]["&amp;$D663&amp;"]["&amp;$F663&amp;"]"</f>
        <v>[S06_InstallationsVerificationReportsIssueDetail][10][TypeOfIssue]</v>
      </c>
    </row>
    <row r="664" spans="1:15" x14ac:dyDescent="0.3">
      <c r="A664" t="s">
        <v>2277</v>
      </c>
      <c r="B664" t="s">
        <v>1985</v>
      </c>
      <c r="C664" t="s">
        <v>1987</v>
      </c>
      <c r="D664">
        <v>11</v>
      </c>
      <c r="E664" t="s">
        <v>1447</v>
      </c>
      <c r="F664" t="s">
        <v>1989</v>
      </c>
      <c r="G664" t="s">
        <v>1737</v>
      </c>
      <c r="H664" t="s">
        <v>2279</v>
      </c>
      <c r="I664" t="s">
        <v>2279</v>
      </c>
      <c r="J664" t="s">
        <v>2279</v>
      </c>
      <c r="K664" t="s">
        <v>2279</v>
      </c>
      <c r="L664" t="s">
        <v>1492</v>
      </c>
      <c r="M664" t="s">
        <v>2279</v>
      </c>
      <c r="N664" t="s">
        <v>2279</v>
      </c>
      <c r="O664" s="190" t="str">
        <f>"["&amp;$C664&amp;"]["&amp;$D664&amp;"]["&amp;$F664&amp;"]"</f>
        <v>[S06_InstallationsVerificationReportsIssueDetail][11][TypeOfIssue]</v>
      </c>
    </row>
    <row r="665" spans="1:15" x14ac:dyDescent="0.3">
      <c r="A665" t="s">
        <v>2277</v>
      </c>
      <c r="B665" t="s">
        <v>1985</v>
      </c>
      <c r="C665" t="s">
        <v>1987</v>
      </c>
      <c r="D665">
        <v>12</v>
      </c>
      <c r="E665" t="s">
        <v>1447</v>
      </c>
      <c r="F665" t="s">
        <v>1989</v>
      </c>
      <c r="G665" t="s">
        <v>1737</v>
      </c>
      <c r="H665" t="s">
        <v>2279</v>
      </c>
      <c r="I665" t="s">
        <v>2279</v>
      </c>
      <c r="J665" t="s">
        <v>2279</v>
      </c>
      <c r="K665" t="s">
        <v>2279</v>
      </c>
      <c r="L665" t="s">
        <v>1492</v>
      </c>
      <c r="M665" t="s">
        <v>2279</v>
      </c>
      <c r="N665" t="s">
        <v>2279</v>
      </c>
      <c r="O665" s="190" t="str">
        <f>"["&amp;$C665&amp;"]["&amp;$D665&amp;"]["&amp;$F665&amp;"]"</f>
        <v>[S06_InstallationsVerificationReportsIssueDetail][12][TypeOfIssue]</v>
      </c>
    </row>
    <row r="666" spans="1:15" x14ac:dyDescent="0.3">
      <c r="A666" t="s">
        <v>2277</v>
      </c>
      <c r="B666" t="s">
        <v>1985</v>
      </c>
      <c r="C666" t="s">
        <v>1987</v>
      </c>
      <c r="D666">
        <v>13</v>
      </c>
      <c r="E666" t="s">
        <v>1447</v>
      </c>
      <c r="F666" t="s">
        <v>1989</v>
      </c>
      <c r="G666" t="s">
        <v>1737</v>
      </c>
      <c r="H666" t="s">
        <v>2279</v>
      </c>
      <c r="I666" t="s">
        <v>2279</v>
      </c>
      <c r="J666" t="s">
        <v>2279</v>
      </c>
      <c r="K666" t="s">
        <v>2279</v>
      </c>
      <c r="L666" t="s">
        <v>1512</v>
      </c>
      <c r="M666" t="s">
        <v>2279</v>
      </c>
      <c r="N666" t="s">
        <v>2279</v>
      </c>
      <c r="O666" s="190" t="str">
        <f>"["&amp;$C666&amp;"]["&amp;$D666&amp;"]["&amp;$F666&amp;"]"</f>
        <v>[S06_InstallationsVerificationReportsIssueDetail][13][TypeOfIssue]</v>
      </c>
    </row>
    <row r="667" spans="1:15" x14ac:dyDescent="0.3">
      <c r="A667" t="s">
        <v>2277</v>
      </c>
      <c r="B667" t="s">
        <v>1985</v>
      </c>
      <c r="C667" t="s">
        <v>1987</v>
      </c>
      <c r="D667">
        <v>14</v>
      </c>
      <c r="E667" t="s">
        <v>1447</v>
      </c>
      <c r="F667" t="s">
        <v>1989</v>
      </c>
      <c r="G667" t="s">
        <v>1737</v>
      </c>
      <c r="H667" t="s">
        <v>2279</v>
      </c>
      <c r="I667" t="s">
        <v>2279</v>
      </c>
      <c r="J667" t="s">
        <v>2279</v>
      </c>
      <c r="K667" t="s">
        <v>2279</v>
      </c>
      <c r="L667" t="s">
        <v>1467</v>
      </c>
      <c r="M667" t="s">
        <v>2279</v>
      </c>
      <c r="N667" t="s">
        <v>2279</v>
      </c>
      <c r="O667" s="190" t="str">
        <f>"["&amp;$C667&amp;"]["&amp;$D667&amp;"]["&amp;$F667&amp;"]"</f>
        <v>[S06_InstallationsVerificationReportsIssueDetail][14][TypeOfIssue]</v>
      </c>
    </row>
    <row r="668" spans="1:15" x14ac:dyDescent="0.3">
      <c r="A668" t="s">
        <v>2277</v>
      </c>
      <c r="B668" t="s">
        <v>1985</v>
      </c>
      <c r="C668" t="s">
        <v>1987</v>
      </c>
      <c r="D668">
        <v>15</v>
      </c>
      <c r="E668" t="s">
        <v>1447</v>
      </c>
      <c r="F668" t="s">
        <v>1989</v>
      </c>
      <c r="G668" t="s">
        <v>1737</v>
      </c>
      <c r="H668" t="s">
        <v>2279</v>
      </c>
      <c r="I668" t="s">
        <v>2279</v>
      </c>
      <c r="J668" t="s">
        <v>2279</v>
      </c>
      <c r="K668" t="s">
        <v>2279</v>
      </c>
      <c r="L668" t="s">
        <v>1492</v>
      </c>
      <c r="M668" t="s">
        <v>2279</v>
      </c>
      <c r="N668" t="s">
        <v>2279</v>
      </c>
      <c r="O668" s="190" t="str">
        <f>"["&amp;$C668&amp;"]["&amp;$D668&amp;"]["&amp;$F668&amp;"]"</f>
        <v>[S06_InstallationsVerificationReportsIssueDetail][15][TypeOfIssue]</v>
      </c>
    </row>
    <row r="669" spans="1:15" x14ac:dyDescent="0.3">
      <c r="A669" t="s">
        <v>2277</v>
      </c>
      <c r="B669" t="s">
        <v>1985</v>
      </c>
      <c r="C669" t="s">
        <v>1987</v>
      </c>
      <c r="D669">
        <v>16</v>
      </c>
      <c r="E669" t="s">
        <v>1447</v>
      </c>
      <c r="F669" t="s">
        <v>1989</v>
      </c>
      <c r="G669" t="s">
        <v>1737</v>
      </c>
      <c r="H669" t="s">
        <v>2279</v>
      </c>
      <c r="I669" t="s">
        <v>2279</v>
      </c>
      <c r="J669" t="s">
        <v>2279</v>
      </c>
      <c r="K669" t="s">
        <v>2279</v>
      </c>
      <c r="L669" t="s">
        <v>1512</v>
      </c>
      <c r="M669" t="s">
        <v>2279</v>
      </c>
      <c r="N669" t="s">
        <v>2279</v>
      </c>
      <c r="O669" s="190" t="str">
        <f>"["&amp;$C669&amp;"]["&amp;$D669&amp;"]["&amp;$F669&amp;"]"</f>
        <v>[S06_InstallationsVerificationReportsIssueDetail][16][TypeOfIssue]</v>
      </c>
    </row>
    <row r="670" spans="1:15" x14ac:dyDescent="0.3">
      <c r="A670" t="s">
        <v>2277</v>
      </c>
      <c r="B670" t="s">
        <v>1985</v>
      </c>
      <c r="C670" t="s">
        <v>1987</v>
      </c>
      <c r="D670">
        <v>17</v>
      </c>
      <c r="E670" t="s">
        <v>1447</v>
      </c>
      <c r="F670" t="s">
        <v>1989</v>
      </c>
      <c r="G670" t="s">
        <v>1737</v>
      </c>
      <c r="H670" t="s">
        <v>2279</v>
      </c>
      <c r="I670" t="s">
        <v>2279</v>
      </c>
      <c r="J670" t="s">
        <v>2279</v>
      </c>
      <c r="K670" t="s">
        <v>2279</v>
      </c>
      <c r="L670" t="s">
        <v>1492</v>
      </c>
      <c r="M670" t="s">
        <v>2279</v>
      </c>
      <c r="N670" t="s">
        <v>2279</v>
      </c>
      <c r="O670" s="190" t="str">
        <f>"["&amp;$C670&amp;"]["&amp;$D670&amp;"]["&amp;$F670&amp;"]"</f>
        <v>[S06_InstallationsVerificationReportsIssueDetail][17][TypeOfIssue]</v>
      </c>
    </row>
    <row r="671" spans="1:15" x14ac:dyDescent="0.3">
      <c r="A671" t="s">
        <v>2277</v>
      </c>
      <c r="B671" t="s">
        <v>1985</v>
      </c>
      <c r="C671" t="s">
        <v>1987</v>
      </c>
      <c r="D671">
        <v>18</v>
      </c>
      <c r="E671" t="s">
        <v>1447</v>
      </c>
      <c r="F671" t="s">
        <v>1989</v>
      </c>
      <c r="G671" t="s">
        <v>1737</v>
      </c>
      <c r="H671" t="s">
        <v>2279</v>
      </c>
      <c r="I671" t="s">
        <v>2279</v>
      </c>
      <c r="J671" t="s">
        <v>2279</v>
      </c>
      <c r="K671" t="s">
        <v>2279</v>
      </c>
      <c r="L671" t="s">
        <v>1467</v>
      </c>
      <c r="M671" t="s">
        <v>2279</v>
      </c>
      <c r="N671" t="s">
        <v>2279</v>
      </c>
      <c r="O671" s="190" t="str">
        <f>"["&amp;$C671&amp;"]["&amp;$D671&amp;"]["&amp;$F671&amp;"]"</f>
        <v>[S06_InstallationsVerificationReportsIssueDetail][18][TypeOfIssue]</v>
      </c>
    </row>
    <row r="672" spans="1:15" x14ac:dyDescent="0.3">
      <c r="A672" t="s">
        <v>2277</v>
      </c>
      <c r="B672" t="s">
        <v>1985</v>
      </c>
      <c r="C672" t="s">
        <v>1987</v>
      </c>
      <c r="D672">
        <v>19</v>
      </c>
      <c r="E672" t="s">
        <v>1447</v>
      </c>
      <c r="F672" t="s">
        <v>1989</v>
      </c>
      <c r="G672" t="s">
        <v>1737</v>
      </c>
      <c r="H672" t="s">
        <v>2279</v>
      </c>
      <c r="I672" t="s">
        <v>2279</v>
      </c>
      <c r="J672" t="s">
        <v>2279</v>
      </c>
      <c r="K672" t="s">
        <v>2279</v>
      </c>
      <c r="L672" t="s">
        <v>1492</v>
      </c>
      <c r="M672" t="s">
        <v>2279</v>
      </c>
      <c r="N672" t="s">
        <v>2279</v>
      </c>
      <c r="O672" s="190" t="str">
        <f>"["&amp;$C672&amp;"]["&amp;$D672&amp;"]["&amp;$F672&amp;"]"</f>
        <v>[S06_InstallationsVerificationReportsIssueDetail][19][TypeOfIssue]</v>
      </c>
    </row>
    <row r="673" spans="1:15" x14ac:dyDescent="0.3">
      <c r="A673" t="s">
        <v>2277</v>
      </c>
      <c r="B673" t="s">
        <v>1985</v>
      </c>
      <c r="C673" t="s">
        <v>1987</v>
      </c>
      <c r="D673">
        <v>20</v>
      </c>
      <c r="E673" t="s">
        <v>1447</v>
      </c>
      <c r="F673" t="s">
        <v>1989</v>
      </c>
      <c r="G673" t="s">
        <v>1737</v>
      </c>
      <c r="H673" t="s">
        <v>2279</v>
      </c>
      <c r="I673" t="s">
        <v>2279</v>
      </c>
      <c r="J673" t="s">
        <v>2279</v>
      </c>
      <c r="K673" t="s">
        <v>2279</v>
      </c>
      <c r="L673" t="s">
        <v>1512</v>
      </c>
      <c r="M673" t="s">
        <v>2279</v>
      </c>
      <c r="N673" t="s">
        <v>2279</v>
      </c>
      <c r="O673" s="190" t="str">
        <f>"["&amp;$C673&amp;"]["&amp;$D673&amp;"]["&amp;$F673&amp;"]"</f>
        <v>[S06_InstallationsVerificationReportsIssueDetail][20][TypeOfIssue]</v>
      </c>
    </row>
    <row r="674" spans="1:15" x14ac:dyDescent="0.3">
      <c r="A674" t="s">
        <v>2277</v>
      </c>
      <c r="B674" t="s">
        <v>1985</v>
      </c>
      <c r="C674" t="s">
        <v>1987</v>
      </c>
      <c r="D674">
        <v>21</v>
      </c>
      <c r="E674" t="s">
        <v>1447</v>
      </c>
      <c r="F674" t="s">
        <v>1989</v>
      </c>
      <c r="G674" t="s">
        <v>1737</v>
      </c>
      <c r="H674" t="s">
        <v>2279</v>
      </c>
      <c r="I674" t="s">
        <v>2279</v>
      </c>
      <c r="J674" t="s">
        <v>2279</v>
      </c>
      <c r="K674" t="s">
        <v>2279</v>
      </c>
      <c r="L674" t="s">
        <v>1512</v>
      </c>
      <c r="M674" t="s">
        <v>2279</v>
      </c>
      <c r="N674" t="s">
        <v>2279</v>
      </c>
      <c r="O674" s="190" t="str">
        <f>"["&amp;$C674&amp;"]["&amp;$D674&amp;"]["&amp;$F674&amp;"]"</f>
        <v>[S06_InstallationsVerificationReportsIssueDetail][21][TypeOfIssue]</v>
      </c>
    </row>
    <row r="675" spans="1:15" x14ac:dyDescent="0.3">
      <c r="A675" t="s">
        <v>2277</v>
      </c>
      <c r="B675" t="s">
        <v>1985</v>
      </c>
      <c r="C675" t="s">
        <v>1987</v>
      </c>
      <c r="D675">
        <v>22</v>
      </c>
      <c r="E675" t="s">
        <v>1447</v>
      </c>
      <c r="F675" t="s">
        <v>1989</v>
      </c>
      <c r="G675" t="s">
        <v>1737</v>
      </c>
      <c r="H675" t="s">
        <v>2279</v>
      </c>
      <c r="I675" t="s">
        <v>2279</v>
      </c>
      <c r="J675" t="s">
        <v>2279</v>
      </c>
      <c r="K675" t="s">
        <v>2279</v>
      </c>
      <c r="L675" t="s">
        <v>1512</v>
      </c>
      <c r="M675" t="s">
        <v>2279</v>
      </c>
      <c r="N675" t="s">
        <v>2279</v>
      </c>
      <c r="O675" s="190" t="str">
        <f>"["&amp;$C675&amp;"]["&amp;$D675&amp;"]["&amp;$F675&amp;"]"</f>
        <v>[S06_InstallationsVerificationReportsIssueDetail][22][TypeOfIssue]</v>
      </c>
    </row>
    <row r="676" spans="1:15" x14ac:dyDescent="0.3">
      <c r="A676" t="s">
        <v>2277</v>
      </c>
      <c r="B676" t="s">
        <v>1985</v>
      </c>
      <c r="C676" t="s">
        <v>1987</v>
      </c>
      <c r="D676">
        <v>23</v>
      </c>
      <c r="E676" t="s">
        <v>1447</v>
      </c>
      <c r="F676" t="s">
        <v>1989</v>
      </c>
      <c r="G676" t="s">
        <v>1737</v>
      </c>
      <c r="H676" t="s">
        <v>2279</v>
      </c>
      <c r="I676" t="s">
        <v>2279</v>
      </c>
      <c r="J676" t="s">
        <v>2279</v>
      </c>
      <c r="K676" t="s">
        <v>2279</v>
      </c>
      <c r="L676" t="s">
        <v>1492</v>
      </c>
      <c r="M676" t="s">
        <v>2279</v>
      </c>
      <c r="N676" t="s">
        <v>2279</v>
      </c>
      <c r="O676" s="190" t="str">
        <f>"["&amp;$C676&amp;"]["&amp;$D676&amp;"]["&amp;$F676&amp;"]"</f>
        <v>[S06_InstallationsVerificationReportsIssueDetail][23][TypeOfIssue]</v>
      </c>
    </row>
    <row r="677" spans="1:15" x14ac:dyDescent="0.3">
      <c r="A677" t="s">
        <v>2277</v>
      </c>
      <c r="B677" t="s">
        <v>1985</v>
      </c>
      <c r="C677" t="s">
        <v>1987</v>
      </c>
      <c r="D677">
        <v>24</v>
      </c>
      <c r="E677" t="s">
        <v>1447</v>
      </c>
      <c r="F677" t="s">
        <v>1989</v>
      </c>
      <c r="G677" t="s">
        <v>1737</v>
      </c>
      <c r="H677" t="s">
        <v>2279</v>
      </c>
      <c r="I677" t="s">
        <v>2279</v>
      </c>
      <c r="J677" t="s">
        <v>2279</v>
      </c>
      <c r="K677" t="s">
        <v>2279</v>
      </c>
      <c r="L677" t="s">
        <v>1512</v>
      </c>
      <c r="M677" t="s">
        <v>2279</v>
      </c>
      <c r="N677" t="s">
        <v>2279</v>
      </c>
      <c r="O677" s="190" t="str">
        <f>"["&amp;$C677&amp;"]["&amp;$D677&amp;"]["&amp;$F677&amp;"]"</f>
        <v>[S06_InstallationsVerificationReportsIssueDetail][24][TypeOfIssue]</v>
      </c>
    </row>
    <row r="678" spans="1:15" x14ac:dyDescent="0.3">
      <c r="A678" t="s">
        <v>2277</v>
      </c>
      <c r="B678" t="s">
        <v>1985</v>
      </c>
      <c r="C678" t="s">
        <v>1987</v>
      </c>
      <c r="D678">
        <v>25</v>
      </c>
      <c r="E678" t="s">
        <v>1447</v>
      </c>
      <c r="F678" t="s">
        <v>1989</v>
      </c>
      <c r="G678" t="s">
        <v>1737</v>
      </c>
      <c r="H678" t="s">
        <v>2279</v>
      </c>
      <c r="I678" t="s">
        <v>2279</v>
      </c>
      <c r="J678" t="s">
        <v>2279</v>
      </c>
      <c r="K678" t="s">
        <v>2279</v>
      </c>
      <c r="L678" t="s">
        <v>1439</v>
      </c>
      <c r="M678" t="s">
        <v>2279</v>
      </c>
      <c r="N678" t="s">
        <v>2279</v>
      </c>
      <c r="O678" s="190" t="str">
        <f>"["&amp;$C678&amp;"]["&amp;$D678&amp;"]["&amp;$F678&amp;"]"</f>
        <v>[S06_InstallationsVerificationReportsIssueDetail][25][TypeOfIssue]</v>
      </c>
    </row>
    <row r="679" spans="1:15" x14ac:dyDescent="0.3">
      <c r="A679" t="s">
        <v>2277</v>
      </c>
      <c r="B679" t="s">
        <v>1985</v>
      </c>
      <c r="C679" t="s">
        <v>1987</v>
      </c>
      <c r="D679">
        <v>26</v>
      </c>
      <c r="E679" t="s">
        <v>1447</v>
      </c>
      <c r="F679" t="s">
        <v>1989</v>
      </c>
      <c r="G679" t="s">
        <v>1737</v>
      </c>
      <c r="H679" t="s">
        <v>2279</v>
      </c>
      <c r="I679" t="s">
        <v>2279</v>
      </c>
      <c r="J679" t="s">
        <v>2279</v>
      </c>
      <c r="K679" t="s">
        <v>2279</v>
      </c>
      <c r="L679" t="s">
        <v>1467</v>
      </c>
      <c r="M679" t="s">
        <v>2279</v>
      </c>
      <c r="N679" t="s">
        <v>2279</v>
      </c>
      <c r="O679" s="190" t="str">
        <f>"["&amp;$C679&amp;"]["&amp;$D679&amp;"]["&amp;$F679&amp;"]"</f>
        <v>[S06_InstallationsVerificationReportsIssueDetail][26][TypeOfIssue]</v>
      </c>
    </row>
    <row r="680" spans="1:15" x14ac:dyDescent="0.3">
      <c r="A680" t="s">
        <v>2277</v>
      </c>
      <c r="B680" t="s">
        <v>1985</v>
      </c>
      <c r="C680" t="s">
        <v>1987</v>
      </c>
      <c r="D680">
        <v>27</v>
      </c>
      <c r="E680" t="s">
        <v>1447</v>
      </c>
      <c r="F680" t="s">
        <v>1989</v>
      </c>
      <c r="G680" t="s">
        <v>1737</v>
      </c>
      <c r="H680" t="s">
        <v>2279</v>
      </c>
      <c r="I680" t="s">
        <v>2279</v>
      </c>
      <c r="J680" t="s">
        <v>2279</v>
      </c>
      <c r="K680" t="s">
        <v>2279</v>
      </c>
      <c r="L680" t="s">
        <v>1492</v>
      </c>
      <c r="M680" t="s">
        <v>2279</v>
      </c>
      <c r="N680" t="s">
        <v>2279</v>
      </c>
      <c r="O680" s="190" t="str">
        <f>"["&amp;$C680&amp;"]["&amp;$D680&amp;"]["&amp;$F680&amp;"]"</f>
        <v>[S06_InstallationsVerificationReportsIssueDetail][27][TypeOfIssue]</v>
      </c>
    </row>
    <row r="681" spans="1:15" x14ac:dyDescent="0.3">
      <c r="A681" t="s">
        <v>2277</v>
      </c>
      <c r="B681" t="s">
        <v>1985</v>
      </c>
      <c r="C681" t="s">
        <v>1987</v>
      </c>
      <c r="D681">
        <v>28</v>
      </c>
      <c r="E681" t="s">
        <v>1447</v>
      </c>
      <c r="F681" t="s">
        <v>1989</v>
      </c>
      <c r="G681" t="s">
        <v>1737</v>
      </c>
      <c r="H681" t="s">
        <v>2279</v>
      </c>
      <c r="I681" t="s">
        <v>2279</v>
      </c>
      <c r="J681" t="s">
        <v>2279</v>
      </c>
      <c r="K681" t="s">
        <v>2279</v>
      </c>
      <c r="L681" t="s">
        <v>1512</v>
      </c>
      <c r="M681" t="s">
        <v>2279</v>
      </c>
      <c r="N681" t="s">
        <v>2279</v>
      </c>
      <c r="O681" s="190" t="str">
        <f>"["&amp;$C681&amp;"]["&amp;$D681&amp;"]["&amp;$F681&amp;"]"</f>
        <v>[S06_InstallationsVerificationReportsIssueDetail][28][TypeOfIssue]</v>
      </c>
    </row>
    <row r="682" spans="1:15" x14ac:dyDescent="0.3">
      <c r="A682" t="s">
        <v>2277</v>
      </c>
      <c r="B682" t="s">
        <v>1985</v>
      </c>
      <c r="C682" t="s">
        <v>1987</v>
      </c>
      <c r="D682">
        <v>1</v>
      </c>
      <c r="E682" t="s">
        <v>1447</v>
      </c>
      <c r="F682" t="s">
        <v>1798</v>
      </c>
      <c r="G682" t="s">
        <v>1748</v>
      </c>
      <c r="H682" t="s">
        <v>2279</v>
      </c>
      <c r="I682">
        <v>7</v>
      </c>
      <c r="J682" t="s">
        <v>2279</v>
      </c>
      <c r="K682" t="s">
        <v>2279</v>
      </c>
      <c r="L682" t="s">
        <v>2279</v>
      </c>
      <c r="M682" t="s">
        <v>2279</v>
      </c>
      <c r="N682" t="s">
        <v>2279</v>
      </c>
      <c r="O682" s="190" t="str">
        <f>"["&amp;$C682&amp;"]["&amp;$D682&amp;"]["&amp;$F682&amp;"]"</f>
        <v>[S06_InstallationsVerificationReportsIssueDetail][1][NumberOfInstallations]</v>
      </c>
    </row>
    <row r="683" spans="1:15" x14ac:dyDescent="0.3">
      <c r="A683" t="s">
        <v>2277</v>
      </c>
      <c r="B683" t="s">
        <v>1985</v>
      </c>
      <c r="C683" t="s">
        <v>1987</v>
      </c>
      <c r="D683">
        <v>2</v>
      </c>
      <c r="E683" t="s">
        <v>1447</v>
      </c>
      <c r="F683" t="s">
        <v>1798</v>
      </c>
      <c r="G683" t="s">
        <v>1748</v>
      </c>
      <c r="H683" t="s">
        <v>2279</v>
      </c>
      <c r="I683">
        <v>1</v>
      </c>
      <c r="J683" t="s">
        <v>2279</v>
      </c>
      <c r="K683" t="s">
        <v>2279</v>
      </c>
      <c r="L683" t="s">
        <v>2279</v>
      </c>
      <c r="M683" t="s">
        <v>2279</v>
      </c>
      <c r="N683" t="s">
        <v>2279</v>
      </c>
      <c r="O683" s="190" t="str">
        <f>"["&amp;$C683&amp;"]["&amp;$D683&amp;"]["&amp;$F683&amp;"]"</f>
        <v>[S06_InstallationsVerificationReportsIssueDetail][2][NumberOfInstallations]</v>
      </c>
    </row>
    <row r="684" spans="1:15" x14ac:dyDescent="0.3">
      <c r="A684" t="s">
        <v>2277</v>
      </c>
      <c r="B684" t="s">
        <v>1985</v>
      </c>
      <c r="C684" t="s">
        <v>1987</v>
      </c>
      <c r="D684">
        <v>3</v>
      </c>
      <c r="E684" t="s">
        <v>1447</v>
      </c>
      <c r="F684" t="s">
        <v>1798</v>
      </c>
      <c r="G684" t="s">
        <v>1748</v>
      </c>
      <c r="H684" t="s">
        <v>2279</v>
      </c>
      <c r="I684">
        <v>2</v>
      </c>
      <c r="J684" t="s">
        <v>2279</v>
      </c>
      <c r="K684" t="s">
        <v>2279</v>
      </c>
      <c r="L684" t="s">
        <v>2279</v>
      </c>
      <c r="M684" t="s">
        <v>2279</v>
      </c>
      <c r="N684" t="s">
        <v>2279</v>
      </c>
      <c r="O684" s="190" t="str">
        <f>"["&amp;$C684&amp;"]["&amp;$D684&amp;"]["&amp;$F684&amp;"]"</f>
        <v>[S06_InstallationsVerificationReportsIssueDetail][3][NumberOfInstallations]</v>
      </c>
    </row>
    <row r="685" spans="1:15" x14ac:dyDescent="0.3">
      <c r="A685" t="s">
        <v>2277</v>
      </c>
      <c r="B685" t="s">
        <v>1985</v>
      </c>
      <c r="C685" t="s">
        <v>1987</v>
      </c>
      <c r="D685">
        <v>4</v>
      </c>
      <c r="E685" t="s">
        <v>1447</v>
      </c>
      <c r="F685" t="s">
        <v>1798</v>
      </c>
      <c r="G685" t="s">
        <v>1748</v>
      </c>
      <c r="H685" t="s">
        <v>2279</v>
      </c>
      <c r="I685">
        <v>2</v>
      </c>
      <c r="J685" t="s">
        <v>2279</v>
      </c>
      <c r="K685" t="s">
        <v>2279</v>
      </c>
      <c r="L685" t="s">
        <v>2279</v>
      </c>
      <c r="M685" t="s">
        <v>2279</v>
      </c>
      <c r="N685" t="s">
        <v>2279</v>
      </c>
      <c r="O685" s="190" t="str">
        <f>"["&amp;$C685&amp;"]["&amp;$D685&amp;"]["&amp;$F685&amp;"]"</f>
        <v>[S06_InstallationsVerificationReportsIssueDetail][4][NumberOfInstallations]</v>
      </c>
    </row>
    <row r="686" spans="1:15" x14ac:dyDescent="0.3">
      <c r="A686" t="s">
        <v>2277</v>
      </c>
      <c r="B686" t="s">
        <v>1985</v>
      </c>
      <c r="C686" t="s">
        <v>1987</v>
      </c>
      <c r="D686">
        <v>5</v>
      </c>
      <c r="E686" t="s">
        <v>1447</v>
      </c>
      <c r="F686" t="s">
        <v>1798</v>
      </c>
      <c r="G686" t="s">
        <v>1748</v>
      </c>
      <c r="H686" t="s">
        <v>2279</v>
      </c>
      <c r="I686">
        <v>3</v>
      </c>
      <c r="J686" t="s">
        <v>2279</v>
      </c>
      <c r="K686" t="s">
        <v>2279</v>
      </c>
      <c r="L686" t="s">
        <v>2279</v>
      </c>
      <c r="M686" t="s">
        <v>2279</v>
      </c>
      <c r="N686" t="s">
        <v>2279</v>
      </c>
      <c r="O686" s="190" t="str">
        <f>"["&amp;$C686&amp;"]["&amp;$D686&amp;"]["&amp;$F686&amp;"]"</f>
        <v>[S06_InstallationsVerificationReportsIssueDetail][5][NumberOfInstallations]</v>
      </c>
    </row>
    <row r="687" spans="1:15" x14ac:dyDescent="0.3">
      <c r="A687" t="s">
        <v>2277</v>
      </c>
      <c r="B687" t="s">
        <v>1985</v>
      </c>
      <c r="C687" t="s">
        <v>1987</v>
      </c>
      <c r="D687">
        <v>6</v>
      </c>
      <c r="E687" t="s">
        <v>1447</v>
      </c>
      <c r="F687" t="s">
        <v>1798</v>
      </c>
      <c r="G687" t="s">
        <v>1748</v>
      </c>
      <c r="H687" t="s">
        <v>2279</v>
      </c>
      <c r="I687">
        <v>1</v>
      </c>
      <c r="J687" t="s">
        <v>2279</v>
      </c>
      <c r="K687" t="s">
        <v>2279</v>
      </c>
      <c r="L687" t="s">
        <v>2279</v>
      </c>
      <c r="M687" t="s">
        <v>2279</v>
      </c>
      <c r="N687" t="s">
        <v>2279</v>
      </c>
      <c r="O687" s="190" t="str">
        <f>"["&amp;$C687&amp;"]["&amp;$D687&amp;"]["&amp;$F687&amp;"]"</f>
        <v>[S06_InstallationsVerificationReportsIssueDetail][6][NumberOfInstallations]</v>
      </c>
    </row>
    <row r="688" spans="1:15" x14ac:dyDescent="0.3">
      <c r="A688" t="s">
        <v>2277</v>
      </c>
      <c r="B688" t="s">
        <v>1985</v>
      </c>
      <c r="C688" t="s">
        <v>1987</v>
      </c>
      <c r="D688">
        <v>7</v>
      </c>
      <c r="E688" t="s">
        <v>1447</v>
      </c>
      <c r="F688" t="s">
        <v>1798</v>
      </c>
      <c r="G688" t="s">
        <v>1748</v>
      </c>
      <c r="H688" t="s">
        <v>2279</v>
      </c>
      <c r="I688">
        <v>5</v>
      </c>
      <c r="J688" t="s">
        <v>2279</v>
      </c>
      <c r="K688" t="s">
        <v>2279</v>
      </c>
      <c r="L688" t="s">
        <v>2279</v>
      </c>
      <c r="M688" t="s">
        <v>2279</v>
      </c>
      <c r="N688" t="s">
        <v>2279</v>
      </c>
      <c r="O688" s="190" t="str">
        <f>"["&amp;$C688&amp;"]["&amp;$D688&amp;"]["&amp;$F688&amp;"]"</f>
        <v>[S06_InstallationsVerificationReportsIssueDetail][7][NumberOfInstallations]</v>
      </c>
    </row>
    <row r="689" spans="1:15" x14ac:dyDescent="0.3">
      <c r="A689" t="s">
        <v>2277</v>
      </c>
      <c r="B689" t="s">
        <v>1985</v>
      </c>
      <c r="C689" t="s">
        <v>1987</v>
      </c>
      <c r="D689">
        <v>8</v>
      </c>
      <c r="E689" t="s">
        <v>1447</v>
      </c>
      <c r="F689" t="s">
        <v>1798</v>
      </c>
      <c r="G689" t="s">
        <v>1748</v>
      </c>
      <c r="H689" t="s">
        <v>2279</v>
      </c>
      <c r="I689">
        <v>3</v>
      </c>
      <c r="J689" t="s">
        <v>2279</v>
      </c>
      <c r="K689" t="s">
        <v>2279</v>
      </c>
      <c r="L689" t="s">
        <v>2279</v>
      </c>
      <c r="M689" t="s">
        <v>2279</v>
      </c>
      <c r="N689" t="s">
        <v>2279</v>
      </c>
      <c r="O689" s="190" t="str">
        <f>"["&amp;$C689&amp;"]["&amp;$D689&amp;"]["&amp;$F689&amp;"]"</f>
        <v>[S06_InstallationsVerificationReportsIssueDetail][8][NumberOfInstallations]</v>
      </c>
    </row>
    <row r="690" spans="1:15" x14ac:dyDescent="0.3">
      <c r="A690" t="s">
        <v>2277</v>
      </c>
      <c r="B690" t="s">
        <v>1985</v>
      </c>
      <c r="C690" t="s">
        <v>1987</v>
      </c>
      <c r="D690">
        <v>9</v>
      </c>
      <c r="E690" t="s">
        <v>1447</v>
      </c>
      <c r="F690" t="s">
        <v>1798</v>
      </c>
      <c r="G690" t="s">
        <v>1748</v>
      </c>
      <c r="H690" t="s">
        <v>2279</v>
      </c>
      <c r="I690">
        <v>1</v>
      </c>
      <c r="J690" t="s">
        <v>2279</v>
      </c>
      <c r="K690" t="s">
        <v>2279</v>
      </c>
      <c r="L690" t="s">
        <v>2279</v>
      </c>
      <c r="M690" t="s">
        <v>2279</v>
      </c>
      <c r="N690" t="s">
        <v>2279</v>
      </c>
      <c r="O690" s="190" t="str">
        <f>"["&amp;$C690&amp;"]["&amp;$D690&amp;"]["&amp;$F690&amp;"]"</f>
        <v>[S06_InstallationsVerificationReportsIssueDetail][9][NumberOfInstallations]</v>
      </c>
    </row>
    <row r="691" spans="1:15" x14ac:dyDescent="0.3">
      <c r="A691" t="s">
        <v>2277</v>
      </c>
      <c r="B691" t="s">
        <v>1985</v>
      </c>
      <c r="C691" t="s">
        <v>1987</v>
      </c>
      <c r="D691">
        <v>10</v>
      </c>
      <c r="E691" t="s">
        <v>1447</v>
      </c>
      <c r="F691" t="s">
        <v>1798</v>
      </c>
      <c r="G691" t="s">
        <v>1748</v>
      </c>
      <c r="H691" t="s">
        <v>2279</v>
      </c>
      <c r="I691">
        <v>1</v>
      </c>
      <c r="J691" t="s">
        <v>2279</v>
      </c>
      <c r="K691" t="s">
        <v>2279</v>
      </c>
      <c r="L691" t="s">
        <v>2279</v>
      </c>
      <c r="M691" t="s">
        <v>2279</v>
      </c>
      <c r="N691" t="s">
        <v>2279</v>
      </c>
      <c r="O691" s="190" t="str">
        <f>"["&amp;$C691&amp;"]["&amp;$D691&amp;"]["&amp;$F691&amp;"]"</f>
        <v>[S06_InstallationsVerificationReportsIssueDetail][10][NumberOfInstallations]</v>
      </c>
    </row>
    <row r="692" spans="1:15" x14ac:dyDescent="0.3">
      <c r="A692" t="s">
        <v>2277</v>
      </c>
      <c r="B692" t="s">
        <v>1985</v>
      </c>
      <c r="C692" t="s">
        <v>1987</v>
      </c>
      <c r="D692">
        <v>11</v>
      </c>
      <c r="E692" t="s">
        <v>1447</v>
      </c>
      <c r="F692" t="s">
        <v>1798</v>
      </c>
      <c r="G692" t="s">
        <v>1748</v>
      </c>
      <c r="H692" t="s">
        <v>2279</v>
      </c>
      <c r="I692">
        <v>1</v>
      </c>
      <c r="J692" t="s">
        <v>2279</v>
      </c>
      <c r="K692" t="s">
        <v>2279</v>
      </c>
      <c r="L692" t="s">
        <v>2279</v>
      </c>
      <c r="M692" t="s">
        <v>2279</v>
      </c>
      <c r="N692" t="s">
        <v>2279</v>
      </c>
      <c r="O692" s="190" t="str">
        <f>"["&amp;$C692&amp;"]["&amp;$D692&amp;"]["&amp;$F692&amp;"]"</f>
        <v>[S06_InstallationsVerificationReportsIssueDetail][11][NumberOfInstallations]</v>
      </c>
    </row>
    <row r="693" spans="1:15" x14ac:dyDescent="0.3">
      <c r="A693" t="s">
        <v>2277</v>
      </c>
      <c r="B693" t="s">
        <v>1985</v>
      </c>
      <c r="C693" t="s">
        <v>1987</v>
      </c>
      <c r="D693">
        <v>12</v>
      </c>
      <c r="E693" t="s">
        <v>1447</v>
      </c>
      <c r="F693" t="s">
        <v>1798</v>
      </c>
      <c r="G693" t="s">
        <v>1748</v>
      </c>
      <c r="H693" t="s">
        <v>2279</v>
      </c>
      <c r="I693">
        <v>2</v>
      </c>
      <c r="J693" t="s">
        <v>2279</v>
      </c>
      <c r="K693" t="s">
        <v>2279</v>
      </c>
      <c r="L693" t="s">
        <v>2279</v>
      </c>
      <c r="M693" t="s">
        <v>2279</v>
      </c>
      <c r="N693" t="s">
        <v>2279</v>
      </c>
      <c r="O693" s="190" t="str">
        <f>"["&amp;$C693&amp;"]["&amp;$D693&amp;"]["&amp;$F693&amp;"]"</f>
        <v>[S06_InstallationsVerificationReportsIssueDetail][12][NumberOfInstallations]</v>
      </c>
    </row>
    <row r="694" spans="1:15" x14ac:dyDescent="0.3">
      <c r="A694" t="s">
        <v>2277</v>
      </c>
      <c r="B694" t="s">
        <v>1985</v>
      </c>
      <c r="C694" t="s">
        <v>1987</v>
      </c>
      <c r="D694">
        <v>13</v>
      </c>
      <c r="E694" t="s">
        <v>1447</v>
      </c>
      <c r="F694" t="s">
        <v>1798</v>
      </c>
      <c r="G694" t="s">
        <v>1748</v>
      </c>
      <c r="H694" t="s">
        <v>2279</v>
      </c>
      <c r="I694">
        <v>3</v>
      </c>
      <c r="J694" t="s">
        <v>2279</v>
      </c>
      <c r="K694" t="s">
        <v>2279</v>
      </c>
      <c r="L694" t="s">
        <v>2279</v>
      </c>
      <c r="M694" t="s">
        <v>2279</v>
      </c>
      <c r="N694" t="s">
        <v>2279</v>
      </c>
      <c r="O694" s="190" t="str">
        <f>"["&amp;$C694&amp;"]["&amp;$D694&amp;"]["&amp;$F694&amp;"]"</f>
        <v>[S06_InstallationsVerificationReportsIssueDetail][13][NumberOfInstallations]</v>
      </c>
    </row>
    <row r="695" spans="1:15" x14ac:dyDescent="0.3">
      <c r="A695" t="s">
        <v>2277</v>
      </c>
      <c r="B695" t="s">
        <v>1985</v>
      </c>
      <c r="C695" t="s">
        <v>1987</v>
      </c>
      <c r="D695">
        <v>14</v>
      </c>
      <c r="E695" t="s">
        <v>1447</v>
      </c>
      <c r="F695" t="s">
        <v>1798</v>
      </c>
      <c r="G695" t="s">
        <v>1748</v>
      </c>
      <c r="H695" t="s">
        <v>2279</v>
      </c>
      <c r="I695">
        <v>5</v>
      </c>
      <c r="J695" t="s">
        <v>2279</v>
      </c>
      <c r="K695" t="s">
        <v>2279</v>
      </c>
      <c r="L695" t="s">
        <v>2279</v>
      </c>
      <c r="M695" t="s">
        <v>2279</v>
      </c>
      <c r="N695" t="s">
        <v>2279</v>
      </c>
      <c r="O695" s="190" t="str">
        <f>"["&amp;$C695&amp;"]["&amp;$D695&amp;"]["&amp;$F695&amp;"]"</f>
        <v>[S06_InstallationsVerificationReportsIssueDetail][14][NumberOfInstallations]</v>
      </c>
    </row>
    <row r="696" spans="1:15" x14ac:dyDescent="0.3">
      <c r="A696" t="s">
        <v>2277</v>
      </c>
      <c r="B696" t="s">
        <v>1985</v>
      </c>
      <c r="C696" t="s">
        <v>1987</v>
      </c>
      <c r="D696">
        <v>15</v>
      </c>
      <c r="E696" t="s">
        <v>1447</v>
      </c>
      <c r="F696" t="s">
        <v>1798</v>
      </c>
      <c r="G696" t="s">
        <v>1748</v>
      </c>
      <c r="H696" t="s">
        <v>2279</v>
      </c>
      <c r="I696">
        <v>2</v>
      </c>
      <c r="J696" t="s">
        <v>2279</v>
      </c>
      <c r="K696" t="s">
        <v>2279</v>
      </c>
      <c r="L696" t="s">
        <v>2279</v>
      </c>
      <c r="M696" t="s">
        <v>2279</v>
      </c>
      <c r="N696" t="s">
        <v>2279</v>
      </c>
      <c r="O696" s="190" t="str">
        <f>"["&amp;$C696&amp;"]["&amp;$D696&amp;"]["&amp;$F696&amp;"]"</f>
        <v>[S06_InstallationsVerificationReportsIssueDetail][15][NumberOfInstallations]</v>
      </c>
    </row>
    <row r="697" spans="1:15" x14ac:dyDescent="0.3">
      <c r="A697" t="s">
        <v>2277</v>
      </c>
      <c r="B697" t="s">
        <v>1985</v>
      </c>
      <c r="C697" t="s">
        <v>1987</v>
      </c>
      <c r="D697">
        <v>16</v>
      </c>
      <c r="E697" t="s">
        <v>1447</v>
      </c>
      <c r="F697" t="s">
        <v>1798</v>
      </c>
      <c r="G697" t="s">
        <v>1748</v>
      </c>
      <c r="H697" t="s">
        <v>2279</v>
      </c>
      <c r="I697">
        <v>4</v>
      </c>
      <c r="J697" t="s">
        <v>2279</v>
      </c>
      <c r="K697" t="s">
        <v>2279</v>
      </c>
      <c r="L697" t="s">
        <v>2279</v>
      </c>
      <c r="M697" t="s">
        <v>2279</v>
      </c>
      <c r="N697" t="s">
        <v>2279</v>
      </c>
      <c r="O697" s="190" t="str">
        <f>"["&amp;$C697&amp;"]["&amp;$D697&amp;"]["&amp;$F697&amp;"]"</f>
        <v>[S06_InstallationsVerificationReportsIssueDetail][16][NumberOfInstallations]</v>
      </c>
    </row>
    <row r="698" spans="1:15" x14ac:dyDescent="0.3">
      <c r="A698" t="s">
        <v>2277</v>
      </c>
      <c r="B698" t="s">
        <v>1985</v>
      </c>
      <c r="C698" t="s">
        <v>1987</v>
      </c>
      <c r="D698">
        <v>17</v>
      </c>
      <c r="E698" t="s">
        <v>1447</v>
      </c>
      <c r="F698" t="s">
        <v>1798</v>
      </c>
      <c r="G698" t="s">
        <v>1748</v>
      </c>
      <c r="H698" t="s">
        <v>2279</v>
      </c>
      <c r="I698">
        <v>1</v>
      </c>
      <c r="J698" t="s">
        <v>2279</v>
      </c>
      <c r="K698" t="s">
        <v>2279</v>
      </c>
      <c r="L698" t="s">
        <v>2279</v>
      </c>
      <c r="M698" t="s">
        <v>2279</v>
      </c>
      <c r="N698" t="s">
        <v>2279</v>
      </c>
      <c r="O698" s="190" t="str">
        <f>"["&amp;$C698&amp;"]["&amp;$D698&amp;"]["&amp;$F698&amp;"]"</f>
        <v>[S06_InstallationsVerificationReportsIssueDetail][17][NumberOfInstallations]</v>
      </c>
    </row>
    <row r="699" spans="1:15" x14ac:dyDescent="0.3">
      <c r="A699" t="s">
        <v>2277</v>
      </c>
      <c r="B699" t="s">
        <v>1985</v>
      </c>
      <c r="C699" t="s">
        <v>1987</v>
      </c>
      <c r="D699">
        <v>18</v>
      </c>
      <c r="E699" t="s">
        <v>1447</v>
      </c>
      <c r="F699" t="s">
        <v>1798</v>
      </c>
      <c r="G699" t="s">
        <v>1748</v>
      </c>
      <c r="H699" t="s">
        <v>2279</v>
      </c>
      <c r="I699">
        <v>2</v>
      </c>
      <c r="J699" t="s">
        <v>2279</v>
      </c>
      <c r="K699" t="s">
        <v>2279</v>
      </c>
      <c r="L699" t="s">
        <v>2279</v>
      </c>
      <c r="M699" t="s">
        <v>2279</v>
      </c>
      <c r="N699" t="s">
        <v>2279</v>
      </c>
      <c r="O699" s="190" t="str">
        <f>"["&amp;$C699&amp;"]["&amp;$D699&amp;"]["&amp;$F699&amp;"]"</f>
        <v>[S06_InstallationsVerificationReportsIssueDetail][18][NumberOfInstallations]</v>
      </c>
    </row>
    <row r="700" spans="1:15" x14ac:dyDescent="0.3">
      <c r="A700" t="s">
        <v>2277</v>
      </c>
      <c r="B700" t="s">
        <v>1985</v>
      </c>
      <c r="C700" t="s">
        <v>1987</v>
      </c>
      <c r="D700">
        <v>19</v>
      </c>
      <c r="E700" t="s">
        <v>1447</v>
      </c>
      <c r="F700" t="s">
        <v>1798</v>
      </c>
      <c r="G700" t="s">
        <v>1748</v>
      </c>
      <c r="H700" t="s">
        <v>2279</v>
      </c>
      <c r="I700">
        <v>2</v>
      </c>
      <c r="J700" t="s">
        <v>2279</v>
      </c>
      <c r="K700" t="s">
        <v>2279</v>
      </c>
      <c r="L700" t="s">
        <v>2279</v>
      </c>
      <c r="M700" t="s">
        <v>2279</v>
      </c>
      <c r="N700" t="s">
        <v>2279</v>
      </c>
      <c r="O700" s="190" t="str">
        <f>"["&amp;$C700&amp;"]["&amp;$D700&amp;"]["&amp;$F700&amp;"]"</f>
        <v>[S06_InstallationsVerificationReportsIssueDetail][19][NumberOfInstallations]</v>
      </c>
    </row>
    <row r="701" spans="1:15" x14ac:dyDescent="0.3">
      <c r="A701" t="s">
        <v>2277</v>
      </c>
      <c r="B701" t="s">
        <v>1985</v>
      </c>
      <c r="C701" t="s">
        <v>1987</v>
      </c>
      <c r="D701">
        <v>20</v>
      </c>
      <c r="E701" t="s">
        <v>1447</v>
      </c>
      <c r="F701" t="s">
        <v>1798</v>
      </c>
      <c r="G701" t="s">
        <v>1748</v>
      </c>
      <c r="H701" t="s">
        <v>2279</v>
      </c>
      <c r="I701">
        <v>3</v>
      </c>
      <c r="J701" t="s">
        <v>2279</v>
      </c>
      <c r="K701" t="s">
        <v>2279</v>
      </c>
      <c r="L701" t="s">
        <v>2279</v>
      </c>
      <c r="M701" t="s">
        <v>2279</v>
      </c>
      <c r="N701" t="s">
        <v>2279</v>
      </c>
      <c r="O701" s="190" t="str">
        <f>"["&amp;$C701&amp;"]["&amp;$D701&amp;"]["&amp;$F701&amp;"]"</f>
        <v>[S06_InstallationsVerificationReportsIssueDetail][20][NumberOfInstallations]</v>
      </c>
    </row>
    <row r="702" spans="1:15" x14ac:dyDescent="0.3">
      <c r="A702" t="s">
        <v>2277</v>
      </c>
      <c r="B702" t="s">
        <v>1985</v>
      </c>
      <c r="C702" t="s">
        <v>1987</v>
      </c>
      <c r="D702">
        <v>21</v>
      </c>
      <c r="E702" t="s">
        <v>1447</v>
      </c>
      <c r="F702" t="s">
        <v>1798</v>
      </c>
      <c r="G702" t="s">
        <v>1748</v>
      </c>
      <c r="H702" t="s">
        <v>2279</v>
      </c>
      <c r="I702">
        <v>1</v>
      </c>
      <c r="J702" t="s">
        <v>2279</v>
      </c>
      <c r="K702" t="s">
        <v>2279</v>
      </c>
      <c r="L702" t="s">
        <v>2279</v>
      </c>
      <c r="M702" t="s">
        <v>2279</v>
      </c>
      <c r="N702" t="s">
        <v>2279</v>
      </c>
      <c r="O702" s="190" t="str">
        <f>"["&amp;$C702&amp;"]["&amp;$D702&amp;"]["&amp;$F702&amp;"]"</f>
        <v>[S06_InstallationsVerificationReportsIssueDetail][21][NumberOfInstallations]</v>
      </c>
    </row>
    <row r="703" spans="1:15" x14ac:dyDescent="0.3">
      <c r="A703" t="s">
        <v>2277</v>
      </c>
      <c r="B703" t="s">
        <v>1985</v>
      </c>
      <c r="C703" t="s">
        <v>1987</v>
      </c>
      <c r="D703">
        <v>22</v>
      </c>
      <c r="E703" t="s">
        <v>1447</v>
      </c>
      <c r="F703" t="s">
        <v>1798</v>
      </c>
      <c r="G703" t="s">
        <v>1748</v>
      </c>
      <c r="H703" t="s">
        <v>2279</v>
      </c>
      <c r="I703">
        <v>1</v>
      </c>
      <c r="J703" t="s">
        <v>2279</v>
      </c>
      <c r="K703" t="s">
        <v>2279</v>
      </c>
      <c r="L703" t="s">
        <v>2279</v>
      </c>
      <c r="M703" t="s">
        <v>2279</v>
      </c>
      <c r="N703" t="s">
        <v>2279</v>
      </c>
      <c r="O703" s="190" t="str">
        <f>"["&amp;$C703&amp;"]["&amp;$D703&amp;"]["&amp;$F703&amp;"]"</f>
        <v>[S06_InstallationsVerificationReportsIssueDetail][22][NumberOfInstallations]</v>
      </c>
    </row>
    <row r="704" spans="1:15" x14ac:dyDescent="0.3">
      <c r="A704" t="s">
        <v>2277</v>
      </c>
      <c r="B704" t="s">
        <v>1985</v>
      </c>
      <c r="C704" t="s">
        <v>1987</v>
      </c>
      <c r="D704">
        <v>23</v>
      </c>
      <c r="E704" t="s">
        <v>1447</v>
      </c>
      <c r="F704" t="s">
        <v>1798</v>
      </c>
      <c r="G704" t="s">
        <v>1748</v>
      </c>
      <c r="H704" t="s">
        <v>2279</v>
      </c>
      <c r="I704">
        <v>1</v>
      </c>
      <c r="J704" t="s">
        <v>2279</v>
      </c>
      <c r="K704" t="s">
        <v>2279</v>
      </c>
      <c r="L704" t="s">
        <v>2279</v>
      </c>
      <c r="M704" t="s">
        <v>2279</v>
      </c>
      <c r="N704" t="s">
        <v>2279</v>
      </c>
      <c r="O704" s="190" t="str">
        <f>"["&amp;$C704&amp;"]["&amp;$D704&amp;"]["&amp;$F704&amp;"]"</f>
        <v>[S06_InstallationsVerificationReportsIssueDetail][23][NumberOfInstallations]</v>
      </c>
    </row>
    <row r="705" spans="1:15" x14ac:dyDescent="0.3">
      <c r="A705" t="s">
        <v>2277</v>
      </c>
      <c r="B705" t="s">
        <v>1985</v>
      </c>
      <c r="C705" t="s">
        <v>1987</v>
      </c>
      <c r="D705">
        <v>24</v>
      </c>
      <c r="E705" t="s">
        <v>1447</v>
      </c>
      <c r="F705" t="s">
        <v>1798</v>
      </c>
      <c r="G705" t="s">
        <v>1748</v>
      </c>
      <c r="H705" t="s">
        <v>2279</v>
      </c>
      <c r="I705">
        <v>2</v>
      </c>
      <c r="J705" t="s">
        <v>2279</v>
      </c>
      <c r="K705" t="s">
        <v>2279</v>
      </c>
      <c r="L705" t="s">
        <v>2279</v>
      </c>
      <c r="M705" t="s">
        <v>2279</v>
      </c>
      <c r="N705" t="s">
        <v>2279</v>
      </c>
      <c r="O705" s="190" t="str">
        <f>"["&amp;$C705&amp;"]["&amp;$D705&amp;"]["&amp;$F705&amp;"]"</f>
        <v>[S06_InstallationsVerificationReportsIssueDetail][24][NumberOfInstallations]</v>
      </c>
    </row>
    <row r="706" spans="1:15" x14ac:dyDescent="0.3">
      <c r="A706" t="s">
        <v>2277</v>
      </c>
      <c r="B706" t="s">
        <v>1985</v>
      </c>
      <c r="C706" t="s">
        <v>1987</v>
      </c>
      <c r="D706">
        <v>25</v>
      </c>
      <c r="E706" t="s">
        <v>1447</v>
      </c>
      <c r="F706" t="s">
        <v>1798</v>
      </c>
      <c r="G706" t="s">
        <v>1748</v>
      </c>
      <c r="H706" t="s">
        <v>2279</v>
      </c>
      <c r="I706">
        <v>1</v>
      </c>
      <c r="J706" t="s">
        <v>2279</v>
      </c>
      <c r="K706" t="s">
        <v>2279</v>
      </c>
      <c r="L706" t="s">
        <v>2279</v>
      </c>
      <c r="M706" t="s">
        <v>2279</v>
      </c>
      <c r="N706" t="s">
        <v>2279</v>
      </c>
      <c r="O706" s="190" t="str">
        <f>"["&amp;$C706&amp;"]["&amp;$D706&amp;"]["&amp;$F706&amp;"]"</f>
        <v>[S06_InstallationsVerificationReportsIssueDetail][25][NumberOfInstallations]</v>
      </c>
    </row>
    <row r="707" spans="1:15" x14ac:dyDescent="0.3">
      <c r="A707" t="s">
        <v>2277</v>
      </c>
      <c r="B707" t="s">
        <v>1985</v>
      </c>
      <c r="C707" t="s">
        <v>1987</v>
      </c>
      <c r="D707">
        <v>26</v>
      </c>
      <c r="E707" t="s">
        <v>1447</v>
      </c>
      <c r="F707" t="s">
        <v>1798</v>
      </c>
      <c r="G707" t="s">
        <v>1748</v>
      </c>
      <c r="H707" t="s">
        <v>2279</v>
      </c>
      <c r="I707">
        <v>1</v>
      </c>
      <c r="J707" t="s">
        <v>2279</v>
      </c>
      <c r="K707" t="s">
        <v>2279</v>
      </c>
      <c r="L707" t="s">
        <v>2279</v>
      </c>
      <c r="M707" t="s">
        <v>2279</v>
      </c>
      <c r="N707" t="s">
        <v>2279</v>
      </c>
      <c r="O707" s="190" t="str">
        <f>"["&amp;$C707&amp;"]["&amp;$D707&amp;"]["&amp;$F707&amp;"]"</f>
        <v>[S06_InstallationsVerificationReportsIssueDetail][26][NumberOfInstallations]</v>
      </c>
    </row>
    <row r="708" spans="1:15" x14ac:dyDescent="0.3">
      <c r="A708" t="s">
        <v>2277</v>
      </c>
      <c r="B708" t="s">
        <v>1985</v>
      </c>
      <c r="C708" t="s">
        <v>1987</v>
      </c>
      <c r="D708">
        <v>27</v>
      </c>
      <c r="E708" t="s">
        <v>1447</v>
      </c>
      <c r="F708" t="s">
        <v>1798</v>
      </c>
      <c r="G708" t="s">
        <v>1748</v>
      </c>
      <c r="H708" t="s">
        <v>2279</v>
      </c>
      <c r="I708">
        <v>3</v>
      </c>
      <c r="J708" t="s">
        <v>2279</v>
      </c>
      <c r="K708" t="s">
        <v>2279</v>
      </c>
      <c r="L708" t="s">
        <v>2279</v>
      </c>
      <c r="M708" t="s">
        <v>2279</v>
      </c>
      <c r="N708" t="s">
        <v>2279</v>
      </c>
      <c r="O708" s="190" t="str">
        <f>"["&amp;$C708&amp;"]["&amp;$D708&amp;"]["&amp;$F708&amp;"]"</f>
        <v>[S06_InstallationsVerificationReportsIssueDetail][27][NumberOfInstallations]</v>
      </c>
    </row>
    <row r="709" spans="1:15" x14ac:dyDescent="0.3">
      <c r="A709" t="s">
        <v>2277</v>
      </c>
      <c r="B709" t="s">
        <v>1985</v>
      </c>
      <c r="C709" t="s">
        <v>1987</v>
      </c>
      <c r="D709">
        <v>28</v>
      </c>
      <c r="E709" t="s">
        <v>1447</v>
      </c>
      <c r="F709" t="s">
        <v>1798</v>
      </c>
      <c r="G709" t="s">
        <v>1748</v>
      </c>
      <c r="H709" t="s">
        <v>2279</v>
      </c>
      <c r="I709">
        <v>1</v>
      </c>
      <c r="J709" t="s">
        <v>2279</v>
      </c>
      <c r="K709" t="s">
        <v>2279</v>
      </c>
      <c r="L709" t="s">
        <v>2279</v>
      </c>
      <c r="M709" t="s">
        <v>2279</v>
      </c>
      <c r="N709" t="s">
        <v>2279</v>
      </c>
      <c r="O709" s="190" t="str">
        <f>"["&amp;$C709&amp;"]["&amp;$D709&amp;"]["&amp;$F709&amp;"]"</f>
        <v>[S06_InstallationsVerificationReportsIssueDetail][28][NumberOfInstallations]</v>
      </c>
    </row>
    <row r="710" spans="1:15" x14ac:dyDescent="0.3">
      <c r="A710" t="s">
        <v>2277</v>
      </c>
      <c r="B710" t="s">
        <v>1985</v>
      </c>
      <c r="C710" t="s">
        <v>1987</v>
      </c>
      <c r="D710">
        <v>1</v>
      </c>
      <c r="E710" t="s">
        <v>1447</v>
      </c>
      <c r="F710" t="s">
        <v>1972</v>
      </c>
      <c r="G710" t="s">
        <v>1748</v>
      </c>
      <c r="H710" t="s">
        <v>2279</v>
      </c>
      <c r="I710">
        <v>4</v>
      </c>
      <c r="J710" t="s">
        <v>2279</v>
      </c>
      <c r="K710" t="s">
        <v>2279</v>
      </c>
      <c r="L710" t="s">
        <v>2279</v>
      </c>
      <c r="M710" t="s">
        <v>2279</v>
      </c>
      <c r="N710" t="s">
        <v>2279</v>
      </c>
      <c r="O710" s="190" t="str">
        <f>"["&amp;$C710&amp;"]["&amp;$D710&amp;"]["&amp;$F710&amp;"]"</f>
        <v>[S06_InstallationsVerificationReportsIssueDetail][1][NumberOfIssues]</v>
      </c>
    </row>
    <row r="711" spans="1:15" x14ac:dyDescent="0.3">
      <c r="A711" t="s">
        <v>2277</v>
      </c>
      <c r="B711" t="s">
        <v>1985</v>
      </c>
      <c r="C711" t="s">
        <v>1987</v>
      </c>
      <c r="D711">
        <v>2</v>
      </c>
      <c r="E711" t="s">
        <v>1447</v>
      </c>
      <c r="F711" t="s">
        <v>1972</v>
      </c>
      <c r="G711" t="s">
        <v>1748</v>
      </c>
      <c r="H711" t="s">
        <v>2279</v>
      </c>
      <c r="I711">
        <v>1</v>
      </c>
      <c r="J711" t="s">
        <v>2279</v>
      </c>
      <c r="K711" t="s">
        <v>2279</v>
      </c>
      <c r="L711" t="s">
        <v>2279</v>
      </c>
      <c r="M711" t="s">
        <v>2279</v>
      </c>
      <c r="N711" t="s">
        <v>2279</v>
      </c>
      <c r="O711" s="190" t="str">
        <f>"["&amp;$C711&amp;"]["&amp;$D711&amp;"]["&amp;$F711&amp;"]"</f>
        <v>[S06_InstallationsVerificationReportsIssueDetail][2][NumberOfIssues]</v>
      </c>
    </row>
    <row r="712" spans="1:15" x14ac:dyDescent="0.3">
      <c r="A712" t="s">
        <v>2277</v>
      </c>
      <c r="B712" t="s">
        <v>1985</v>
      </c>
      <c r="C712" t="s">
        <v>1987</v>
      </c>
      <c r="D712">
        <v>3</v>
      </c>
      <c r="E712" t="s">
        <v>1447</v>
      </c>
      <c r="F712" t="s">
        <v>1972</v>
      </c>
      <c r="G712" t="s">
        <v>1748</v>
      </c>
      <c r="H712" t="s">
        <v>2279</v>
      </c>
      <c r="I712">
        <v>2</v>
      </c>
      <c r="J712" t="s">
        <v>2279</v>
      </c>
      <c r="K712" t="s">
        <v>2279</v>
      </c>
      <c r="L712" t="s">
        <v>2279</v>
      </c>
      <c r="M712" t="s">
        <v>2279</v>
      </c>
      <c r="N712" t="s">
        <v>2279</v>
      </c>
      <c r="O712" s="190" t="str">
        <f>"["&amp;$C712&amp;"]["&amp;$D712&amp;"]["&amp;$F712&amp;"]"</f>
        <v>[S06_InstallationsVerificationReportsIssueDetail][3][NumberOfIssues]</v>
      </c>
    </row>
    <row r="713" spans="1:15" x14ac:dyDescent="0.3">
      <c r="A713" t="s">
        <v>2277</v>
      </c>
      <c r="B713" t="s">
        <v>1985</v>
      </c>
      <c r="C713" t="s">
        <v>1987</v>
      </c>
      <c r="D713">
        <v>4</v>
      </c>
      <c r="E713" t="s">
        <v>1447</v>
      </c>
      <c r="F713" t="s">
        <v>1972</v>
      </c>
      <c r="G713" t="s">
        <v>1748</v>
      </c>
      <c r="H713" t="s">
        <v>2279</v>
      </c>
      <c r="I713">
        <v>3</v>
      </c>
      <c r="J713" t="s">
        <v>2279</v>
      </c>
      <c r="K713" t="s">
        <v>2279</v>
      </c>
      <c r="L713" t="s">
        <v>2279</v>
      </c>
      <c r="M713" t="s">
        <v>2279</v>
      </c>
      <c r="N713" t="s">
        <v>2279</v>
      </c>
      <c r="O713" s="190" t="str">
        <f>"["&amp;$C713&amp;"]["&amp;$D713&amp;"]["&amp;$F713&amp;"]"</f>
        <v>[S06_InstallationsVerificationReportsIssueDetail][4][NumberOfIssues]</v>
      </c>
    </row>
    <row r="714" spans="1:15" x14ac:dyDescent="0.3">
      <c r="A714" t="s">
        <v>2277</v>
      </c>
      <c r="B714" t="s">
        <v>1985</v>
      </c>
      <c r="C714" t="s">
        <v>1987</v>
      </c>
      <c r="D714">
        <v>5</v>
      </c>
      <c r="E714" t="s">
        <v>1447</v>
      </c>
      <c r="F714" t="s">
        <v>1972</v>
      </c>
      <c r="G714" t="s">
        <v>1748</v>
      </c>
      <c r="H714" t="s">
        <v>2279</v>
      </c>
      <c r="I714">
        <v>4</v>
      </c>
      <c r="J714" t="s">
        <v>2279</v>
      </c>
      <c r="K714" t="s">
        <v>2279</v>
      </c>
      <c r="L714" t="s">
        <v>2279</v>
      </c>
      <c r="M714" t="s">
        <v>2279</v>
      </c>
      <c r="N714" t="s">
        <v>2279</v>
      </c>
      <c r="O714" s="190" t="str">
        <f>"["&amp;$C714&amp;"]["&amp;$D714&amp;"]["&amp;$F714&amp;"]"</f>
        <v>[S06_InstallationsVerificationReportsIssueDetail][5][NumberOfIssues]</v>
      </c>
    </row>
    <row r="715" spans="1:15" x14ac:dyDescent="0.3">
      <c r="A715" t="s">
        <v>2277</v>
      </c>
      <c r="B715" t="s">
        <v>1985</v>
      </c>
      <c r="C715" t="s">
        <v>1987</v>
      </c>
      <c r="D715">
        <v>6</v>
      </c>
      <c r="E715" t="s">
        <v>1447</v>
      </c>
      <c r="F715" t="s">
        <v>1972</v>
      </c>
      <c r="G715" t="s">
        <v>1748</v>
      </c>
      <c r="H715" t="s">
        <v>2279</v>
      </c>
      <c r="I715">
        <v>1</v>
      </c>
      <c r="J715" t="s">
        <v>2279</v>
      </c>
      <c r="K715" t="s">
        <v>2279</v>
      </c>
      <c r="L715" t="s">
        <v>2279</v>
      </c>
      <c r="M715" t="s">
        <v>2279</v>
      </c>
      <c r="N715" t="s">
        <v>2279</v>
      </c>
      <c r="O715" s="190" t="str">
        <f>"["&amp;$C715&amp;"]["&amp;$D715&amp;"]["&amp;$F715&amp;"]"</f>
        <v>[S06_InstallationsVerificationReportsIssueDetail][6][NumberOfIssues]</v>
      </c>
    </row>
    <row r="716" spans="1:15" x14ac:dyDescent="0.3">
      <c r="A716" t="s">
        <v>2277</v>
      </c>
      <c r="B716" t="s">
        <v>1985</v>
      </c>
      <c r="C716" t="s">
        <v>1987</v>
      </c>
      <c r="D716">
        <v>7</v>
      </c>
      <c r="E716" t="s">
        <v>1447</v>
      </c>
      <c r="F716" t="s">
        <v>1972</v>
      </c>
      <c r="G716" t="s">
        <v>1748</v>
      </c>
      <c r="H716" t="s">
        <v>2279</v>
      </c>
      <c r="I716">
        <v>3</v>
      </c>
      <c r="J716" t="s">
        <v>2279</v>
      </c>
      <c r="K716" t="s">
        <v>2279</v>
      </c>
      <c r="L716" t="s">
        <v>2279</v>
      </c>
      <c r="M716" t="s">
        <v>2279</v>
      </c>
      <c r="N716" t="s">
        <v>2279</v>
      </c>
      <c r="O716" s="190" t="str">
        <f>"["&amp;$C716&amp;"]["&amp;$D716&amp;"]["&amp;$F716&amp;"]"</f>
        <v>[S06_InstallationsVerificationReportsIssueDetail][7][NumberOfIssues]</v>
      </c>
    </row>
    <row r="717" spans="1:15" x14ac:dyDescent="0.3">
      <c r="A717" t="s">
        <v>2277</v>
      </c>
      <c r="B717" t="s">
        <v>1985</v>
      </c>
      <c r="C717" t="s">
        <v>1987</v>
      </c>
      <c r="D717">
        <v>8</v>
      </c>
      <c r="E717" t="s">
        <v>1447</v>
      </c>
      <c r="F717" t="s">
        <v>1972</v>
      </c>
      <c r="G717" t="s">
        <v>1748</v>
      </c>
      <c r="H717" t="s">
        <v>2279</v>
      </c>
      <c r="I717">
        <v>8</v>
      </c>
      <c r="J717" t="s">
        <v>2279</v>
      </c>
      <c r="K717" t="s">
        <v>2279</v>
      </c>
      <c r="L717" t="s">
        <v>2279</v>
      </c>
      <c r="M717" t="s">
        <v>2279</v>
      </c>
      <c r="N717" t="s">
        <v>2279</v>
      </c>
      <c r="O717" s="190" t="str">
        <f>"["&amp;$C717&amp;"]["&amp;$D717&amp;"]["&amp;$F717&amp;"]"</f>
        <v>[S06_InstallationsVerificationReportsIssueDetail][8][NumberOfIssues]</v>
      </c>
    </row>
    <row r="718" spans="1:15" x14ac:dyDescent="0.3">
      <c r="A718" t="s">
        <v>2277</v>
      </c>
      <c r="B718" t="s">
        <v>1985</v>
      </c>
      <c r="C718" t="s">
        <v>1987</v>
      </c>
      <c r="D718">
        <v>9</v>
      </c>
      <c r="E718" t="s">
        <v>1447</v>
      </c>
      <c r="F718" t="s">
        <v>1972</v>
      </c>
      <c r="G718" t="s">
        <v>1748</v>
      </c>
      <c r="H718" t="s">
        <v>2279</v>
      </c>
      <c r="I718">
        <v>1</v>
      </c>
      <c r="J718" t="s">
        <v>2279</v>
      </c>
      <c r="K718" t="s">
        <v>2279</v>
      </c>
      <c r="L718" t="s">
        <v>2279</v>
      </c>
      <c r="M718" t="s">
        <v>2279</v>
      </c>
      <c r="N718" t="s">
        <v>2279</v>
      </c>
      <c r="O718" s="190" t="str">
        <f>"["&amp;$C718&amp;"]["&amp;$D718&amp;"]["&amp;$F718&amp;"]"</f>
        <v>[S06_InstallationsVerificationReportsIssueDetail][9][NumberOfIssues]</v>
      </c>
    </row>
    <row r="719" spans="1:15" x14ac:dyDescent="0.3">
      <c r="A719" t="s">
        <v>2277</v>
      </c>
      <c r="B719" t="s">
        <v>1985</v>
      </c>
      <c r="C719" t="s">
        <v>1987</v>
      </c>
      <c r="D719">
        <v>10</v>
      </c>
      <c r="E719" t="s">
        <v>1447</v>
      </c>
      <c r="F719" t="s">
        <v>1972</v>
      </c>
      <c r="G719" t="s">
        <v>1748</v>
      </c>
      <c r="H719" t="s">
        <v>2279</v>
      </c>
      <c r="I719">
        <v>2</v>
      </c>
      <c r="J719" t="s">
        <v>2279</v>
      </c>
      <c r="K719" t="s">
        <v>2279</v>
      </c>
      <c r="L719" t="s">
        <v>2279</v>
      </c>
      <c r="M719" t="s">
        <v>2279</v>
      </c>
      <c r="N719" t="s">
        <v>2279</v>
      </c>
      <c r="O719" s="190" t="str">
        <f>"["&amp;$C719&amp;"]["&amp;$D719&amp;"]["&amp;$F719&amp;"]"</f>
        <v>[S06_InstallationsVerificationReportsIssueDetail][10][NumberOfIssues]</v>
      </c>
    </row>
    <row r="720" spans="1:15" x14ac:dyDescent="0.3">
      <c r="A720" t="s">
        <v>2277</v>
      </c>
      <c r="B720" t="s">
        <v>1985</v>
      </c>
      <c r="C720" t="s">
        <v>1987</v>
      </c>
      <c r="D720">
        <v>11</v>
      </c>
      <c r="E720" t="s">
        <v>1447</v>
      </c>
      <c r="F720" t="s">
        <v>1972</v>
      </c>
      <c r="G720" t="s">
        <v>1748</v>
      </c>
      <c r="H720" t="s">
        <v>2279</v>
      </c>
      <c r="I720">
        <v>1</v>
      </c>
      <c r="J720" t="s">
        <v>2279</v>
      </c>
      <c r="K720" t="s">
        <v>2279</v>
      </c>
      <c r="L720" t="s">
        <v>2279</v>
      </c>
      <c r="M720" t="s">
        <v>2279</v>
      </c>
      <c r="N720" t="s">
        <v>2279</v>
      </c>
      <c r="O720" s="190" t="str">
        <f>"["&amp;$C720&amp;"]["&amp;$D720&amp;"]["&amp;$F720&amp;"]"</f>
        <v>[S06_InstallationsVerificationReportsIssueDetail][11][NumberOfIssues]</v>
      </c>
    </row>
    <row r="721" spans="1:15" x14ac:dyDescent="0.3">
      <c r="A721" t="s">
        <v>2277</v>
      </c>
      <c r="B721" t="s">
        <v>1985</v>
      </c>
      <c r="C721" t="s">
        <v>1987</v>
      </c>
      <c r="D721">
        <v>12</v>
      </c>
      <c r="E721" t="s">
        <v>1447</v>
      </c>
      <c r="F721" t="s">
        <v>1972</v>
      </c>
      <c r="G721" t="s">
        <v>1748</v>
      </c>
      <c r="H721" t="s">
        <v>2279</v>
      </c>
      <c r="I721">
        <v>2</v>
      </c>
      <c r="J721" t="s">
        <v>2279</v>
      </c>
      <c r="K721" t="s">
        <v>2279</v>
      </c>
      <c r="L721" t="s">
        <v>2279</v>
      </c>
      <c r="M721" t="s">
        <v>2279</v>
      </c>
      <c r="N721" t="s">
        <v>2279</v>
      </c>
      <c r="O721" s="190" t="str">
        <f>"["&amp;$C721&amp;"]["&amp;$D721&amp;"]["&amp;$F721&amp;"]"</f>
        <v>[S06_InstallationsVerificationReportsIssueDetail][12][NumberOfIssues]</v>
      </c>
    </row>
    <row r="722" spans="1:15" x14ac:dyDescent="0.3">
      <c r="A722" t="s">
        <v>2277</v>
      </c>
      <c r="B722" t="s">
        <v>1985</v>
      </c>
      <c r="C722" t="s">
        <v>1987</v>
      </c>
      <c r="D722">
        <v>13</v>
      </c>
      <c r="E722" t="s">
        <v>1447</v>
      </c>
      <c r="F722" t="s">
        <v>1972</v>
      </c>
      <c r="G722" t="s">
        <v>1748</v>
      </c>
      <c r="H722" t="s">
        <v>2279</v>
      </c>
      <c r="I722">
        <v>3</v>
      </c>
      <c r="J722" t="s">
        <v>2279</v>
      </c>
      <c r="K722" t="s">
        <v>2279</v>
      </c>
      <c r="L722" t="s">
        <v>2279</v>
      </c>
      <c r="M722" t="s">
        <v>2279</v>
      </c>
      <c r="N722" t="s">
        <v>2279</v>
      </c>
      <c r="O722" s="190" t="str">
        <f>"["&amp;$C722&amp;"]["&amp;$D722&amp;"]["&amp;$F722&amp;"]"</f>
        <v>[S06_InstallationsVerificationReportsIssueDetail][13][NumberOfIssues]</v>
      </c>
    </row>
    <row r="723" spans="1:15" x14ac:dyDescent="0.3">
      <c r="A723" t="s">
        <v>2277</v>
      </c>
      <c r="B723" t="s">
        <v>1985</v>
      </c>
      <c r="C723" t="s">
        <v>1987</v>
      </c>
      <c r="D723">
        <v>14</v>
      </c>
      <c r="E723" t="s">
        <v>1447</v>
      </c>
      <c r="F723" t="s">
        <v>1972</v>
      </c>
      <c r="G723" t="s">
        <v>1748</v>
      </c>
      <c r="H723" t="s">
        <v>2279</v>
      </c>
      <c r="I723">
        <v>4</v>
      </c>
      <c r="J723" t="s">
        <v>2279</v>
      </c>
      <c r="K723" t="s">
        <v>2279</v>
      </c>
      <c r="L723" t="s">
        <v>2279</v>
      </c>
      <c r="M723" t="s">
        <v>2279</v>
      </c>
      <c r="N723" t="s">
        <v>2279</v>
      </c>
      <c r="O723" s="190" t="str">
        <f>"["&amp;$C723&amp;"]["&amp;$D723&amp;"]["&amp;$F723&amp;"]"</f>
        <v>[S06_InstallationsVerificationReportsIssueDetail][14][NumberOfIssues]</v>
      </c>
    </row>
    <row r="724" spans="1:15" x14ac:dyDescent="0.3">
      <c r="A724" t="s">
        <v>2277</v>
      </c>
      <c r="B724" t="s">
        <v>1985</v>
      </c>
      <c r="C724" t="s">
        <v>1987</v>
      </c>
      <c r="D724">
        <v>15</v>
      </c>
      <c r="E724" t="s">
        <v>1447</v>
      </c>
      <c r="F724" t="s">
        <v>1972</v>
      </c>
      <c r="G724" t="s">
        <v>1748</v>
      </c>
      <c r="H724" t="s">
        <v>2279</v>
      </c>
      <c r="I724">
        <v>2</v>
      </c>
      <c r="J724" t="s">
        <v>2279</v>
      </c>
      <c r="K724" t="s">
        <v>2279</v>
      </c>
      <c r="L724" t="s">
        <v>2279</v>
      </c>
      <c r="M724" t="s">
        <v>2279</v>
      </c>
      <c r="N724" t="s">
        <v>2279</v>
      </c>
      <c r="O724" s="190" t="str">
        <f>"["&amp;$C724&amp;"]["&amp;$D724&amp;"]["&amp;$F724&amp;"]"</f>
        <v>[S06_InstallationsVerificationReportsIssueDetail][15][NumberOfIssues]</v>
      </c>
    </row>
    <row r="725" spans="1:15" x14ac:dyDescent="0.3">
      <c r="A725" t="s">
        <v>2277</v>
      </c>
      <c r="B725" t="s">
        <v>1985</v>
      </c>
      <c r="C725" t="s">
        <v>1987</v>
      </c>
      <c r="D725">
        <v>16</v>
      </c>
      <c r="E725" t="s">
        <v>1447</v>
      </c>
      <c r="F725" t="s">
        <v>1972</v>
      </c>
      <c r="G725" t="s">
        <v>1748</v>
      </c>
      <c r="H725" t="s">
        <v>2279</v>
      </c>
      <c r="I725">
        <v>6</v>
      </c>
      <c r="J725" t="s">
        <v>2279</v>
      </c>
      <c r="K725" t="s">
        <v>2279</v>
      </c>
      <c r="L725" t="s">
        <v>2279</v>
      </c>
      <c r="M725" t="s">
        <v>2279</v>
      </c>
      <c r="N725" t="s">
        <v>2279</v>
      </c>
      <c r="O725" s="190" t="str">
        <f>"["&amp;$C725&amp;"]["&amp;$D725&amp;"]["&amp;$F725&amp;"]"</f>
        <v>[S06_InstallationsVerificationReportsIssueDetail][16][NumberOfIssues]</v>
      </c>
    </row>
    <row r="726" spans="1:15" x14ac:dyDescent="0.3">
      <c r="A726" t="s">
        <v>2277</v>
      </c>
      <c r="B726" t="s">
        <v>1985</v>
      </c>
      <c r="C726" t="s">
        <v>1987</v>
      </c>
      <c r="D726">
        <v>17</v>
      </c>
      <c r="E726" t="s">
        <v>1447</v>
      </c>
      <c r="F726" t="s">
        <v>1972</v>
      </c>
      <c r="G726" t="s">
        <v>1748</v>
      </c>
      <c r="H726" t="s">
        <v>2279</v>
      </c>
      <c r="I726">
        <v>1</v>
      </c>
      <c r="J726" t="s">
        <v>2279</v>
      </c>
      <c r="K726" t="s">
        <v>2279</v>
      </c>
      <c r="L726" t="s">
        <v>2279</v>
      </c>
      <c r="M726" t="s">
        <v>2279</v>
      </c>
      <c r="N726" t="s">
        <v>2279</v>
      </c>
      <c r="O726" s="190" t="str">
        <f>"["&amp;$C726&amp;"]["&amp;$D726&amp;"]["&amp;$F726&amp;"]"</f>
        <v>[S06_InstallationsVerificationReportsIssueDetail][17][NumberOfIssues]</v>
      </c>
    </row>
    <row r="727" spans="1:15" x14ac:dyDescent="0.3">
      <c r="A727" t="s">
        <v>2277</v>
      </c>
      <c r="B727" t="s">
        <v>1985</v>
      </c>
      <c r="C727" t="s">
        <v>1987</v>
      </c>
      <c r="D727">
        <v>18</v>
      </c>
      <c r="E727" t="s">
        <v>1447</v>
      </c>
      <c r="F727" t="s">
        <v>1972</v>
      </c>
      <c r="G727" t="s">
        <v>1748</v>
      </c>
      <c r="H727" t="s">
        <v>2279</v>
      </c>
      <c r="I727">
        <v>1</v>
      </c>
      <c r="J727" t="s">
        <v>2279</v>
      </c>
      <c r="K727" t="s">
        <v>2279</v>
      </c>
      <c r="L727" t="s">
        <v>2279</v>
      </c>
      <c r="M727" t="s">
        <v>2279</v>
      </c>
      <c r="N727" t="s">
        <v>2279</v>
      </c>
      <c r="O727" s="190" t="str">
        <f>"["&amp;$C727&amp;"]["&amp;$D727&amp;"]["&amp;$F727&amp;"]"</f>
        <v>[S06_InstallationsVerificationReportsIssueDetail][18][NumberOfIssues]</v>
      </c>
    </row>
    <row r="728" spans="1:15" x14ac:dyDescent="0.3">
      <c r="A728" t="s">
        <v>2277</v>
      </c>
      <c r="B728" t="s">
        <v>1985</v>
      </c>
      <c r="C728" t="s">
        <v>1987</v>
      </c>
      <c r="D728">
        <v>19</v>
      </c>
      <c r="E728" t="s">
        <v>1447</v>
      </c>
      <c r="F728" t="s">
        <v>1972</v>
      </c>
      <c r="G728" t="s">
        <v>1748</v>
      </c>
      <c r="H728" t="s">
        <v>2279</v>
      </c>
      <c r="I728">
        <v>1</v>
      </c>
      <c r="J728" t="s">
        <v>2279</v>
      </c>
      <c r="K728" t="s">
        <v>2279</v>
      </c>
      <c r="L728" t="s">
        <v>2279</v>
      </c>
      <c r="M728" t="s">
        <v>2279</v>
      </c>
      <c r="N728" t="s">
        <v>2279</v>
      </c>
      <c r="O728" s="190" t="str">
        <f>"["&amp;$C728&amp;"]["&amp;$D728&amp;"]["&amp;$F728&amp;"]"</f>
        <v>[S06_InstallationsVerificationReportsIssueDetail][19][NumberOfIssues]</v>
      </c>
    </row>
    <row r="729" spans="1:15" x14ac:dyDescent="0.3">
      <c r="A729" t="s">
        <v>2277</v>
      </c>
      <c r="B729" t="s">
        <v>1985</v>
      </c>
      <c r="C729" t="s">
        <v>1987</v>
      </c>
      <c r="D729">
        <v>20</v>
      </c>
      <c r="E729" t="s">
        <v>1447</v>
      </c>
      <c r="F729" t="s">
        <v>1972</v>
      </c>
      <c r="G729" t="s">
        <v>1748</v>
      </c>
      <c r="H729" t="s">
        <v>2279</v>
      </c>
      <c r="I729">
        <v>6</v>
      </c>
      <c r="J729" t="s">
        <v>2279</v>
      </c>
      <c r="K729" t="s">
        <v>2279</v>
      </c>
      <c r="L729" t="s">
        <v>2279</v>
      </c>
      <c r="M729" t="s">
        <v>2279</v>
      </c>
      <c r="N729" t="s">
        <v>2279</v>
      </c>
      <c r="O729" s="190" t="str">
        <f>"["&amp;$C729&amp;"]["&amp;$D729&amp;"]["&amp;$F729&amp;"]"</f>
        <v>[S06_InstallationsVerificationReportsIssueDetail][20][NumberOfIssues]</v>
      </c>
    </row>
    <row r="730" spans="1:15" x14ac:dyDescent="0.3">
      <c r="A730" t="s">
        <v>2277</v>
      </c>
      <c r="B730" t="s">
        <v>1985</v>
      </c>
      <c r="C730" t="s">
        <v>1987</v>
      </c>
      <c r="D730">
        <v>21</v>
      </c>
      <c r="E730" t="s">
        <v>1447</v>
      </c>
      <c r="F730" t="s">
        <v>1972</v>
      </c>
      <c r="G730" t="s">
        <v>1748</v>
      </c>
      <c r="H730" t="s">
        <v>2279</v>
      </c>
      <c r="I730">
        <v>1</v>
      </c>
      <c r="J730" t="s">
        <v>2279</v>
      </c>
      <c r="K730" t="s">
        <v>2279</v>
      </c>
      <c r="L730" t="s">
        <v>2279</v>
      </c>
      <c r="M730" t="s">
        <v>2279</v>
      </c>
      <c r="N730" t="s">
        <v>2279</v>
      </c>
      <c r="O730" s="190" t="str">
        <f>"["&amp;$C730&amp;"]["&amp;$D730&amp;"]["&amp;$F730&amp;"]"</f>
        <v>[S06_InstallationsVerificationReportsIssueDetail][21][NumberOfIssues]</v>
      </c>
    </row>
    <row r="731" spans="1:15" x14ac:dyDescent="0.3">
      <c r="A731" t="s">
        <v>2277</v>
      </c>
      <c r="B731" t="s">
        <v>1985</v>
      </c>
      <c r="C731" t="s">
        <v>1987</v>
      </c>
      <c r="D731">
        <v>22</v>
      </c>
      <c r="E731" t="s">
        <v>1447</v>
      </c>
      <c r="F731" t="s">
        <v>1972</v>
      </c>
      <c r="G731" t="s">
        <v>1748</v>
      </c>
      <c r="H731" t="s">
        <v>2279</v>
      </c>
      <c r="I731">
        <v>1</v>
      </c>
      <c r="J731" t="s">
        <v>2279</v>
      </c>
      <c r="K731" t="s">
        <v>2279</v>
      </c>
      <c r="L731" t="s">
        <v>2279</v>
      </c>
      <c r="M731" t="s">
        <v>2279</v>
      </c>
      <c r="N731" t="s">
        <v>2279</v>
      </c>
      <c r="O731" s="190" t="str">
        <f>"["&amp;$C731&amp;"]["&amp;$D731&amp;"]["&amp;$F731&amp;"]"</f>
        <v>[S06_InstallationsVerificationReportsIssueDetail][22][NumberOfIssues]</v>
      </c>
    </row>
    <row r="732" spans="1:15" x14ac:dyDescent="0.3">
      <c r="A732" t="s">
        <v>2277</v>
      </c>
      <c r="B732" t="s">
        <v>1985</v>
      </c>
      <c r="C732" t="s">
        <v>1987</v>
      </c>
      <c r="D732">
        <v>23</v>
      </c>
      <c r="E732" t="s">
        <v>1447</v>
      </c>
      <c r="F732" t="s">
        <v>1972</v>
      </c>
      <c r="G732" t="s">
        <v>1748</v>
      </c>
      <c r="H732" t="s">
        <v>2279</v>
      </c>
      <c r="I732">
        <v>1</v>
      </c>
      <c r="J732" t="s">
        <v>2279</v>
      </c>
      <c r="K732" t="s">
        <v>2279</v>
      </c>
      <c r="L732" t="s">
        <v>2279</v>
      </c>
      <c r="M732" t="s">
        <v>2279</v>
      </c>
      <c r="N732" t="s">
        <v>2279</v>
      </c>
      <c r="O732" s="190" t="str">
        <f>"["&amp;$C732&amp;"]["&amp;$D732&amp;"]["&amp;$F732&amp;"]"</f>
        <v>[S06_InstallationsVerificationReportsIssueDetail][23][NumberOfIssues]</v>
      </c>
    </row>
    <row r="733" spans="1:15" x14ac:dyDescent="0.3">
      <c r="A733" t="s">
        <v>2277</v>
      </c>
      <c r="B733" t="s">
        <v>1985</v>
      </c>
      <c r="C733" t="s">
        <v>1987</v>
      </c>
      <c r="D733">
        <v>24</v>
      </c>
      <c r="E733" t="s">
        <v>1447</v>
      </c>
      <c r="F733" t="s">
        <v>1972</v>
      </c>
      <c r="G733" t="s">
        <v>1748</v>
      </c>
      <c r="H733" t="s">
        <v>2279</v>
      </c>
      <c r="I733">
        <v>3</v>
      </c>
      <c r="J733" t="s">
        <v>2279</v>
      </c>
      <c r="K733" t="s">
        <v>2279</v>
      </c>
      <c r="L733" t="s">
        <v>2279</v>
      </c>
      <c r="M733" t="s">
        <v>2279</v>
      </c>
      <c r="N733" t="s">
        <v>2279</v>
      </c>
      <c r="O733" s="190" t="str">
        <f>"["&amp;$C733&amp;"]["&amp;$D733&amp;"]["&amp;$F733&amp;"]"</f>
        <v>[S06_InstallationsVerificationReportsIssueDetail][24][NumberOfIssues]</v>
      </c>
    </row>
    <row r="734" spans="1:15" x14ac:dyDescent="0.3">
      <c r="A734" t="s">
        <v>2277</v>
      </c>
      <c r="B734" t="s">
        <v>1985</v>
      </c>
      <c r="C734" t="s">
        <v>1987</v>
      </c>
      <c r="D734">
        <v>25</v>
      </c>
      <c r="E734" t="s">
        <v>1447</v>
      </c>
      <c r="F734" t="s">
        <v>1972</v>
      </c>
      <c r="G734" t="s">
        <v>1748</v>
      </c>
      <c r="H734" t="s">
        <v>2279</v>
      </c>
      <c r="I734">
        <v>1</v>
      </c>
      <c r="J734" t="s">
        <v>2279</v>
      </c>
      <c r="K734" t="s">
        <v>2279</v>
      </c>
      <c r="L734" t="s">
        <v>2279</v>
      </c>
      <c r="M734" t="s">
        <v>2279</v>
      </c>
      <c r="N734" t="s">
        <v>2279</v>
      </c>
      <c r="O734" s="190" t="str">
        <f>"["&amp;$C734&amp;"]["&amp;$D734&amp;"]["&amp;$F734&amp;"]"</f>
        <v>[S06_InstallationsVerificationReportsIssueDetail][25][NumberOfIssues]</v>
      </c>
    </row>
    <row r="735" spans="1:15" x14ac:dyDescent="0.3">
      <c r="A735" t="s">
        <v>2277</v>
      </c>
      <c r="B735" t="s">
        <v>1985</v>
      </c>
      <c r="C735" t="s">
        <v>1987</v>
      </c>
      <c r="D735">
        <v>26</v>
      </c>
      <c r="E735" t="s">
        <v>1447</v>
      </c>
      <c r="F735" t="s">
        <v>1972</v>
      </c>
      <c r="G735" t="s">
        <v>1748</v>
      </c>
      <c r="H735" t="s">
        <v>2279</v>
      </c>
      <c r="I735">
        <v>2</v>
      </c>
      <c r="J735" t="s">
        <v>2279</v>
      </c>
      <c r="K735" t="s">
        <v>2279</v>
      </c>
      <c r="L735" t="s">
        <v>2279</v>
      </c>
      <c r="M735" t="s">
        <v>2279</v>
      </c>
      <c r="N735" t="s">
        <v>2279</v>
      </c>
      <c r="O735" s="190" t="str">
        <f>"["&amp;$C735&amp;"]["&amp;$D735&amp;"]["&amp;$F735&amp;"]"</f>
        <v>[S06_InstallationsVerificationReportsIssueDetail][26][NumberOfIssues]</v>
      </c>
    </row>
    <row r="736" spans="1:15" x14ac:dyDescent="0.3">
      <c r="A736" t="s">
        <v>2277</v>
      </c>
      <c r="B736" t="s">
        <v>1985</v>
      </c>
      <c r="C736" t="s">
        <v>1987</v>
      </c>
      <c r="D736">
        <v>27</v>
      </c>
      <c r="E736" t="s">
        <v>1447</v>
      </c>
      <c r="F736" t="s">
        <v>1972</v>
      </c>
      <c r="G736" t="s">
        <v>1748</v>
      </c>
      <c r="H736" t="s">
        <v>2279</v>
      </c>
      <c r="I736">
        <v>4</v>
      </c>
      <c r="J736" t="s">
        <v>2279</v>
      </c>
      <c r="K736" t="s">
        <v>2279</v>
      </c>
      <c r="L736" t="s">
        <v>2279</v>
      </c>
      <c r="M736" t="s">
        <v>2279</v>
      </c>
      <c r="N736" t="s">
        <v>2279</v>
      </c>
      <c r="O736" s="190" t="str">
        <f>"["&amp;$C736&amp;"]["&amp;$D736&amp;"]["&amp;$F736&amp;"]"</f>
        <v>[S06_InstallationsVerificationReportsIssueDetail][27][NumberOfIssues]</v>
      </c>
    </row>
    <row r="737" spans="1:15" x14ac:dyDescent="0.3">
      <c r="A737" t="s">
        <v>2277</v>
      </c>
      <c r="B737" t="s">
        <v>1985</v>
      </c>
      <c r="C737" t="s">
        <v>1987</v>
      </c>
      <c r="D737">
        <v>28</v>
      </c>
      <c r="E737" t="s">
        <v>1447</v>
      </c>
      <c r="F737" t="s">
        <v>1972</v>
      </c>
      <c r="G737" t="s">
        <v>1748</v>
      </c>
      <c r="H737" t="s">
        <v>2279</v>
      </c>
      <c r="I737">
        <v>5</v>
      </c>
      <c r="J737" t="s">
        <v>2279</v>
      </c>
      <c r="K737" t="s">
        <v>2279</v>
      </c>
      <c r="L737" t="s">
        <v>2279</v>
      </c>
      <c r="M737" t="s">
        <v>2279</v>
      </c>
      <c r="N737" t="s">
        <v>2279</v>
      </c>
      <c r="O737" s="190" t="str">
        <f>"["&amp;$C737&amp;"]["&amp;$D737&amp;"]["&amp;$F737&amp;"]"</f>
        <v>[S06_InstallationsVerificationReportsIssueDetail][28][NumberOfIssues]</v>
      </c>
    </row>
    <row r="738" spans="1:15" x14ac:dyDescent="0.3">
      <c r="A738" t="s">
        <v>2277</v>
      </c>
      <c r="B738" t="s">
        <v>1985</v>
      </c>
      <c r="C738" t="s">
        <v>1987</v>
      </c>
      <c r="D738">
        <v>1</v>
      </c>
      <c r="E738" t="s">
        <v>1447</v>
      </c>
      <c r="F738" t="s">
        <v>1990</v>
      </c>
      <c r="G738" t="s">
        <v>1806</v>
      </c>
      <c r="H738" t="s">
        <v>2279</v>
      </c>
      <c r="I738" t="s">
        <v>2279</v>
      </c>
      <c r="J738">
        <v>0</v>
      </c>
      <c r="K738" t="s">
        <v>2279</v>
      </c>
      <c r="L738" t="s">
        <v>2279</v>
      </c>
      <c r="M738" t="s">
        <v>2279</v>
      </c>
      <c r="N738" t="s">
        <v>2279</v>
      </c>
      <c r="O738" s="190" t="str">
        <f>"["&amp;$C738&amp;"]["&amp;$D738&amp;"]["&amp;$F738&amp;"]"</f>
        <v>[S06_InstallationsVerificationReportsIssueDetail][1][ShareOfReportsConservativeEstimate]</v>
      </c>
    </row>
    <row r="739" spans="1:15" x14ac:dyDescent="0.3">
      <c r="A739" t="s">
        <v>2277</v>
      </c>
      <c r="B739" t="s">
        <v>1985</v>
      </c>
      <c r="C739" t="s">
        <v>1987</v>
      </c>
      <c r="D739">
        <v>2</v>
      </c>
      <c r="E739" t="s">
        <v>1447</v>
      </c>
      <c r="F739" t="s">
        <v>1990</v>
      </c>
      <c r="G739" t="s">
        <v>1806</v>
      </c>
      <c r="H739" t="s">
        <v>2279</v>
      </c>
      <c r="I739" t="s">
        <v>2279</v>
      </c>
      <c r="J739">
        <v>0</v>
      </c>
      <c r="K739" t="s">
        <v>2279</v>
      </c>
      <c r="L739" t="s">
        <v>2279</v>
      </c>
      <c r="M739" t="s">
        <v>2279</v>
      </c>
      <c r="N739" t="s">
        <v>2279</v>
      </c>
      <c r="O739" s="190" t="str">
        <f>"["&amp;$C739&amp;"]["&amp;$D739&amp;"]["&amp;$F739&amp;"]"</f>
        <v>[S06_InstallationsVerificationReportsIssueDetail][2][ShareOfReportsConservativeEstimate]</v>
      </c>
    </row>
    <row r="740" spans="1:15" x14ac:dyDescent="0.3">
      <c r="A740" t="s">
        <v>2277</v>
      </c>
      <c r="B740" t="s">
        <v>1985</v>
      </c>
      <c r="C740" t="s">
        <v>1987</v>
      </c>
      <c r="D740">
        <v>3</v>
      </c>
      <c r="E740" t="s">
        <v>1447</v>
      </c>
      <c r="F740" t="s">
        <v>1990</v>
      </c>
      <c r="G740" t="s">
        <v>1806</v>
      </c>
      <c r="H740" t="s">
        <v>2279</v>
      </c>
      <c r="I740" t="s">
        <v>2279</v>
      </c>
      <c r="J740">
        <v>0</v>
      </c>
      <c r="K740" t="s">
        <v>2279</v>
      </c>
      <c r="L740" t="s">
        <v>2279</v>
      </c>
      <c r="M740" t="s">
        <v>2279</v>
      </c>
      <c r="N740" t="s">
        <v>2279</v>
      </c>
      <c r="O740" s="190" t="str">
        <f>"["&amp;$C740&amp;"]["&amp;$D740&amp;"]["&amp;$F740&amp;"]"</f>
        <v>[S06_InstallationsVerificationReportsIssueDetail][3][ShareOfReportsConservativeEstimate]</v>
      </c>
    </row>
    <row r="741" spans="1:15" x14ac:dyDescent="0.3">
      <c r="A741" t="s">
        <v>2277</v>
      </c>
      <c r="B741" t="s">
        <v>1985</v>
      </c>
      <c r="C741" t="s">
        <v>1987</v>
      </c>
      <c r="D741">
        <v>4</v>
      </c>
      <c r="E741" t="s">
        <v>1447</v>
      </c>
      <c r="F741" t="s">
        <v>1990</v>
      </c>
      <c r="G741" t="s">
        <v>1806</v>
      </c>
      <c r="H741" t="s">
        <v>2279</v>
      </c>
      <c r="I741" t="s">
        <v>2279</v>
      </c>
      <c r="J741">
        <v>0</v>
      </c>
      <c r="K741" t="s">
        <v>2279</v>
      </c>
      <c r="L741" t="s">
        <v>2279</v>
      </c>
      <c r="M741" t="s">
        <v>2279</v>
      </c>
      <c r="N741" t="s">
        <v>2279</v>
      </c>
      <c r="O741" s="190" t="str">
        <f>"["&amp;$C741&amp;"]["&amp;$D741&amp;"]["&amp;$F741&amp;"]"</f>
        <v>[S06_InstallationsVerificationReportsIssueDetail][4][ShareOfReportsConservativeEstimate]</v>
      </c>
    </row>
    <row r="742" spans="1:15" x14ac:dyDescent="0.3">
      <c r="A742" t="s">
        <v>2277</v>
      </c>
      <c r="B742" t="s">
        <v>1985</v>
      </c>
      <c r="C742" t="s">
        <v>1987</v>
      </c>
      <c r="D742">
        <v>5</v>
      </c>
      <c r="E742" t="s">
        <v>1447</v>
      </c>
      <c r="F742" t="s">
        <v>1990</v>
      </c>
      <c r="G742" t="s">
        <v>1806</v>
      </c>
      <c r="H742" t="s">
        <v>2279</v>
      </c>
      <c r="I742" t="s">
        <v>2279</v>
      </c>
      <c r="J742">
        <v>0</v>
      </c>
      <c r="K742" t="s">
        <v>2279</v>
      </c>
      <c r="L742" t="s">
        <v>2279</v>
      </c>
      <c r="M742" t="s">
        <v>2279</v>
      </c>
      <c r="N742" t="s">
        <v>2279</v>
      </c>
      <c r="O742" s="190" t="str">
        <f>"["&amp;$C742&amp;"]["&amp;$D742&amp;"]["&amp;$F742&amp;"]"</f>
        <v>[S06_InstallationsVerificationReportsIssueDetail][5][ShareOfReportsConservativeEstimate]</v>
      </c>
    </row>
    <row r="743" spans="1:15" x14ac:dyDescent="0.3">
      <c r="A743" t="s">
        <v>2277</v>
      </c>
      <c r="B743" t="s">
        <v>1985</v>
      </c>
      <c r="C743" t="s">
        <v>1987</v>
      </c>
      <c r="D743">
        <v>6</v>
      </c>
      <c r="E743" t="s">
        <v>1447</v>
      </c>
      <c r="F743" t="s">
        <v>1990</v>
      </c>
      <c r="G743" t="s">
        <v>1806</v>
      </c>
      <c r="H743" t="s">
        <v>2279</v>
      </c>
      <c r="I743" t="s">
        <v>2279</v>
      </c>
      <c r="J743">
        <v>0</v>
      </c>
      <c r="K743" t="s">
        <v>2279</v>
      </c>
      <c r="L743" t="s">
        <v>2279</v>
      </c>
      <c r="M743" t="s">
        <v>2279</v>
      </c>
      <c r="N743" t="s">
        <v>2279</v>
      </c>
      <c r="O743" s="190" t="str">
        <f>"["&amp;$C743&amp;"]["&amp;$D743&amp;"]["&amp;$F743&amp;"]"</f>
        <v>[S06_InstallationsVerificationReportsIssueDetail][6][ShareOfReportsConservativeEstimate]</v>
      </c>
    </row>
    <row r="744" spans="1:15" x14ac:dyDescent="0.3">
      <c r="A744" t="s">
        <v>2277</v>
      </c>
      <c r="B744" t="s">
        <v>1985</v>
      </c>
      <c r="C744" t="s">
        <v>1987</v>
      </c>
      <c r="D744">
        <v>7</v>
      </c>
      <c r="E744" t="s">
        <v>1447</v>
      </c>
      <c r="F744" t="s">
        <v>1990</v>
      </c>
      <c r="G744" t="s">
        <v>1806</v>
      </c>
      <c r="H744" t="s">
        <v>2279</v>
      </c>
      <c r="I744" t="s">
        <v>2279</v>
      </c>
      <c r="J744">
        <v>0</v>
      </c>
      <c r="K744" t="s">
        <v>2279</v>
      </c>
      <c r="L744" t="s">
        <v>2279</v>
      </c>
      <c r="M744" t="s">
        <v>2279</v>
      </c>
      <c r="N744" t="s">
        <v>2279</v>
      </c>
      <c r="O744" s="190" t="str">
        <f>"["&amp;$C744&amp;"]["&amp;$D744&amp;"]["&amp;$F744&amp;"]"</f>
        <v>[S06_InstallationsVerificationReportsIssueDetail][7][ShareOfReportsConservativeEstimate]</v>
      </c>
    </row>
    <row r="745" spans="1:15" x14ac:dyDescent="0.3">
      <c r="A745" t="s">
        <v>2277</v>
      </c>
      <c r="B745" t="s">
        <v>1985</v>
      </c>
      <c r="C745" t="s">
        <v>1987</v>
      </c>
      <c r="D745">
        <v>8</v>
      </c>
      <c r="E745" t="s">
        <v>1447</v>
      </c>
      <c r="F745" t="s">
        <v>1990</v>
      </c>
      <c r="G745" t="s">
        <v>1806</v>
      </c>
      <c r="H745" t="s">
        <v>2279</v>
      </c>
      <c r="I745" t="s">
        <v>2279</v>
      </c>
      <c r="J745">
        <v>0</v>
      </c>
      <c r="K745" t="s">
        <v>2279</v>
      </c>
      <c r="L745" t="s">
        <v>2279</v>
      </c>
      <c r="M745" t="s">
        <v>2279</v>
      </c>
      <c r="N745" t="s">
        <v>2279</v>
      </c>
      <c r="O745" s="190" t="str">
        <f>"["&amp;$C745&amp;"]["&amp;$D745&amp;"]["&amp;$F745&amp;"]"</f>
        <v>[S06_InstallationsVerificationReportsIssueDetail][8][ShareOfReportsConservativeEstimate]</v>
      </c>
    </row>
    <row r="746" spans="1:15" x14ac:dyDescent="0.3">
      <c r="A746" t="s">
        <v>2277</v>
      </c>
      <c r="B746" t="s">
        <v>1985</v>
      </c>
      <c r="C746" t="s">
        <v>1987</v>
      </c>
      <c r="D746">
        <v>9</v>
      </c>
      <c r="E746" t="s">
        <v>1447</v>
      </c>
      <c r="F746" t="s">
        <v>1990</v>
      </c>
      <c r="G746" t="s">
        <v>1806</v>
      </c>
      <c r="H746" t="s">
        <v>2279</v>
      </c>
      <c r="I746" t="s">
        <v>2279</v>
      </c>
      <c r="J746">
        <v>0</v>
      </c>
      <c r="K746" t="s">
        <v>2279</v>
      </c>
      <c r="L746" t="s">
        <v>2279</v>
      </c>
      <c r="M746" t="s">
        <v>2279</v>
      </c>
      <c r="N746" t="s">
        <v>2279</v>
      </c>
      <c r="O746" s="190" t="str">
        <f>"["&amp;$C746&amp;"]["&amp;$D746&amp;"]["&amp;$F746&amp;"]"</f>
        <v>[S06_InstallationsVerificationReportsIssueDetail][9][ShareOfReportsConservativeEstimate]</v>
      </c>
    </row>
    <row r="747" spans="1:15" x14ac:dyDescent="0.3">
      <c r="A747" t="s">
        <v>2277</v>
      </c>
      <c r="B747" t="s">
        <v>1985</v>
      </c>
      <c r="C747" t="s">
        <v>1987</v>
      </c>
      <c r="D747">
        <v>10</v>
      </c>
      <c r="E747" t="s">
        <v>1447</v>
      </c>
      <c r="F747" t="s">
        <v>1990</v>
      </c>
      <c r="G747" t="s">
        <v>1806</v>
      </c>
      <c r="H747" t="s">
        <v>2279</v>
      </c>
      <c r="I747" t="s">
        <v>2279</v>
      </c>
      <c r="J747">
        <v>0</v>
      </c>
      <c r="K747" t="s">
        <v>2279</v>
      </c>
      <c r="L747" t="s">
        <v>2279</v>
      </c>
      <c r="M747" t="s">
        <v>2279</v>
      </c>
      <c r="N747" t="s">
        <v>2279</v>
      </c>
      <c r="O747" s="190" t="str">
        <f>"["&amp;$C747&amp;"]["&amp;$D747&amp;"]["&amp;$F747&amp;"]"</f>
        <v>[S06_InstallationsVerificationReportsIssueDetail][10][ShareOfReportsConservativeEstimate]</v>
      </c>
    </row>
    <row r="748" spans="1:15" x14ac:dyDescent="0.3">
      <c r="A748" t="s">
        <v>2277</v>
      </c>
      <c r="B748" t="s">
        <v>1985</v>
      </c>
      <c r="C748" t="s">
        <v>1987</v>
      </c>
      <c r="D748">
        <v>11</v>
      </c>
      <c r="E748" t="s">
        <v>1447</v>
      </c>
      <c r="F748" t="s">
        <v>1990</v>
      </c>
      <c r="G748" t="s">
        <v>1806</v>
      </c>
      <c r="H748" t="s">
        <v>2279</v>
      </c>
      <c r="I748" t="s">
        <v>2279</v>
      </c>
      <c r="J748">
        <v>0</v>
      </c>
      <c r="K748" t="s">
        <v>2279</v>
      </c>
      <c r="L748" t="s">
        <v>2279</v>
      </c>
      <c r="M748" t="s">
        <v>2279</v>
      </c>
      <c r="N748" t="s">
        <v>2279</v>
      </c>
      <c r="O748" s="190" t="str">
        <f>"["&amp;$C748&amp;"]["&amp;$D748&amp;"]["&amp;$F748&amp;"]"</f>
        <v>[S06_InstallationsVerificationReportsIssueDetail][11][ShareOfReportsConservativeEstimate]</v>
      </c>
    </row>
    <row r="749" spans="1:15" x14ac:dyDescent="0.3">
      <c r="A749" t="s">
        <v>2277</v>
      </c>
      <c r="B749" t="s">
        <v>1985</v>
      </c>
      <c r="C749" t="s">
        <v>1987</v>
      </c>
      <c r="D749">
        <v>12</v>
      </c>
      <c r="E749" t="s">
        <v>1447</v>
      </c>
      <c r="F749" t="s">
        <v>1990</v>
      </c>
      <c r="G749" t="s">
        <v>1806</v>
      </c>
      <c r="H749" t="s">
        <v>2279</v>
      </c>
      <c r="I749" t="s">
        <v>2279</v>
      </c>
      <c r="J749">
        <v>0</v>
      </c>
      <c r="K749" t="s">
        <v>2279</v>
      </c>
      <c r="L749" t="s">
        <v>2279</v>
      </c>
      <c r="M749" t="s">
        <v>2279</v>
      </c>
      <c r="N749" t="s">
        <v>2279</v>
      </c>
      <c r="O749" s="190" t="str">
        <f>"["&amp;$C749&amp;"]["&amp;$D749&amp;"]["&amp;$F749&amp;"]"</f>
        <v>[S06_InstallationsVerificationReportsIssueDetail][12][ShareOfReportsConservativeEstimate]</v>
      </c>
    </row>
    <row r="750" spans="1:15" x14ac:dyDescent="0.3">
      <c r="A750" t="s">
        <v>2277</v>
      </c>
      <c r="B750" t="s">
        <v>1985</v>
      </c>
      <c r="C750" t="s">
        <v>1987</v>
      </c>
      <c r="D750">
        <v>13</v>
      </c>
      <c r="E750" t="s">
        <v>1447</v>
      </c>
      <c r="F750" t="s">
        <v>1990</v>
      </c>
      <c r="G750" t="s">
        <v>1806</v>
      </c>
      <c r="H750" t="s">
        <v>2279</v>
      </c>
      <c r="I750" t="s">
        <v>2279</v>
      </c>
      <c r="J750">
        <v>0</v>
      </c>
      <c r="K750" t="s">
        <v>2279</v>
      </c>
      <c r="L750" t="s">
        <v>2279</v>
      </c>
      <c r="M750" t="s">
        <v>2279</v>
      </c>
      <c r="N750" t="s">
        <v>2279</v>
      </c>
      <c r="O750" s="190" t="str">
        <f>"["&amp;$C750&amp;"]["&amp;$D750&amp;"]["&amp;$F750&amp;"]"</f>
        <v>[S06_InstallationsVerificationReportsIssueDetail][13][ShareOfReportsConservativeEstimate]</v>
      </c>
    </row>
    <row r="751" spans="1:15" x14ac:dyDescent="0.3">
      <c r="A751" t="s">
        <v>2277</v>
      </c>
      <c r="B751" t="s">
        <v>1985</v>
      </c>
      <c r="C751" t="s">
        <v>1987</v>
      </c>
      <c r="D751">
        <v>14</v>
      </c>
      <c r="E751" t="s">
        <v>1447</v>
      </c>
      <c r="F751" t="s">
        <v>1990</v>
      </c>
      <c r="G751" t="s">
        <v>1806</v>
      </c>
      <c r="H751" t="s">
        <v>2279</v>
      </c>
      <c r="I751" t="s">
        <v>2279</v>
      </c>
      <c r="J751">
        <v>0</v>
      </c>
      <c r="K751" t="s">
        <v>2279</v>
      </c>
      <c r="L751" t="s">
        <v>2279</v>
      </c>
      <c r="M751" t="s">
        <v>2279</v>
      </c>
      <c r="N751" t="s">
        <v>2279</v>
      </c>
      <c r="O751" s="190" t="str">
        <f>"["&amp;$C751&amp;"]["&amp;$D751&amp;"]["&amp;$F751&amp;"]"</f>
        <v>[S06_InstallationsVerificationReportsIssueDetail][14][ShareOfReportsConservativeEstimate]</v>
      </c>
    </row>
    <row r="752" spans="1:15" x14ac:dyDescent="0.3">
      <c r="A752" t="s">
        <v>2277</v>
      </c>
      <c r="B752" t="s">
        <v>1985</v>
      </c>
      <c r="C752" t="s">
        <v>1987</v>
      </c>
      <c r="D752">
        <v>15</v>
      </c>
      <c r="E752" t="s">
        <v>1447</v>
      </c>
      <c r="F752" t="s">
        <v>1990</v>
      </c>
      <c r="G752" t="s">
        <v>1806</v>
      </c>
      <c r="H752" t="s">
        <v>2279</v>
      </c>
      <c r="I752" t="s">
        <v>2279</v>
      </c>
      <c r="J752">
        <v>0</v>
      </c>
      <c r="K752" t="s">
        <v>2279</v>
      </c>
      <c r="L752" t="s">
        <v>2279</v>
      </c>
      <c r="M752" t="s">
        <v>2279</v>
      </c>
      <c r="N752" t="s">
        <v>2279</v>
      </c>
      <c r="O752" s="190" t="str">
        <f>"["&amp;$C752&amp;"]["&amp;$D752&amp;"]["&amp;$F752&amp;"]"</f>
        <v>[S06_InstallationsVerificationReportsIssueDetail][15][ShareOfReportsConservativeEstimate]</v>
      </c>
    </row>
    <row r="753" spans="1:15" x14ac:dyDescent="0.3">
      <c r="A753" t="s">
        <v>2277</v>
      </c>
      <c r="B753" t="s">
        <v>1985</v>
      </c>
      <c r="C753" t="s">
        <v>1987</v>
      </c>
      <c r="D753">
        <v>16</v>
      </c>
      <c r="E753" t="s">
        <v>1447</v>
      </c>
      <c r="F753" t="s">
        <v>1990</v>
      </c>
      <c r="G753" t="s">
        <v>1806</v>
      </c>
      <c r="H753" t="s">
        <v>2279</v>
      </c>
      <c r="I753" t="s">
        <v>2279</v>
      </c>
      <c r="J753">
        <v>0</v>
      </c>
      <c r="K753" t="s">
        <v>2279</v>
      </c>
      <c r="L753" t="s">
        <v>2279</v>
      </c>
      <c r="M753" t="s">
        <v>2279</v>
      </c>
      <c r="N753" t="s">
        <v>2279</v>
      </c>
      <c r="O753" s="190" t="str">
        <f>"["&amp;$C753&amp;"]["&amp;$D753&amp;"]["&amp;$F753&amp;"]"</f>
        <v>[S06_InstallationsVerificationReportsIssueDetail][16][ShareOfReportsConservativeEstimate]</v>
      </c>
    </row>
    <row r="754" spans="1:15" x14ac:dyDescent="0.3">
      <c r="A754" t="s">
        <v>2277</v>
      </c>
      <c r="B754" t="s">
        <v>1985</v>
      </c>
      <c r="C754" t="s">
        <v>1987</v>
      </c>
      <c r="D754">
        <v>17</v>
      </c>
      <c r="E754" t="s">
        <v>1447</v>
      </c>
      <c r="F754" t="s">
        <v>1990</v>
      </c>
      <c r="G754" t="s">
        <v>1806</v>
      </c>
      <c r="H754" t="s">
        <v>2279</v>
      </c>
      <c r="I754" t="s">
        <v>2279</v>
      </c>
      <c r="J754">
        <v>0</v>
      </c>
      <c r="K754" t="s">
        <v>2279</v>
      </c>
      <c r="L754" t="s">
        <v>2279</v>
      </c>
      <c r="M754" t="s">
        <v>2279</v>
      </c>
      <c r="N754" t="s">
        <v>2279</v>
      </c>
      <c r="O754" s="190" t="str">
        <f>"["&amp;$C754&amp;"]["&amp;$D754&amp;"]["&amp;$F754&amp;"]"</f>
        <v>[S06_InstallationsVerificationReportsIssueDetail][17][ShareOfReportsConservativeEstimate]</v>
      </c>
    </row>
    <row r="755" spans="1:15" x14ac:dyDescent="0.3">
      <c r="A755" t="s">
        <v>2277</v>
      </c>
      <c r="B755" t="s">
        <v>1985</v>
      </c>
      <c r="C755" t="s">
        <v>1987</v>
      </c>
      <c r="D755">
        <v>18</v>
      </c>
      <c r="E755" t="s">
        <v>1447</v>
      </c>
      <c r="F755" t="s">
        <v>1990</v>
      </c>
      <c r="G755" t="s">
        <v>1806</v>
      </c>
      <c r="H755" t="s">
        <v>2279</v>
      </c>
      <c r="I755" t="s">
        <v>2279</v>
      </c>
      <c r="J755">
        <v>0</v>
      </c>
      <c r="K755" t="s">
        <v>2279</v>
      </c>
      <c r="L755" t="s">
        <v>2279</v>
      </c>
      <c r="M755" t="s">
        <v>2279</v>
      </c>
      <c r="N755" t="s">
        <v>2279</v>
      </c>
      <c r="O755" s="190" t="str">
        <f>"["&amp;$C755&amp;"]["&amp;$D755&amp;"]["&amp;$F755&amp;"]"</f>
        <v>[S06_InstallationsVerificationReportsIssueDetail][18][ShareOfReportsConservativeEstimate]</v>
      </c>
    </row>
    <row r="756" spans="1:15" x14ac:dyDescent="0.3">
      <c r="A756" t="s">
        <v>2277</v>
      </c>
      <c r="B756" t="s">
        <v>1985</v>
      </c>
      <c r="C756" t="s">
        <v>1987</v>
      </c>
      <c r="D756">
        <v>19</v>
      </c>
      <c r="E756" t="s">
        <v>1447</v>
      </c>
      <c r="F756" t="s">
        <v>1990</v>
      </c>
      <c r="G756" t="s">
        <v>1806</v>
      </c>
      <c r="H756" t="s">
        <v>2279</v>
      </c>
      <c r="I756" t="s">
        <v>2279</v>
      </c>
      <c r="J756">
        <v>0</v>
      </c>
      <c r="K756" t="s">
        <v>2279</v>
      </c>
      <c r="L756" t="s">
        <v>2279</v>
      </c>
      <c r="M756" t="s">
        <v>2279</v>
      </c>
      <c r="N756" t="s">
        <v>2279</v>
      </c>
      <c r="O756" s="190" t="str">
        <f>"["&amp;$C756&amp;"]["&amp;$D756&amp;"]["&amp;$F756&amp;"]"</f>
        <v>[S06_InstallationsVerificationReportsIssueDetail][19][ShareOfReportsConservativeEstimate]</v>
      </c>
    </row>
    <row r="757" spans="1:15" x14ac:dyDescent="0.3">
      <c r="A757" t="s">
        <v>2277</v>
      </c>
      <c r="B757" t="s">
        <v>1985</v>
      </c>
      <c r="C757" t="s">
        <v>1987</v>
      </c>
      <c r="D757">
        <v>20</v>
      </c>
      <c r="E757" t="s">
        <v>1447</v>
      </c>
      <c r="F757" t="s">
        <v>1990</v>
      </c>
      <c r="G757" t="s">
        <v>1806</v>
      </c>
      <c r="H757" t="s">
        <v>2279</v>
      </c>
      <c r="I757" t="s">
        <v>2279</v>
      </c>
      <c r="J757">
        <v>0</v>
      </c>
      <c r="K757" t="s">
        <v>2279</v>
      </c>
      <c r="L757" t="s">
        <v>2279</v>
      </c>
      <c r="M757" t="s">
        <v>2279</v>
      </c>
      <c r="N757" t="s">
        <v>2279</v>
      </c>
      <c r="O757" s="190" t="str">
        <f>"["&amp;$C757&amp;"]["&amp;$D757&amp;"]["&amp;$F757&amp;"]"</f>
        <v>[S06_InstallationsVerificationReportsIssueDetail][20][ShareOfReportsConservativeEstimate]</v>
      </c>
    </row>
    <row r="758" spans="1:15" x14ac:dyDescent="0.3">
      <c r="A758" t="s">
        <v>2277</v>
      </c>
      <c r="B758" t="s">
        <v>1985</v>
      </c>
      <c r="C758" t="s">
        <v>1987</v>
      </c>
      <c r="D758">
        <v>21</v>
      </c>
      <c r="E758" t="s">
        <v>1447</v>
      </c>
      <c r="F758" t="s">
        <v>1990</v>
      </c>
      <c r="G758" t="s">
        <v>1806</v>
      </c>
      <c r="H758" t="s">
        <v>2279</v>
      </c>
      <c r="I758" t="s">
        <v>2279</v>
      </c>
      <c r="J758">
        <v>0</v>
      </c>
      <c r="K758" t="s">
        <v>2279</v>
      </c>
      <c r="L758" t="s">
        <v>2279</v>
      </c>
      <c r="M758" t="s">
        <v>2279</v>
      </c>
      <c r="N758" t="s">
        <v>2279</v>
      </c>
      <c r="O758" s="190" t="str">
        <f>"["&amp;$C758&amp;"]["&amp;$D758&amp;"]["&amp;$F758&amp;"]"</f>
        <v>[S06_InstallationsVerificationReportsIssueDetail][21][ShareOfReportsConservativeEstimate]</v>
      </c>
    </row>
    <row r="759" spans="1:15" x14ac:dyDescent="0.3">
      <c r="A759" t="s">
        <v>2277</v>
      </c>
      <c r="B759" t="s">
        <v>1985</v>
      </c>
      <c r="C759" t="s">
        <v>1987</v>
      </c>
      <c r="D759">
        <v>22</v>
      </c>
      <c r="E759" t="s">
        <v>1447</v>
      </c>
      <c r="F759" t="s">
        <v>1990</v>
      </c>
      <c r="G759" t="s">
        <v>1806</v>
      </c>
      <c r="H759" t="s">
        <v>2279</v>
      </c>
      <c r="I759" t="s">
        <v>2279</v>
      </c>
      <c r="J759">
        <v>0</v>
      </c>
      <c r="K759" t="s">
        <v>2279</v>
      </c>
      <c r="L759" t="s">
        <v>2279</v>
      </c>
      <c r="M759" t="s">
        <v>2279</v>
      </c>
      <c r="N759" t="s">
        <v>2279</v>
      </c>
      <c r="O759" s="190" t="str">
        <f>"["&amp;$C759&amp;"]["&amp;$D759&amp;"]["&amp;$F759&amp;"]"</f>
        <v>[S06_InstallationsVerificationReportsIssueDetail][22][ShareOfReportsConservativeEstimate]</v>
      </c>
    </row>
    <row r="760" spans="1:15" x14ac:dyDescent="0.3">
      <c r="A760" t="s">
        <v>2277</v>
      </c>
      <c r="B760" t="s">
        <v>1985</v>
      </c>
      <c r="C760" t="s">
        <v>1987</v>
      </c>
      <c r="D760">
        <v>23</v>
      </c>
      <c r="E760" t="s">
        <v>1447</v>
      </c>
      <c r="F760" t="s">
        <v>1990</v>
      </c>
      <c r="G760" t="s">
        <v>1806</v>
      </c>
      <c r="H760" t="s">
        <v>2279</v>
      </c>
      <c r="I760" t="s">
        <v>2279</v>
      </c>
      <c r="J760">
        <v>0</v>
      </c>
      <c r="K760" t="s">
        <v>2279</v>
      </c>
      <c r="L760" t="s">
        <v>2279</v>
      </c>
      <c r="M760" t="s">
        <v>2279</v>
      </c>
      <c r="N760" t="s">
        <v>2279</v>
      </c>
      <c r="O760" s="190" t="str">
        <f>"["&amp;$C760&amp;"]["&amp;$D760&amp;"]["&amp;$F760&amp;"]"</f>
        <v>[S06_InstallationsVerificationReportsIssueDetail][23][ShareOfReportsConservativeEstimate]</v>
      </c>
    </row>
    <row r="761" spans="1:15" x14ac:dyDescent="0.3">
      <c r="A761" t="s">
        <v>2277</v>
      </c>
      <c r="B761" t="s">
        <v>1985</v>
      </c>
      <c r="C761" t="s">
        <v>1987</v>
      </c>
      <c r="D761">
        <v>24</v>
      </c>
      <c r="E761" t="s">
        <v>1447</v>
      </c>
      <c r="F761" t="s">
        <v>1990</v>
      </c>
      <c r="G761" t="s">
        <v>1806</v>
      </c>
      <c r="H761" t="s">
        <v>2279</v>
      </c>
      <c r="I761" t="s">
        <v>2279</v>
      </c>
      <c r="J761">
        <v>0</v>
      </c>
      <c r="K761" t="s">
        <v>2279</v>
      </c>
      <c r="L761" t="s">
        <v>2279</v>
      </c>
      <c r="M761" t="s">
        <v>2279</v>
      </c>
      <c r="N761" t="s">
        <v>2279</v>
      </c>
      <c r="O761" s="190" t="str">
        <f>"["&amp;$C761&amp;"]["&amp;$D761&amp;"]["&amp;$F761&amp;"]"</f>
        <v>[S06_InstallationsVerificationReportsIssueDetail][24][ShareOfReportsConservativeEstimate]</v>
      </c>
    </row>
    <row r="762" spans="1:15" x14ac:dyDescent="0.3">
      <c r="A762" t="s">
        <v>2277</v>
      </c>
      <c r="B762" t="s">
        <v>1985</v>
      </c>
      <c r="C762" t="s">
        <v>1987</v>
      </c>
      <c r="D762">
        <v>25</v>
      </c>
      <c r="E762" t="s">
        <v>1447</v>
      </c>
      <c r="F762" t="s">
        <v>1990</v>
      </c>
      <c r="G762" t="s">
        <v>1806</v>
      </c>
      <c r="H762" t="s">
        <v>2279</v>
      </c>
      <c r="I762" t="s">
        <v>2279</v>
      </c>
      <c r="J762">
        <v>0</v>
      </c>
      <c r="K762" t="s">
        <v>2279</v>
      </c>
      <c r="L762" t="s">
        <v>2279</v>
      </c>
      <c r="M762" t="s">
        <v>2279</v>
      </c>
      <c r="N762" t="s">
        <v>2279</v>
      </c>
      <c r="O762" s="190" t="str">
        <f>"["&amp;$C762&amp;"]["&amp;$D762&amp;"]["&amp;$F762&amp;"]"</f>
        <v>[S06_InstallationsVerificationReportsIssueDetail][25][ShareOfReportsConservativeEstimate]</v>
      </c>
    </row>
    <row r="763" spans="1:15" x14ac:dyDescent="0.3">
      <c r="A763" t="s">
        <v>2277</v>
      </c>
      <c r="B763" t="s">
        <v>1985</v>
      </c>
      <c r="C763" t="s">
        <v>1987</v>
      </c>
      <c r="D763">
        <v>26</v>
      </c>
      <c r="E763" t="s">
        <v>1447</v>
      </c>
      <c r="F763" t="s">
        <v>1990</v>
      </c>
      <c r="G763" t="s">
        <v>1806</v>
      </c>
      <c r="H763" t="s">
        <v>2279</v>
      </c>
      <c r="I763" t="s">
        <v>2279</v>
      </c>
      <c r="J763">
        <v>0</v>
      </c>
      <c r="K763" t="s">
        <v>2279</v>
      </c>
      <c r="L763" t="s">
        <v>2279</v>
      </c>
      <c r="M763" t="s">
        <v>2279</v>
      </c>
      <c r="N763" t="s">
        <v>2279</v>
      </c>
      <c r="O763" s="190" t="str">
        <f>"["&amp;$C763&amp;"]["&amp;$D763&amp;"]["&amp;$F763&amp;"]"</f>
        <v>[S06_InstallationsVerificationReportsIssueDetail][26][ShareOfReportsConservativeEstimate]</v>
      </c>
    </row>
    <row r="764" spans="1:15" x14ac:dyDescent="0.3">
      <c r="A764" t="s">
        <v>2277</v>
      </c>
      <c r="B764" t="s">
        <v>1985</v>
      </c>
      <c r="C764" t="s">
        <v>1987</v>
      </c>
      <c r="D764">
        <v>27</v>
      </c>
      <c r="E764" t="s">
        <v>1447</v>
      </c>
      <c r="F764" t="s">
        <v>1990</v>
      </c>
      <c r="G764" t="s">
        <v>1806</v>
      </c>
      <c r="H764" t="s">
        <v>2279</v>
      </c>
      <c r="I764" t="s">
        <v>2279</v>
      </c>
      <c r="J764">
        <v>0</v>
      </c>
      <c r="K764" t="s">
        <v>2279</v>
      </c>
      <c r="L764" t="s">
        <v>2279</v>
      </c>
      <c r="M764" t="s">
        <v>2279</v>
      </c>
      <c r="N764" t="s">
        <v>2279</v>
      </c>
      <c r="O764" s="190" t="str">
        <f>"["&amp;$C764&amp;"]["&amp;$D764&amp;"]["&amp;$F764&amp;"]"</f>
        <v>[S06_InstallationsVerificationReportsIssueDetail][27][ShareOfReportsConservativeEstimate]</v>
      </c>
    </row>
    <row r="765" spans="1:15" x14ac:dyDescent="0.3">
      <c r="A765" t="s">
        <v>2277</v>
      </c>
      <c r="B765" t="s">
        <v>1985</v>
      </c>
      <c r="C765" t="s">
        <v>1987</v>
      </c>
      <c r="D765">
        <v>28</v>
      </c>
      <c r="E765" t="s">
        <v>1447</v>
      </c>
      <c r="F765" t="s">
        <v>1990</v>
      </c>
      <c r="G765" t="s">
        <v>1806</v>
      </c>
      <c r="H765" t="s">
        <v>2279</v>
      </c>
      <c r="I765" t="s">
        <v>2279</v>
      </c>
      <c r="J765">
        <v>0</v>
      </c>
      <c r="K765" t="s">
        <v>2279</v>
      </c>
      <c r="L765" t="s">
        <v>2279</v>
      </c>
      <c r="M765" t="s">
        <v>2279</v>
      </c>
      <c r="N765" t="s">
        <v>2279</v>
      </c>
      <c r="O765" s="190" t="str">
        <f>"["&amp;$C765&amp;"]["&amp;$D765&amp;"]["&amp;$F765&amp;"]"</f>
        <v>[S06_InstallationsVerificationReportsIssueDetail][28][ShareOfReportsConservativeEstimate]</v>
      </c>
    </row>
    <row r="766" spans="1:15" x14ac:dyDescent="0.3">
      <c r="A766" t="s">
        <v>2277</v>
      </c>
      <c r="B766" t="s">
        <v>1991</v>
      </c>
      <c r="C766" t="s">
        <v>1992</v>
      </c>
      <c r="D766">
        <v>0</v>
      </c>
      <c r="E766" t="s">
        <v>1447</v>
      </c>
      <c r="F766" t="s">
        <v>1992</v>
      </c>
      <c r="G766" t="s">
        <v>1759</v>
      </c>
      <c r="H766" t="s">
        <v>2279</v>
      </c>
      <c r="I766" t="s">
        <v>2279</v>
      </c>
      <c r="J766" t="s">
        <v>2279</v>
      </c>
      <c r="K766" t="s">
        <v>2279</v>
      </c>
      <c r="L766" t="s">
        <v>1419</v>
      </c>
      <c r="M766" t="s">
        <v>2279</v>
      </c>
      <c r="N766" t="s">
        <v>2279</v>
      </c>
      <c r="O766" s="190" t="str">
        <f>"["&amp;$C766&amp;"]["&amp;$D766&amp;"]["&amp;$F766&amp;"]"</f>
        <v>[InstallationsVerificationReportChecks][0][InstallationsVerificationReportChecks]</v>
      </c>
    </row>
    <row r="767" spans="1:15" x14ac:dyDescent="0.3">
      <c r="A767" t="s">
        <v>2277</v>
      </c>
      <c r="B767" t="s">
        <v>1991</v>
      </c>
      <c r="C767" t="s">
        <v>1993</v>
      </c>
      <c r="D767">
        <v>1</v>
      </c>
      <c r="E767" t="s">
        <v>1447</v>
      </c>
      <c r="F767" t="s">
        <v>1994</v>
      </c>
      <c r="G767" t="s">
        <v>1806</v>
      </c>
      <c r="H767" t="s">
        <v>2279</v>
      </c>
      <c r="I767" t="s">
        <v>2279</v>
      </c>
      <c r="J767">
        <v>1</v>
      </c>
      <c r="K767" t="s">
        <v>2279</v>
      </c>
      <c r="L767" t="s">
        <v>2279</v>
      </c>
      <c r="M767" t="s">
        <v>2279</v>
      </c>
      <c r="N767" t="s">
        <v>2279</v>
      </c>
      <c r="O767" s="190" t="str">
        <f>"["&amp;$C767&amp;"]["&amp;$D767&amp;"]["&amp;$F767&amp;"]"</f>
        <v>[S06_InstallationsVerificationReportChecksDetail1][1][PercentageShare]</v>
      </c>
    </row>
    <row r="768" spans="1:15" x14ac:dyDescent="0.3">
      <c r="A768" t="s">
        <v>2277</v>
      </c>
      <c r="B768" t="s">
        <v>1991</v>
      </c>
      <c r="C768" t="s">
        <v>1993</v>
      </c>
      <c r="D768">
        <v>2</v>
      </c>
      <c r="E768" t="s">
        <v>1447</v>
      </c>
      <c r="F768" t="s">
        <v>1994</v>
      </c>
      <c r="G768" t="s">
        <v>1806</v>
      </c>
      <c r="H768" t="s">
        <v>2279</v>
      </c>
      <c r="I768" t="s">
        <v>2279</v>
      </c>
      <c r="J768">
        <v>1</v>
      </c>
      <c r="K768" t="s">
        <v>2279</v>
      </c>
      <c r="L768" t="s">
        <v>2279</v>
      </c>
      <c r="M768" t="s">
        <v>2279</v>
      </c>
      <c r="N768" t="s">
        <v>2279</v>
      </c>
      <c r="O768" s="190" t="str">
        <f>"["&amp;$C768&amp;"]["&amp;$D768&amp;"]["&amp;$F768&amp;"]"</f>
        <v>[S06_InstallationsVerificationReportChecksDetail1][2][PercentageShare]</v>
      </c>
    </row>
    <row r="769" spans="1:15" x14ac:dyDescent="0.3">
      <c r="A769" t="s">
        <v>2277</v>
      </c>
      <c r="B769" t="s">
        <v>1991</v>
      </c>
      <c r="C769" t="s">
        <v>1993</v>
      </c>
      <c r="D769">
        <v>3</v>
      </c>
      <c r="E769" t="s">
        <v>1447</v>
      </c>
      <c r="F769" t="s">
        <v>1994</v>
      </c>
      <c r="G769" t="s">
        <v>1806</v>
      </c>
      <c r="H769" t="s">
        <v>2279</v>
      </c>
      <c r="I769" t="s">
        <v>2279</v>
      </c>
      <c r="J769">
        <v>1</v>
      </c>
      <c r="K769" t="s">
        <v>2279</v>
      </c>
      <c r="L769" t="s">
        <v>2279</v>
      </c>
      <c r="M769" t="s">
        <v>2279</v>
      </c>
      <c r="N769" t="s">
        <v>2279</v>
      </c>
      <c r="O769" s="190" t="str">
        <f>"["&amp;$C769&amp;"]["&amp;$D769&amp;"]["&amp;$F769&amp;"]"</f>
        <v>[S06_InstallationsVerificationReportChecksDetail1][3][PercentageShare]</v>
      </c>
    </row>
    <row r="770" spans="1:15" x14ac:dyDescent="0.3">
      <c r="A770" t="s">
        <v>2277</v>
      </c>
      <c r="B770" t="s">
        <v>1991</v>
      </c>
      <c r="C770" t="s">
        <v>1993</v>
      </c>
      <c r="D770">
        <v>4</v>
      </c>
      <c r="E770" t="s">
        <v>1447</v>
      </c>
      <c r="F770" t="s">
        <v>1994</v>
      </c>
      <c r="G770" t="s">
        <v>1806</v>
      </c>
      <c r="H770" t="s">
        <v>2279</v>
      </c>
      <c r="I770" t="s">
        <v>2279</v>
      </c>
      <c r="J770">
        <v>1</v>
      </c>
      <c r="K770" t="s">
        <v>2279</v>
      </c>
      <c r="L770" t="s">
        <v>2279</v>
      </c>
      <c r="M770" t="s">
        <v>2279</v>
      </c>
      <c r="N770" t="s">
        <v>2279</v>
      </c>
      <c r="O770" s="190" t="str">
        <f>"["&amp;$C770&amp;"]["&amp;$D770&amp;"]["&amp;$F770&amp;"]"</f>
        <v>[S06_InstallationsVerificationReportChecksDetail1][4][PercentageShare]</v>
      </c>
    </row>
    <row r="771" spans="1:15" x14ac:dyDescent="0.3">
      <c r="A771" t="s">
        <v>2277</v>
      </c>
      <c r="B771" t="s">
        <v>1991</v>
      </c>
      <c r="C771" t="s">
        <v>1993</v>
      </c>
      <c r="D771">
        <v>5</v>
      </c>
      <c r="E771" t="s">
        <v>1447</v>
      </c>
      <c r="F771" t="s">
        <v>1994</v>
      </c>
      <c r="G771" t="s">
        <v>1806</v>
      </c>
      <c r="H771" t="s">
        <v>2279</v>
      </c>
      <c r="I771" t="s">
        <v>2279</v>
      </c>
      <c r="J771">
        <v>1</v>
      </c>
      <c r="K771" t="s">
        <v>2279</v>
      </c>
      <c r="L771" t="s">
        <v>2279</v>
      </c>
      <c r="M771" t="s">
        <v>2279</v>
      </c>
      <c r="N771" t="s">
        <v>2279</v>
      </c>
      <c r="O771" s="190" t="str">
        <f>"["&amp;$C771&amp;"]["&amp;$D771&amp;"]["&amp;$F771&amp;"]"</f>
        <v>[S06_InstallationsVerificationReportChecksDetail1][5][PercentageShare]</v>
      </c>
    </row>
    <row r="772" spans="1:15" x14ac:dyDescent="0.3">
      <c r="A772" t="s">
        <v>2277</v>
      </c>
      <c r="B772" t="s">
        <v>1991</v>
      </c>
      <c r="C772" t="s">
        <v>1993</v>
      </c>
      <c r="D772">
        <v>4</v>
      </c>
      <c r="E772" t="s">
        <v>1447</v>
      </c>
      <c r="F772" t="s">
        <v>1995</v>
      </c>
      <c r="G772" t="s">
        <v>1791</v>
      </c>
      <c r="H772" t="s">
        <v>2279</v>
      </c>
      <c r="I772" t="s">
        <v>2279</v>
      </c>
      <c r="J772" t="s">
        <v>2279</v>
      </c>
      <c r="K772" t="s">
        <v>2366</v>
      </c>
      <c r="L772" t="s">
        <v>2279</v>
      </c>
      <c r="M772" t="s">
        <v>2279</v>
      </c>
      <c r="N772" t="s">
        <v>2279</v>
      </c>
      <c r="O772" s="190" t="str">
        <f>"["&amp;$C772&amp;"]["&amp;$D772&amp;"]["&amp;$F772&amp;"]"</f>
        <v>[S06_InstallationsVerificationReportChecksDetail1][4][FurtherInformation]</v>
      </c>
    </row>
    <row r="773" spans="1:15" x14ac:dyDescent="0.3">
      <c r="A773" t="s">
        <v>2277</v>
      </c>
      <c r="B773" t="s">
        <v>1991</v>
      </c>
      <c r="C773" t="s">
        <v>1993</v>
      </c>
      <c r="D773">
        <v>5</v>
      </c>
      <c r="E773" t="s">
        <v>1447</v>
      </c>
      <c r="F773" t="s">
        <v>1995</v>
      </c>
      <c r="G773" t="s">
        <v>1791</v>
      </c>
      <c r="H773" t="s">
        <v>2279</v>
      </c>
      <c r="I773" t="s">
        <v>2279</v>
      </c>
      <c r="J773" t="s">
        <v>2279</v>
      </c>
      <c r="K773" t="s">
        <v>2367</v>
      </c>
      <c r="L773" t="s">
        <v>2279</v>
      </c>
      <c r="M773" t="s">
        <v>2279</v>
      </c>
      <c r="N773" t="s">
        <v>2279</v>
      </c>
      <c r="O773" s="190" t="str">
        <f>"["&amp;$C773&amp;"]["&amp;$D773&amp;"]["&amp;$F773&amp;"]"</f>
        <v>[S06_InstallationsVerificationReportChecksDetail1][5][FurtherInformation]</v>
      </c>
    </row>
    <row r="774" spans="1:15" x14ac:dyDescent="0.3">
      <c r="A774" t="s">
        <v>2277</v>
      </c>
      <c r="B774" t="s">
        <v>1991</v>
      </c>
      <c r="C774" t="s">
        <v>1993</v>
      </c>
      <c r="D774">
        <v>5</v>
      </c>
      <c r="E774" t="s">
        <v>1447</v>
      </c>
      <c r="F774" t="s">
        <v>1996</v>
      </c>
      <c r="G774" t="s">
        <v>1737</v>
      </c>
      <c r="H774" t="s">
        <v>2279</v>
      </c>
      <c r="I774" t="s">
        <v>2279</v>
      </c>
      <c r="J774" t="s">
        <v>2279</v>
      </c>
      <c r="K774" t="s">
        <v>2279</v>
      </c>
      <c r="L774" t="s">
        <v>1234</v>
      </c>
      <c r="M774" t="s">
        <v>2279</v>
      </c>
      <c r="N774" t="s">
        <v>2279</v>
      </c>
      <c r="O774" s="190" t="str">
        <f>"["&amp;$C774&amp;"]["&amp;$D774&amp;"]["&amp;$F774&amp;"]"</f>
        <v>[S06_InstallationsVerificationReportChecksDetail1][5][SelectingCriteria]</v>
      </c>
    </row>
    <row r="775" spans="1:15" x14ac:dyDescent="0.3">
      <c r="A775" t="s">
        <v>2277</v>
      </c>
      <c r="B775" t="s">
        <v>1991</v>
      </c>
      <c r="C775" t="s">
        <v>1997</v>
      </c>
      <c r="D775">
        <v>1</v>
      </c>
      <c r="E775" t="s">
        <v>1447</v>
      </c>
      <c r="F775" t="s">
        <v>1998</v>
      </c>
      <c r="G775" t="s">
        <v>1748</v>
      </c>
      <c r="H775" t="s">
        <v>2279</v>
      </c>
      <c r="I775">
        <v>0</v>
      </c>
      <c r="J775" t="s">
        <v>2279</v>
      </c>
      <c r="K775" t="s">
        <v>2279</v>
      </c>
      <c r="L775" t="s">
        <v>2279</v>
      </c>
      <c r="M775" t="s">
        <v>2279</v>
      </c>
      <c r="N775" t="s">
        <v>2279</v>
      </c>
      <c r="O775" s="190" t="str">
        <f>"["&amp;$C775&amp;"]["&amp;$D775&amp;"]["&amp;$F775&amp;"]"</f>
        <v>[S06_InstallationsVerificationReportChecksDetail2][1][NumberOfReports]</v>
      </c>
    </row>
    <row r="776" spans="1:15" x14ac:dyDescent="0.3">
      <c r="A776" t="s">
        <v>2277</v>
      </c>
      <c r="B776" t="s">
        <v>1991</v>
      </c>
      <c r="C776" t="s">
        <v>1997</v>
      </c>
      <c r="D776">
        <v>2</v>
      </c>
      <c r="E776" t="s">
        <v>1447</v>
      </c>
      <c r="F776" t="s">
        <v>1998</v>
      </c>
      <c r="G776" t="s">
        <v>1748</v>
      </c>
      <c r="H776" t="s">
        <v>2279</v>
      </c>
      <c r="I776">
        <v>26</v>
      </c>
      <c r="J776" t="s">
        <v>2279</v>
      </c>
      <c r="K776" t="s">
        <v>2279</v>
      </c>
      <c r="L776" t="s">
        <v>2279</v>
      </c>
      <c r="M776" t="s">
        <v>2279</v>
      </c>
      <c r="N776" t="s">
        <v>2279</v>
      </c>
      <c r="O776" s="190" t="str">
        <f>"["&amp;$C776&amp;"]["&amp;$D776&amp;"]["&amp;$F776&amp;"]"</f>
        <v>[S06_InstallationsVerificationReportChecksDetail2][2][NumberOfReports]</v>
      </c>
    </row>
    <row r="777" spans="1:15" x14ac:dyDescent="0.3">
      <c r="A777" t="s">
        <v>2277</v>
      </c>
      <c r="B777" t="s">
        <v>1991</v>
      </c>
      <c r="C777" t="s">
        <v>1997</v>
      </c>
      <c r="D777">
        <v>2</v>
      </c>
      <c r="E777" t="s">
        <v>1447</v>
      </c>
      <c r="F777" t="s">
        <v>1995</v>
      </c>
      <c r="G777" t="s">
        <v>1791</v>
      </c>
      <c r="H777" t="s">
        <v>2279</v>
      </c>
      <c r="I777" t="s">
        <v>2279</v>
      </c>
      <c r="J777" t="s">
        <v>2279</v>
      </c>
      <c r="K777" t="s">
        <v>2368</v>
      </c>
      <c r="L777" t="s">
        <v>2279</v>
      </c>
      <c r="M777" t="s">
        <v>2279</v>
      </c>
      <c r="N777" t="s">
        <v>2279</v>
      </c>
      <c r="O777" s="190" t="str">
        <f>"["&amp;$C777&amp;"]["&amp;$D777&amp;"]["&amp;$F777&amp;"]"</f>
        <v>[S06_InstallationsVerificationReportChecksDetail2][2][FurtherInformation]</v>
      </c>
    </row>
    <row r="778" spans="1:15" x14ac:dyDescent="0.3">
      <c r="A778" t="s">
        <v>2277</v>
      </c>
      <c r="B778" t="s">
        <v>1991</v>
      </c>
      <c r="C778" t="s">
        <v>1999</v>
      </c>
      <c r="D778">
        <v>1</v>
      </c>
      <c r="E778" t="s">
        <v>1447</v>
      </c>
      <c r="F778" t="s">
        <v>2000</v>
      </c>
      <c r="G778" t="s">
        <v>1741</v>
      </c>
      <c r="H778" t="s">
        <v>2369</v>
      </c>
      <c r="I778" t="s">
        <v>2279</v>
      </c>
      <c r="J778" t="s">
        <v>2279</v>
      </c>
      <c r="K778" t="s">
        <v>2279</v>
      </c>
      <c r="L778" t="s">
        <v>2279</v>
      </c>
      <c r="M778" t="s">
        <v>2279</v>
      </c>
      <c r="N778" t="s">
        <v>2279</v>
      </c>
      <c r="O778" s="190" t="str">
        <f>"["&amp;$C778&amp;"]["&amp;$D778&amp;"]["&amp;$F778&amp;"]"</f>
        <v>[S06_InstallationsVerificationReportChecksDetail3][1][ActionsTaken]</v>
      </c>
    </row>
    <row r="779" spans="1:15" x14ac:dyDescent="0.3">
      <c r="A779" t="s">
        <v>2277</v>
      </c>
      <c r="B779" t="s">
        <v>2001</v>
      </c>
      <c r="C779" t="s">
        <v>2002</v>
      </c>
      <c r="D779">
        <v>0</v>
      </c>
      <c r="E779" t="s">
        <v>1447</v>
      </c>
      <c r="F779" t="s">
        <v>2002</v>
      </c>
      <c r="G779" t="s">
        <v>1759</v>
      </c>
      <c r="H779" t="s">
        <v>2279</v>
      </c>
      <c r="I779" t="s">
        <v>2279</v>
      </c>
      <c r="J779" t="s">
        <v>2279</v>
      </c>
      <c r="K779" t="s">
        <v>2279</v>
      </c>
      <c r="L779" t="s">
        <v>1419</v>
      </c>
      <c r="M779" t="s">
        <v>2279</v>
      </c>
      <c r="N779" t="s">
        <v>2279</v>
      </c>
      <c r="O779" s="190" t="str">
        <f>"["&amp;$C779&amp;"]["&amp;$D779&amp;"]["&amp;$F779&amp;"]"</f>
        <v>[InstallationVisitsWaivedHighEmitters][0][InstallationVisitsWaivedHighEmitters]</v>
      </c>
    </row>
    <row r="780" spans="1:15" x14ac:dyDescent="0.3">
      <c r="A780" t="s">
        <v>2277</v>
      </c>
      <c r="B780" t="s">
        <v>2001</v>
      </c>
      <c r="C780" t="s">
        <v>2003</v>
      </c>
      <c r="D780">
        <v>1</v>
      </c>
      <c r="E780" t="s">
        <v>1447</v>
      </c>
      <c r="F780" t="s">
        <v>2004</v>
      </c>
      <c r="G780" t="s">
        <v>1737</v>
      </c>
      <c r="H780" t="s">
        <v>2279</v>
      </c>
      <c r="I780" t="s">
        <v>2279</v>
      </c>
      <c r="J780" t="s">
        <v>2279</v>
      </c>
      <c r="K780" t="s">
        <v>2279</v>
      </c>
      <c r="L780" t="s">
        <v>1441</v>
      </c>
      <c r="M780" t="s">
        <v>2279</v>
      </c>
      <c r="N780" t="s">
        <v>2279</v>
      </c>
      <c r="O780" s="190" t="str">
        <f>"["&amp;$C780&amp;"]["&amp;$D780&amp;"]["&amp;$F780&amp;"]"</f>
        <v>[S06_InstallationsVisitsWaivedHighEmittersDetail][1][ConditionForWaiving]</v>
      </c>
    </row>
    <row r="781" spans="1:15" x14ac:dyDescent="0.3">
      <c r="A781" t="s">
        <v>2277</v>
      </c>
      <c r="B781" t="s">
        <v>2001</v>
      </c>
      <c r="C781" t="s">
        <v>2003</v>
      </c>
      <c r="D781">
        <v>1</v>
      </c>
      <c r="E781" t="s">
        <v>1447</v>
      </c>
      <c r="F781" t="s">
        <v>1988</v>
      </c>
      <c r="G781" t="s">
        <v>1737</v>
      </c>
      <c r="H781" t="s">
        <v>2279</v>
      </c>
      <c r="I781" t="s">
        <v>2279</v>
      </c>
      <c r="J781" t="s">
        <v>2279</v>
      </c>
      <c r="K781" t="s">
        <v>2279</v>
      </c>
      <c r="L781" t="s">
        <v>1420</v>
      </c>
      <c r="M781" t="s">
        <v>2279</v>
      </c>
      <c r="N781" t="s">
        <v>2279</v>
      </c>
      <c r="O781" s="190" t="str">
        <f>"["&amp;$C781&amp;"]["&amp;$D781&amp;"]["&amp;$F781&amp;"]"</f>
        <v>[S06_InstallationsVisitsWaivedHighEmittersDetail][1][AnnexIActivity]</v>
      </c>
    </row>
    <row r="782" spans="1:15" x14ac:dyDescent="0.3">
      <c r="A782" t="s">
        <v>2277</v>
      </c>
      <c r="B782" t="s">
        <v>2001</v>
      </c>
      <c r="C782" t="s">
        <v>2003</v>
      </c>
      <c r="D782">
        <v>1</v>
      </c>
      <c r="E782" t="s">
        <v>1447</v>
      </c>
      <c r="F782" t="s">
        <v>1798</v>
      </c>
      <c r="G782" t="s">
        <v>1748</v>
      </c>
      <c r="H782" t="s">
        <v>2279</v>
      </c>
      <c r="I782">
        <v>4</v>
      </c>
      <c r="J782" t="s">
        <v>2279</v>
      </c>
      <c r="K782" t="s">
        <v>2279</v>
      </c>
      <c r="L782" t="s">
        <v>2279</v>
      </c>
      <c r="M782" t="s">
        <v>2279</v>
      </c>
      <c r="N782" t="s">
        <v>2279</v>
      </c>
      <c r="O782" s="190" t="str">
        <f>"["&amp;$C782&amp;"]["&amp;$D782&amp;"]["&amp;$F782&amp;"]"</f>
        <v>[S06_InstallationsVisitsWaivedHighEmittersDetail][1][NumberOfInstallations]</v>
      </c>
    </row>
    <row r="783" spans="1:15" x14ac:dyDescent="0.3">
      <c r="A783" t="s">
        <v>2277</v>
      </c>
      <c r="B783" t="s">
        <v>2001</v>
      </c>
      <c r="C783" t="s">
        <v>2005</v>
      </c>
      <c r="D783">
        <v>0</v>
      </c>
      <c r="E783" t="s">
        <v>1447</v>
      </c>
      <c r="F783" t="s">
        <v>2005</v>
      </c>
      <c r="G783" t="s">
        <v>1759</v>
      </c>
      <c r="H783" t="s">
        <v>2279</v>
      </c>
      <c r="I783" t="s">
        <v>2279</v>
      </c>
      <c r="J783" t="s">
        <v>2279</v>
      </c>
      <c r="K783" t="s">
        <v>2279</v>
      </c>
      <c r="L783" t="s">
        <v>1447</v>
      </c>
      <c r="M783" t="s">
        <v>2279</v>
      </c>
      <c r="N783" t="s">
        <v>2279</v>
      </c>
      <c r="O783" s="190" t="str">
        <f>"["&amp;$C783&amp;"]["&amp;$D783&amp;"]["&amp;$F783&amp;"]"</f>
        <v>[InstallationsVisitsWaivedLowEmitters][0][InstallationsVisitsWaivedLowEmitters]</v>
      </c>
    </row>
    <row r="784" spans="1:15" x14ac:dyDescent="0.3">
      <c r="A784" t="s">
        <v>2277</v>
      </c>
      <c r="B784" t="s">
        <v>2007</v>
      </c>
      <c r="C784" t="s">
        <v>2008</v>
      </c>
      <c r="D784">
        <v>0</v>
      </c>
      <c r="E784" t="s">
        <v>1447</v>
      </c>
      <c r="F784" t="s">
        <v>2008</v>
      </c>
      <c r="G784" t="s">
        <v>1759</v>
      </c>
      <c r="H784" t="s">
        <v>2279</v>
      </c>
      <c r="I784" t="s">
        <v>2279</v>
      </c>
      <c r="J784" t="s">
        <v>2279</v>
      </c>
      <c r="K784" t="s">
        <v>2279</v>
      </c>
      <c r="L784" t="s">
        <v>1419</v>
      </c>
      <c r="M784" t="s">
        <v>2279</v>
      </c>
      <c r="N784" t="s">
        <v>2279</v>
      </c>
      <c r="O784" s="190" t="str">
        <f>"["&amp;$C784&amp;"]["&amp;$D784&amp;"]["&amp;$F784&amp;"]"</f>
        <v>[VirtualVisitsInstallations][0][VirtualVisitsInstallations]</v>
      </c>
    </row>
    <row r="785" spans="1:15" x14ac:dyDescent="0.3">
      <c r="A785" t="s">
        <v>2277</v>
      </c>
      <c r="B785" t="s">
        <v>2007</v>
      </c>
      <c r="C785" t="s">
        <v>2009</v>
      </c>
      <c r="D785">
        <v>1</v>
      </c>
      <c r="E785" t="s">
        <v>1447</v>
      </c>
      <c r="F785" t="s">
        <v>2010</v>
      </c>
      <c r="G785" t="s">
        <v>1741</v>
      </c>
      <c r="H785" t="s">
        <v>2370</v>
      </c>
      <c r="I785" t="s">
        <v>2279</v>
      </c>
      <c r="J785" t="s">
        <v>2279</v>
      </c>
      <c r="K785" t="s">
        <v>2279</v>
      </c>
      <c r="L785" t="s">
        <v>2279</v>
      </c>
      <c r="M785" t="s">
        <v>2279</v>
      </c>
      <c r="N785" t="s">
        <v>2279</v>
      </c>
      <c r="O785" s="190" t="str">
        <f>"["&amp;$C785&amp;"]["&amp;$D785&amp;"]["&amp;$F785&amp;"]"</f>
        <v>[S06_VirtualVisitsInstallationsDetails][1][TypeForceMajeur]</v>
      </c>
    </row>
    <row r="786" spans="1:15" x14ac:dyDescent="0.3">
      <c r="A786" t="s">
        <v>2277</v>
      </c>
      <c r="B786" t="s">
        <v>2007</v>
      </c>
      <c r="C786" t="s">
        <v>2009</v>
      </c>
      <c r="D786">
        <v>1</v>
      </c>
      <c r="E786" t="s">
        <v>1447</v>
      </c>
      <c r="F786" t="s">
        <v>2011</v>
      </c>
      <c r="G786" t="s">
        <v>1748</v>
      </c>
      <c r="H786" t="s">
        <v>2279</v>
      </c>
      <c r="I786">
        <v>17</v>
      </c>
      <c r="J786" t="s">
        <v>2279</v>
      </c>
      <c r="K786" t="s">
        <v>2279</v>
      </c>
      <c r="L786" t="s">
        <v>2279</v>
      </c>
      <c r="M786" t="s">
        <v>2279</v>
      </c>
      <c r="N786" t="s">
        <v>2279</v>
      </c>
      <c r="O786" s="190" t="str">
        <f>"["&amp;$C786&amp;"]["&amp;$D786&amp;"]["&amp;$F786&amp;"]"</f>
        <v>[S06_VirtualVisitsInstallationsDetails][1][NumberOfInstallationsVV]</v>
      </c>
    </row>
    <row r="787" spans="1:15" x14ac:dyDescent="0.3">
      <c r="A787" t="s">
        <v>2277</v>
      </c>
      <c r="B787" t="s">
        <v>2007</v>
      </c>
      <c r="C787" t="s">
        <v>2009</v>
      </c>
      <c r="D787">
        <v>1</v>
      </c>
      <c r="E787" t="s">
        <v>1447</v>
      </c>
      <c r="F787" t="s">
        <v>2012</v>
      </c>
      <c r="G787" t="s">
        <v>1737</v>
      </c>
      <c r="H787" t="s">
        <v>2279</v>
      </c>
      <c r="I787" t="s">
        <v>2279</v>
      </c>
      <c r="J787" t="s">
        <v>2279</v>
      </c>
      <c r="K787" t="s">
        <v>2279</v>
      </c>
      <c r="L787" t="s">
        <v>1442</v>
      </c>
      <c r="M787" t="s">
        <v>2279</v>
      </c>
      <c r="N787" t="s">
        <v>2279</v>
      </c>
      <c r="O787" s="190" t="str">
        <f>"["&amp;$C787&amp;"]["&amp;$D787&amp;"]["&amp;$F787&amp;"]"</f>
        <v>[S06_VirtualVisitsInstallationsDetails][1][AuthorityApproval]</v>
      </c>
    </row>
    <row r="788" spans="1:15" x14ac:dyDescent="0.3">
      <c r="A788" t="s">
        <v>2277</v>
      </c>
      <c r="B788" t="s">
        <v>2007</v>
      </c>
      <c r="C788" t="s">
        <v>2009</v>
      </c>
      <c r="D788">
        <v>1</v>
      </c>
      <c r="E788" t="s">
        <v>1447</v>
      </c>
      <c r="F788" t="s">
        <v>2013</v>
      </c>
      <c r="G788" t="s">
        <v>1741</v>
      </c>
      <c r="H788" t="s">
        <v>2371</v>
      </c>
      <c r="I788" t="s">
        <v>2279</v>
      </c>
      <c r="J788" t="s">
        <v>2279</v>
      </c>
      <c r="K788" t="s">
        <v>2279</v>
      </c>
      <c r="L788" t="s">
        <v>2279</v>
      </c>
      <c r="M788" t="s">
        <v>2279</v>
      </c>
      <c r="N788" t="s">
        <v>2279</v>
      </c>
      <c r="O788" s="190" t="str">
        <f>"["&amp;$C788&amp;"]["&amp;$D788&amp;"]["&amp;$F788&amp;"]"</f>
        <v>[S06_VirtualVisitsInstallationsDetails][1][ConfirmationConditionsMet]</v>
      </c>
    </row>
    <row r="789" spans="1:15" x14ac:dyDescent="0.3">
      <c r="A789" t="s">
        <v>2277</v>
      </c>
      <c r="B789" t="s">
        <v>2014</v>
      </c>
      <c r="C789" t="s">
        <v>2015</v>
      </c>
      <c r="D789">
        <v>1</v>
      </c>
      <c r="E789" t="s">
        <v>1447</v>
      </c>
      <c r="F789" t="s">
        <v>2016</v>
      </c>
      <c r="G789" t="s">
        <v>1741</v>
      </c>
      <c r="H789" t="s">
        <v>2372</v>
      </c>
      <c r="I789" t="s">
        <v>2279</v>
      </c>
      <c r="J789" t="s">
        <v>2279</v>
      </c>
      <c r="K789" t="s">
        <v>2279</v>
      </c>
      <c r="L789" t="s">
        <v>2279</v>
      </c>
      <c r="M789" t="s">
        <v>2279</v>
      </c>
      <c r="N789" t="s">
        <v>2279</v>
      </c>
      <c r="O789" s="190" t="str">
        <f>"["&amp;$C789&amp;"]["&amp;$D789&amp;"]["&amp;$F789&amp;"]"</f>
        <v>[S06_AircraftOperatorsConservativeEstimates][1][AircraftOperatorID]</v>
      </c>
    </row>
    <row r="790" spans="1:15" x14ac:dyDescent="0.3">
      <c r="A790" t="s">
        <v>2277</v>
      </c>
      <c r="B790" t="s">
        <v>2014</v>
      </c>
      <c r="C790" t="s">
        <v>2015</v>
      </c>
      <c r="D790">
        <v>2</v>
      </c>
      <c r="E790" t="s">
        <v>1447</v>
      </c>
      <c r="F790" t="s">
        <v>2016</v>
      </c>
      <c r="G790" t="s">
        <v>1741</v>
      </c>
      <c r="H790" t="s">
        <v>2373</v>
      </c>
      <c r="I790" t="s">
        <v>2279</v>
      </c>
      <c r="J790" t="s">
        <v>2279</v>
      </c>
      <c r="K790" t="s">
        <v>2279</v>
      </c>
      <c r="L790" t="s">
        <v>2279</v>
      </c>
      <c r="M790" t="s">
        <v>2279</v>
      </c>
      <c r="N790" t="s">
        <v>2279</v>
      </c>
      <c r="O790" s="190" t="str">
        <f>"["&amp;$C790&amp;"]["&amp;$D790&amp;"]["&amp;$F790&amp;"]"</f>
        <v>[S06_AircraftOperatorsConservativeEstimates][2][AircraftOperatorID]</v>
      </c>
    </row>
    <row r="791" spans="1:15" x14ac:dyDescent="0.3">
      <c r="A791" t="s">
        <v>2277</v>
      </c>
      <c r="B791" t="s">
        <v>2014</v>
      </c>
      <c r="C791" t="s">
        <v>2015</v>
      </c>
      <c r="D791">
        <v>1</v>
      </c>
      <c r="E791" t="s">
        <v>1447</v>
      </c>
      <c r="F791" t="s">
        <v>2017</v>
      </c>
      <c r="G791" t="s">
        <v>1806</v>
      </c>
      <c r="H791" t="s">
        <v>2279</v>
      </c>
      <c r="I791" t="s">
        <v>2279</v>
      </c>
      <c r="J791">
        <v>98</v>
      </c>
      <c r="K791" t="s">
        <v>2279</v>
      </c>
      <c r="L791" t="s">
        <v>2279</v>
      </c>
      <c r="M791" t="s">
        <v>2279</v>
      </c>
      <c r="N791" t="s">
        <v>2279</v>
      </c>
      <c r="O791" s="190" t="str">
        <f>"["&amp;$C791&amp;"]["&amp;$D791&amp;"]["&amp;$F791&amp;"]"</f>
        <v>[S06_AircraftOperatorsConservativeEstimates][1][AircraftOperatorsAnnualEmissionsCO2e]</v>
      </c>
    </row>
    <row r="792" spans="1:15" x14ac:dyDescent="0.3">
      <c r="A792" t="s">
        <v>2277</v>
      </c>
      <c r="B792" t="s">
        <v>2014</v>
      </c>
      <c r="C792" t="s">
        <v>2015</v>
      </c>
      <c r="D792">
        <v>2</v>
      </c>
      <c r="E792" t="s">
        <v>1447</v>
      </c>
      <c r="F792" t="s">
        <v>2017</v>
      </c>
      <c r="G792" t="s">
        <v>1806</v>
      </c>
      <c r="H792" t="s">
        <v>2279</v>
      </c>
      <c r="I792" t="s">
        <v>2279</v>
      </c>
      <c r="J792">
        <v>109</v>
      </c>
      <c r="K792" t="s">
        <v>2279</v>
      </c>
      <c r="L792" t="s">
        <v>2279</v>
      </c>
      <c r="M792" t="s">
        <v>2279</v>
      </c>
      <c r="N792" t="s">
        <v>2279</v>
      </c>
      <c r="O792" s="190" t="str">
        <f>"["&amp;$C792&amp;"]["&amp;$D792&amp;"]["&amp;$F792&amp;"]"</f>
        <v>[S06_AircraftOperatorsConservativeEstimates][2][AircraftOperatorsAnnualEmissionsCO2e]</v>
      </c>
    </row>
    <row r="793" spans="1:15" x14ac:dyDescent="0.3">
      <c r="A793" t="s">
        <v>2277</v>
      </c>
      <c r="B793" t="s">
        <v>2014</v>
      </c>
      <c r="C793" t="s">
        <v>2015</v>
      </c>
      <c r="D793">
        <v>1</v>
      </c>
      <c r="E793" t="s">
        <v>1447</v>
      </c>
      <c r="F793" t="s">
        <v>1978</v>
      </c>
      <c r="G793" t="s">
        <v>1737</v>
      </c>
      <c r="H793" t="s">
        <v>2279</v>
      </c>
      <c r="I793" t="s">
        <v>2279</v>
      </c>
      <c r="J793" t="s">
        <v>2279</v>
      </c>
      <c r="K793" t="s">
        <v>2279</v>
      </c>
      <c r="L793" t="s">
        <v>1437</v>
      </c>
      <c r="M793" t="s">
        <v>2279</v>
      </c>
      <c r="N793" t="s">
        <v>2279</v>
      </c>
      <c r="O793" s="190" t="str">
        <f>"["&amp;$C793&amp;"]["&amp;$D793&amp;"]["&amp;$F793&amp;"]"</f>
        <v>[S06_AircraftOperatorsConservativeEstimates][1][ReasonConservativeEstimate]</v>
      </c>
    </row>
    <row r="794" spans="1:15" x14ac:dyDescent="0.3">
      <c r="A794" t="s">
        <v>2277</v>
      </c>
      <c r="B794" t="s">
        <v>2014</v>
      </c>
      <c r="C794" t="s">
        <v>2015</v>
      </c>
      <c r="D794">
        <v>2</v>
      </c>
      <c r="E794" t="s">
        <v>1447</v>
      </c>
      <c r="F794" t="s">
        <v>1978</v>
      </c>
      <c r="G794" t="s">
        <v>1737</v>
      </c>
      <c r="H794" t="s">
        <v>2279</v>
      </c>
      <c r="I794" t="s">
        <v>2279</v>
      </c>
      <c r="J794" t="s">
        <v>2279</v>
      </c>
      <c r="K794" t="s">
        <v>2279</v>
      </c>
      <c r="L794" t="s">
        <v>1437</v>
      </c>
      <c r="M794" t="s">
        <v>2279</v>
      </c>
      <c r="N794" t="s">
        <v>2279</v>
      </c>
      <c r="O794" s="190" t="str">
        <f>"["&amp;$C794&amp;"]["&amp;$D794&amp;"]["&amp;$F794&amp;"]"</f>
        <v>[S06_AircraftOperatorsConservativeEstimates][2][ReasonConservativeEstimate]</v>
      </c>
    </row>
    <row r="795" spans="1:15" x14ac:dyDescent="0.3">
      <c r="A795" t="s">
        <v>2277</v>
      </c>
      <c r="B795" t="s">
        <v>2014</v>
      </c>
      <c r="C795" t="s">
        <v>2015</v>
      </c>
      <c r="D795">
        <v>1</v>
      </c>
      <c r="E795" t="s">
        <v>1447</v>
      </c>
      <c r="F795" t="s">
        <v>2018</v>
      </c>
      <c r="G795" t="s">
        <v>1806</v>
      </c>
      <c r="H795" t="s">
        <v>2279</v>
      </c>
      <c r="I795" t="s">
        <v>2279</v>
      </c>
      <c r="J795">
        <v>1</v>
      </c>
      <c r="K795" t="s">
        <v>2279</v>
      </c>
      <c r="L795" t="s">
        <v>2279</v>
      </c>
      <c r="M795" t="s">
        <v>2279</v>
      </c>
      <c r="N795" t="s">
        <v>2279</v>
      </c>
      <c r="O795" s="190" t="str">
        <f>"["&amp;$C795&amp;"]["&amp;$D795&amp;"]["&amp;$F795&amp;"]"</f>
        <v>[S06_AircraftOperatorsConservativeEstimates][1][AircraftOperatorsConservativeShare]</v>
      </c>
    </row>
    <row r="796" spans="1:15" x14ac:dyDescent="0.3">
      <c r="A796" t="s">
        <v>2277</v>
      </c>
      <c r="B796" t="s">
        <v>2014</v>
      </c>
      <c r="C796" t="s">
        <v>2015</v>
      </c>
      <c r="D796">
        <v>2</v>
      </c>
      <c r="E796" t="s">
        <v>1447</v>
      </c>
      <c r="F796" t="s">
        <v>2018</v>
      </c>
      <c r="G796" t="s">
        <v>1806</v>
      </c>
      <c r="H796" t="s">
        <v>2279</v>
      </c>
      <c r="I796" t="s">
        <v>2279</v>
      </c>
      <c r="J796">
        <v>1</v>
      </c>
      <c r="K796" t="s">
        <v>2279</v>
      </c>
      <c r="L796" t="s">
        <v>2279</v>
      </c>
      <c r="M796" t="s">
        <v>2279</v>
      </c>
      <c r="N796" t="s">
        <v>2279</v>
      </c>
      <c r="O796" s="190" t="str">
        <f>"["&amp;$C796&amp;"]["&amp;$D796&amp;"]["&amp;$F796&amp;"]"</f>
        <v>[S06_AircraftOperatorsConservativeEstimates][2][AircraftOperatorsConservativeShare]</v>
      </c>
    </row>
    <row r="797" spans="1:15" x14ac:dyDescent="0.3">
      <c r="A797" t="s">
        <v>2277</v>
      </c>
      <c r="B797" t="s">
        <v>2014</v>
      </c>
      <c r="C797" t="s">
        <v>2015</v>
      </c>
      <c r="D797">
        <v>1</v>
      </c>
      <c r="E797" t="s">
        <v>1447</v>
      </c>
      <c r="F797" t="s">
        <v>1980</v>
      </c>
      <c r="G797" t="s">
        <v>1741</v>
      </c>
      <c r="H797" t="s">
        <v>2374</v>
      </c>
      <c r="I797" t="s">
        <v>2279</v>
      </c>
      <c r="J797" t="s">
        <v>2279</v>
      </c>
      <c r="K797" t="s">
        <v>2279</v>
      </c>
      <c r="L797" t="s">
        <v>2279</v>
      </c>
      <c r="M797" t="s">
        <v>2279</v>
      </c>
      <c r="N797" t="s">
        <v>2279</v>
      </c>
      <c r="O797" s="190" t="str">
        <f>"["&amp;$C797&amp;"]["&amp;$D797&amp;"]["&amp;$F797&amp;"]"</f>
        <v>[S06_AircraftOperatorsConservativeEstimates][1][ConservativeMethod]</v>
      </c>
    </row>
    <row r="798" spans="1:15" x14ac:dyDescent="0.3">
      <c r="A798" t="s">
        <v>2277</v>
      </c>
      <c r="B798" t="s">
        <v>2014</v>
      </c>
      <c r="C798" t="s">
        <v>2015</v>
      </c>
      <c r="D798">
        <v>2</v>
      </c>
      <c r="E798" t="s">
        <v>1447</v>
      </c>
      <c r="F798" t="s">
        <v>1980</v>
      </c>
      <c r="G798" t="s">
        <v>1741</v>
      </c>
      <c r="H798" t="s">
        <v>2374</v>
      </c>
      <c r="I798" t="s">
        <v>2279</v>
      </c>
      <c r="J798" t="s">
        <v>2279</v>
      </c>
      <c r="K798" t="s">
        <v>2279</v>
      </c>
      <c r="L798" t="s">
        <v>2279</v>
      </c>
      <c r="M798" t="s">
        <v>2279</v>
      </c>
      <c r="N798" t="s">
        <v>2279</v>
      </c>
      <c r="O798" s="190" t="str">
        <f>"["&amp;$C798&amp;"]["&amp;$D798&amp;"]["&amp;$F798&amp;"]"</f>
        <v>[S06_AircraftOperatorsConservativeEstimates][2][ConservativeMethod]</v>
      </c>
    </row>
    <row r="799" spans="1:15" x14ac:dyDescent="0.3">
      <c r="A799" t="s">
        <v>2277</v>
      </c>
      <c r="B799" t="s">
        <v>2014</v>
      </c>
      <c r="C799" t="s">
        <v>2015</v>
      </c>
      <c r="D799">
        <v>1</v>
      </c>
      <c r="E799" t="s">
        <v>1447</v>
      </c>
      <c r="F799" t="s">
        <v>1981</v>
      </c>
      <c r="G799" t="s">
        <v>1737</v>
      </c>
      <c r="H799" t="s">
        <v>2279</v>
      </c>
      <c r="I799" t="s">
        <v>2279</v>
      </c>
      <c r="J799" t="s">
        <v>2279</v>
      </c>
      <c r="K799" t="s">
        <v>2279</v>
      </c>
      <c r="L799" t="s">
        <v>1511</v>
      </c>
      <c r="M799" t="s">
        <v>2279</v>
      </c>
      <c r="N799" t="s">
        <v>2279</v>
      </c>
      <c r="O799" s="190" t="str">
        <f>"["&amp;$C799&amp;"]["&amp;$D799&amp;"]["&amp;$F799&amp;"]"</f>
        <v>[S06_AircraftOperatorsConservativeEstimates][1][FurtherAction]</v>
      </c>
    </row>
    <row r="800" spans="1:15" x14ac:dyDescent="0.3">
      <c r="A800" t="s">
        <v>2277</v>
      </c>
      <c r="B800" t="s">
        <v>2014</v>
      </c>
      <c r="C800" t="s">
        <v>2015</v>
      </c>
      <c r="D800">
        <v>2</v>
      </c>
      <c r="E800" t="s">
        <v>1447</v>
      </c>
      <c r="F800" t="s">
        <v>1981</v>
      </c>
      <c r="G800" t="s">
        <v>1737</v>
      </c>
      <c r="H800" t="s">
        <v>2279</v>
      </c>
      <c r="I800" t="s">
        <v>2279</v>
      </c>
      <c r="J800" t="s">
        <v>2279</v>
      </c>
      <c r="K800" t="s">
        <v>2279</v>
      </c>
      <c r="L800" t="s">
        <v>1511</v>
      </c>
      <c r="M800" t="s">
        <v>2279</v>
      </c>
      <c r="N800" t="s">
        <v>2279</v>
      </c>
      <c r="O800" s="190" t="str">
        <f>"["&amp;$C800&amp;"]["&amp;$D800&amp;"]["&amp;$F800&amp;"]"</f>
        <v>[S06_AircraftOperatorsConservativeEstimates][2][FurtherAction]</v>
      </c>
    </row>
    <row r="801" spans="1:15" x14ac:dyDescent="0.3">
      <c r="A801" t="s">
        <v>2277</v>
      </c>
      <c r="B801" t="s">
        <v>2014</v>
      </c>
      <c r="C801" t="s">
        <v>2015</v>
      </c>
      <c r="D801">
        <v>1</v>
      </c>
      <c r="E801" t="s">
        <v>1419</v>
      </c>
      <c r="F801" t="s">
        <v>2019</v>
      </c>
      <c r="G801" t="s">
        <v>1791</v>
      </c>
      <c r="H801" t="s">
        <v>2279</v>
      </c>
      <c r="I801" t="s">
        <v>2279</v>
      </c>
      <c r="J801" t="s">
        <v>2279</v>
      </c>
      <c r="K801" t="s">
        <v>2375</v>
      </c>
      <c r="L801" t="s">
        <v>2279</v>
      </c>
      <c r="M801" t="s">
        <v>2279</v>
      </c>
      <c r="N801" t="s">
        <v>2279</v>
      </c>
      <c r="O801" s="190" t="str">
        <f>"["&amp;$C801&amp;"]["&amp;$D801&amp;"]["&amp;$F801&amp;"]"</f>
        <v>[S06_AircraftOperatorsConservativeEstimates][1][FurtherActionOther]</v>
      </c>
    </row>
    <row r="802" spans="1:15" x14ac:dyDescent="0.3">
      <c r="A802" t="s">
        <v>2277</v>
      </c>
      <c r="B802" t="s">
        <v>2014</v>
      </c>
      <c r="C802" t="s">
        <v>2015</v>
      </c>
      <c r="D802">
        <v>2</v>
      </c>
      <c r="E802" t="s">
        <v>1419</v>
      </c>
      <c r="F802" t="s">
        <v>2019</v>
      </c>
      <c r="G802" t="s">
        <v>1791</v>
      </c>
      <c r="H802" t="s">
        <v>2279</v>
      </c>
      <c r="I802" t="s">
        <v>2279</v>
      </c>
      <c r="J802" t="s">
        <v>2279</v>
      </c>
      <c r="K802" t="s">
        <v>2375</v>
      </c>
      <c r="L802" t="s">
        <v>2279</v>
      </c>
      <c r="M802" t="s">
        <v>2279</v>
      </c>
      <c r="N802" t="s">
        <v>2279</v>
      </c>
      <c r="O802" s="190" t="str">
        <f>"["&amp;$C802&amp;"]["&amp;$D802&amp;"]["&amp;$F802&amp;"]"</f>
        <v>[S06_AircraftOperatorsConservativeEstimates][2][FurtherActionOther]</v>
      </c>
    </row>
    <row r="803" spans="1:15" x14ac:dyDescent="0.3">
      <c r="A803" t="s">
        <v>2277</v>
      </c>
      <c r="B803" t="s">
        <v>2014</v>
      </c>
      <c r="C803" t="s">
        <v>2020</v>
      </c>
      <c r="D803">
        <v>1</v>
      </c>
      <c r="E803" t="s">
        <v>1447</v>
      </c>
      <c r="F803" t="s">
        <v>1984</v>
      </c>
      <c r="G803" t="s">
        <v>1748</v>
      </c>
      <c r="H803" t="s">
        <v>2279</v>
      </c>
      <c r="I803">
        <v>2</v>
      </c>
      <c r="J803" t="s">
        <v>2279</v>
      </c>
      <c r="K803" t="s">
        <v>2279</v>
      </c>
      <c r="L803" t="s">
        <v>2279</v>
      </c>
      <c r="M803" t="s">
        <v>2279</v>
      </c>
      <c r="N803" t="s">
        <v>2279</v>
      </c>
      <c r="O803" s="190" t="str">
        <f>"["&amp;$C803&amp;"]["&amp;$D803&amp;"]["&amp;$F803&amp;"]"</f>
        <v>[S06_NegativeOpinionAircraft][1][CountNegativeOpinions]</v>
      </c>
    </row>
    <row r="804" spans="1:15" x14ac:dyDescent="0.3">
      <c r="A804" t="s">
        <v>2277</v>
      </c>
      <c r="B804" t="s">
        <v>2014</v>
      </c>
      <c r="C804" t="s">
        <v>2020</v>
      </c>
      <c r="D804">
        <v>2</v>
      </c>
      <c r="E804" t="s">
        <v>1447</v>
      </c>
      <c r="F804" t="s">
        <v>1984</v>
      </c>
      <c r="G804" t="s">
        <v>1748</v>
      </c>
      <c r="H804" t="s">
        <v>2279</v>
      </c>
      <c r="I804">
        <v>0</v>
      </c>
      <c r="J804" t="s">
        <v>2279</v>
      </c>
      <c r="K804" t="s">
        <v>2279</v>
      </c>
      <c r="L804" t="s">
        <v>2279</v>
      </c>
      <c r="M804" t="s">
        <v>2279</v>
      </c>
      <c r="N804" t="s">
        <v>2279</v>
      </c>
      <c r="O804" s="190" t="str">
        <f>"["&amp;$C804&amp;"]["&amp;$D804&amp;"]["&amp;$F804&amp;"]"</f>
        <v>[S06_NegativeOpinionAircraft][2][CountNegativeOpinions]</v>
      </c>
    </row>
    <row r="805" spans="1:15" x14ac:dyDescent="0.3">
      <c r="A805" t="s">
        <v>2277</v>
      </c>
      <c r="B805" t="s">
        <v>2014</v>
      </c>
      <c r="C805" t="s">
        <v>2020</v>
      </c>
      <c r="D805">
        <v>3</v>
      </c>
      <c r="E805" t="s">
        <v>1447</v>
      </c>
      <c r="F805" t="s">
        <v>1984</v>
      </c>
      <c r="G805" t="s">
        <v>1748</v>
      </c>
      <c r="H805" t="s">
        <v>2279</v>
      </c>
      <c r="I805">
        <v>0</v>
      </c>
      <c r="J805" t="s">
        <v>2279</v>
      </c>
      <c r="K805" t="s">
        <v>2279</v>
      </c>
      <c r="L805" t="s">
        <v>2279</v>
      </c>
      <c r="M805" t="s">
        <v>2279</v>
      </c>
      <c r="N805" t="s">
        <v>2279</v>
      </c>
      <c r="O805" s="190" t="str">
        <f>"["&amp;$C805&amp;"]["&amp;$D805&amp;"]["&amp;$F805&amp;"]"</f>
        <v>[S06_NegativeOpinionAircraft][3][CountNegativeOpinions]</v>
      </c>
    </row>
    <row r="806" spans="1:15" x14ac:dyDescent="0.3">
      <c r="A806" t="s">
        <v>2277</v>
      </c>
      <c r="B806" t="s">
        <v>2014</v>
      </c>
      <c r="C806" t="s">
        <v>2020</v>
      </c>
      <c r="D806">
        <v>4</v>
      </c>
      <c r="E806" t="s">
        <v>1447</v>
      </c>
      <c r="F806" t="s">
        <v>1984</v>
      </c>
      <c r="G806" t="s">
        <v>1748</v>
      </c>
      <c r="H806" t="s">
        <v>2279</v>
      </c>
      <c r="I806">
        <v>0</v>
      </c>
      <c r="J806" t="s">
        <v>2279</v>
      </c>
      <c r="K806" t="s">
        <v>2279</v>
      </c>
      <c r="L806" t="s">
        <v>2279</v>
      </c>
      <c r="M806" t="s">
        <v>2279</v>
      </c>
      <c r="N806" t="s">
        <v>2279</v>
      </c>
      <c r="O806" s="190" t="str">
        <f>"["&amp;$C806&amp;"]["&amp;$D806&amp;"]["&amp;$F806&amp;"]"</f>
        <v>[S06_NegativeOpinionAircraft][4][CountNegativeOpinions]</v>
      </c>
    </row>
    <row r="807" spans="1:15" x14ac:dyDescent="0.3">
      <c r="A807" t="s">
        <v>2277</v>
      </c>
      <c r="B807" t="s">
        <v>2021</v>
      </c>
      <c r="C807" t="s">
        <v>2022</v>
      </c>
      <c r="D807">
        <v>0</v>
      </c>
      <c r="E807" t="s">
        <v>1447</v>
      </c>
      <c r="F807" t="s">
        <v>2022</v>
      </c>
      <c r="G807" t="s">
        <v>1759</v>
      </c>
      <c r="H807" t="s">
        <v>2279</v>
      </c>
      <c r="I807" t="s">
        <v>2279</v>
      </c>
      <c r="J807" t="s">
        <v>2279</v>
      </c>
      <c r="K807" t="s">
        <v>2279</v>
      </c>
      <c r="L807" t="s">
        <v>1419</v>
      </c>
      <c r="M807" t="s">
        <v>2279</v>
      </c>
      <c r="N807" t="s">
        <v>2279</v>
      </c>
      <c r="O807" s="190" t="str">
        <f>"["&amp;$C807&amp;"]["&amp;$D807&amp;"]["&amp;$F807&amp;"]"</f>
        <v>[AircraftOperatorsVerificationReportIssues][0][AircraftOperatorsVerificationReportIssues]</v>
      </c>
    </row>
    <row r="808" spans="1:15" x14ac:dyDescent="0.3">
      <c r="A808" t="s">
        <v>2277</v>
      </c>
      <c r="B808" t="s">
        <v>2021</v>
      </c>
      <c r="C808" t="s">
        <v>2023</v>
      </c>
      <c r="D808">
        <v>1</v>
      </c>
      <c r="E808" t="s">
        <v>1447</v>
      </c>
      <c r="F808" t="s">
        <v>1989</v>
      </c>
      <c r="G808" t="s">
        <v>1737</v>
      </c>
      <c r="H808" t="s">
        <v>2279</v>
      </c>
      <c r="I808" t="s">
        <v>2279</v>
      </c>
      <c r="J808" t="s">
        <v>2279</v>
      </c>
      <c r="K808" t="s">
        <v>2279</v>
      </c>
      <c r="L808" t="s">
        <v>1512</v>
      </c>
      <c r="M808" t="s">
        <v>2279</v>
      </c>
      <c r="N808" t="s">
        <v>2279</v>
      </c>
      <c r="O808" s="190" t="str">
        <f>"["&amp;$C808&amp;"]["&amp;$D808&amp;"]["&amp;$F808&amp;"]"</f>
        <v>[S06_AircraftOperatorsVerificationReportIssuesEmissions][1][TypeOfIssue]</v>
      </c>
    </row>
    <row r="809" spans="1:15" x14ac:dyDescent="0.3">
      <c r="A809" t="s">
        <v>2277</v>
      </c>
      <c r="B809" t="s">
        <v>2021</v>
      </c>
      <c r="C809" t="s">
        <v>2023</v>
      </c>
      <c r="D809">
        <v>1</v>
      </c>
      <c r="E809" t="s">
        <v>1447</v>
      </c>
      <c r="F809" t="s">
        <v>2024</v>
      </c>
      <c r="G809" t="s">
        <v>1748</v>
      </c>
      <c r="H809" t="s">
        <v>2279</v>
      </c>
      <c r="I809">
        <v>3</v>
      </c>
      <c r="J809" t="s">
        <v>2279</v>
      </c>
      <c r="K809" t="s">
        <v>2279</v>
      </c>
      <c r="L809" t="s">
        <v>2279</v>
      </c>
      <c r="M809" t="s">
        <v>2279</v>
      </c>
      <c r="N809" t="s">
        <v>2279</v>
      </c>
      <c r="O809" s="190" t="str">
        <f>"["&amp;$C809&amp;"]["&amp;$D809&amp;"]["&amp;$F809&amp;"]"</f>
        <v>[S06_AircraftOperatorsVerificationReportIssuesEmissions][1][NumberOfAircraftOperators]</v>
      </c>
    </row>
    <row r="810" spans="1:15" x14ac:dyDescent="0.3">
      <c r="A810" t="s">
        <v>2277</v>
      </c>
      <c r="B810" t="s">
        <v>2021</v>
      </c>
      <c r="C810" t="s">
        <v>2023</v>
      </c>
      <c r="D810">
        <v>1</v>
      </c>
      <c r="E810" t="s">
        <v>1447</v>
      </c>
      <c r="F810" t="s">
        <v>1972</v>
      </c>
      <c r="G810" t="s">
        <v>1748</v>
      </c>
      <c r="H810" t="s">
        <v>2279</v>
      </c>
      <c r="I810">
        <v>8</v>
      </c>
      <c r="J810" t="s">
        <v>2279</v>
      </c>
      <c r="K810" t="s">
        <v>2279</v>
      </c>
      <c r="L810" t="s">
        <v>2279</v>
      </c>
      <c r="M810" t="s">
        <v>2279</v>
      </c>
      <c r="N810" t="s">
        <v>2279</v>
      </c>
      <c r="O810" s="190" t="str">
        <f>"["&amp;$C810&amp;"]["&amp;$D810&amp;"]["&amp;$F810&amp;"]"</f>
        <v>[S06_AircraftOperatorsVerificationReportIssuesEmissions][1][NumberOfIssues]</v>
      </c>
    </row>
    <row r="811" spans="1:15" x14ac:dyDescent="0.3">
      <c r="A811" t="s">
        <v>2277</v>
      </c>
      <c r="B811" t="s">
        <v>2021</v>
      </c>
      <c r="C811" t="s">
        <v>2023</v>
      </c>
      <c r="D811">
        <v>1</v>
      </c>
      <c r="E811" t="s">
        <v>1447</v>
      </c>
      <c r="F811" t="s">
        <v>1990</v>
      </c>
      <c r="G811" t="s">
        <v>1806</v>
      </c>
      <c r="H811" t="s">
        <v>2279</v>
      </c>
      <c r="I811" t="s">
        <v>2279</v>
      </c>
      <c r="J811">
        <v>0</v>
      </c>
      <c r="K811" t="s">
        <v>2279</v>
      </c>
      <c r="L811" t="s">
        <v>2279</v>
      </c>
      <c r="M811" t="s">
        <v>2279</v>
      </c>
      <c r="N811" t="s">
        <v>2279</v>
      </c>
      <c r="O811" s="190" t="str">
        <f>"["&amp;$C811&amp;"]["&amp;$D811&amp;"]["&amp;$F811&amp;"]"</f>
        <v>[S06_AircraftOperatorsVerificationReportIssuesEmissions][1][ShareOfReportsConservativeEstimate]</v>
      </c>
    </row>
    <row r="812" spans="1:15" x14ac:dyDescent="0.3">
      <c r="A812" t="s">
        <v>2277</v>
      </c>
      <c r="B812" t="s">
        <v>2026</v>
      </c>
      <c r="C812" t="s">
        <v>2027</v>
      </c>
      <c r="D812">
        <v>0</v>
      </c>
      <c r="E812" t="s">
        <v>1447</v>
      </c>
      <c r="F812" t="s">
        <v>2027</v>
      </c>
      <c r="G812" t="s">
        <v>1759</v>
      </c>
      <c r="H812" t="s">
        <v>2279</v>
      </c>
      <c r="I812" t="s">
        <v>2279</v>
      </c>
      <c r="J812" t="s">
        <v>2279</v>
      </c>
      <c r="K812" t="s">
        <v>2279</v>
      </c>
      <c r="L812" t="s">
        <v>1419</v>
      </c>
      <c r="M812" t="s">
        <v>2279</v>
      </c>
      <c r="N812" t="s">
        <v>2279</v>
      </c>
      <c r="O812" s="190" t="str">
        <f>"["&amp;$C812&amp;"]["&amp;$D812&amp;"]["&amp;$F812&amp;"]"</f>
        <v>[AircraftOperatorsVerificationReportChecks][0][AircraftOperatorsVerificationReportChecks]</v>
      </c>
    </row>
    <row r="813" spans="1:15" x14ac:dyDescent="0.3">
      <c r="A813" t="s">
        <v>2277</v>
      </c>
      <c r="B813" t="s">
        <v>2026</v>
      </c>
      <c r="C813" t="s">
        <v>2028</v>
      </c>
      <c r="D813">
        <v>1</v>
      </c>
      <c r="E813" t="s">
        <v>1447</v>
      </c>
      <c r="F813" t="s">
        <v>1994</v>
      </c>
      <c r="G813" t="s">
        <v>1806</v>
      </c>
      <c r="H813" t="s">
        <v>2279</v>
      </c>
      <c r="I813" t="s">
        <v>2279</v>
      </c>
      <c r="J813">
        <v>1</v>
      </c>
      <c r="K813" t="s">
        <v>2279</v>
      </c>
      <c r="L813" t="s">
        <v>2279</v>
      </c>
      <c r="M813" t="s">
        <v>2279</v>
      </c>
      <c r="N813" t="s">
        <v>2279</v>
      </c>
      <c r="O813" s="190" t="str">
        <f>"["&amp;$C813&amp;"]["&amp;$D813&amp;"]["&amp;$F813&amp;"]"</f>
        <v>[S06_AircraftOperatorsVerificationEmissionReportChecks1][1][PercentageShare]</v>
      </c>
    </row>
    <row r="814" spans="1:15" x14ac:dyDescent="0.3">
      <c r="A814" t="s">
        <v>2277</v>
      </c>
      <c r="B814" t="s">
        <v>2026</v>
      </c>
      <c r="C814" t="s">
        <v>2028</v>
      </c>
      <c r="D814">
        <v>2</v>
      </c>
      <c r="E814" t="s">
        <v>1447</v>
      </c>
      <c r="F814" t="s">
        <v>1994</v>
      </c>
      <c r="G814" t="s">
        <v>1806</v>
      </c>
      <c r="H814" t="s">
        <v>2279</v>
      </c>
      <c r="I814" t="s">
        <v>2279</v>
      </c>
      <c r="J814">
        <v>1</v>
      </c>
      <c r="K814" t="s">
        <v>2279</v>
      </c>
      <c r="L814" t="s">
        <v>2279</v>
      </c>
      <c r="M814" t="s">
        <v>2279</v>
      </c>
      <c r="N814" t="s">
        <v>2279</v>
      </c>
      <c r="O814" s="190" t="str">
        <f>"["&amp;$C814&amp;"]["&amp;$D814&amp;"]["&amp;$F814&amp;"]"</f>
        <v>[S06_AircraftOperatorsVerificationEmissionReportChecks1][2][PercentageShare]</v>
      </c>
    </row>
    <row r="815" spans="1:15" x14ac:dyDescent="0.3">
      <c r="A815" t="s">
        <v>2277</v>
      </c>
      <c r="B815" t="s">
        <v>2026</v>
      </c>
      <c r="C815" t="s">
        <v>2028</v>
      </c>
      <c r="D815">
        <v>3</v>
      </c>
      <c r="E815" t="s">
        <v>1447</v>
      </c>
      <c r="F815" t="s">
        <v>1994</v>
      </c>
      <c r="G815" t="s">
        <v>1806</v>
      </c>
      <c r="H815" t="s">
        <v>2279</v>
      </c>
      <c r="I815" t="s">
        <v>2279</v>
      </c>
      <c r="J815">
        <v>1</v>
      </c>
      <c r="K815" t="s">
        <v>2279</v>
      </c>
      <c r="L815" t="s">
        <v>2279</v>
      </c>
      <c r="M815" t="s">
        <v>2279</v>
      </c>
      <c r="N815" t="s">
        <v>2279</v>
      </c>
      <c r="O815" s="190" t="str">
        <f>"["&amp;$C815&amp;"]["&amp;$D815&amp;"]["&amp;$F815&amp;"]"</f>
        <v>[S06_AircraftOperatorsVerificationEmissionReportChecks1][3][PercentageShare]</v>
      </c>
    </row>
    <row r="816" spans="1:15" x14ac:dyDescent="0.3">
      <c r="A816" t="s">
        <v>2277</v>
      </c>
      <c r="B816" t="s">
        <v>2026</v>
      </c>
      <c r="C816" t="s">
        <v>2028</v>
      </c>
      <c r="D816">
        <v>4</v>
      </c>
      <c r="E816" t="s">
        <v>1447</v>
      </c>
      <c r="F816" t="s">
        <v>1994</v>
      </c>
      <c r="G816" t="s">
        <v>1806</v>
      </c>
      <c r="H816" t="s">
        <v>2279</v>
      </c>
      <c r="I816" t="s">
        <v>2279</v>
      </c>
      <c r="J816">
        <v>1</v>
      </c>
      <c r="K816" t="s">
        <v>2279</v>
      </c>
      <c r="L816" t="s">
        <v>2279</v>
      </c>
      <c r="M816" t="s">
        <v>2279</v>
      </c>
      <c r="N816" t="s">
        <v>2279</v>
      </c>
      <c r="O816" s="190" t="str">
        <f>"["&amp;$C816&amp;"]["&amp;$D816&amp;"]["&amp;$F816&amp;"]"</f>
        <v>[S06_AircraftOperatorsVerificationEmissionReportChecks1][4][PercentageShare]</v>
      </c>
    </row>
    <row r="817" spans="1:15" x14ac:dyDescent="0.3">
      <c r="A817" t="s">
        <v>2277</v>
      </c>
      <c r="B817" t="s">
        <v>2026</v>
      </c>
      <c r="C817" t="s">
        <v>2028</v>
      </c>
      <c r="D817">
        <v>3</v>
      </c>
      <c r="E817" t="s">
        <v>1447</v>
      </c>
      <c r="F817" t="s">
        <v>1995</v>
      </c>
      <c r="G817" t="s">
        <v>1791</v>
      </c>
      <c r="H817" t="s">
        <v>2279</v>
      </c>
      <c r="I817" t="s">
        <v>2279</v>
      </c>
      <c r="J817" t="s">
        <v>2279</v>
      </c>
      <c r="K817" t="s">
        <v>2376</v>
      </c>
      <c r="L817" t="s">
        <v>2279</v>
      </c>
      <c r="M817" t="s">
        <v>2279</v>
      </c>
      <c r="N817" t="s">
        <v>2279</v>
      </c>
      <c r="O817" s="190" t="str">
        <f>"["&amp;$C817&amp;"]["&amp;$D817&amp;"]["&amp;$F817&amp;"]"</f>
        <v>[S06_AircraftOperatorsVerificationEmissionReportChecks1][3][FurtherInformation]</v>
      </c>
    </row>
    <row r="818" spans="1:15" x14ac:dyDescent="0.3">
      <c r="A818" t="s">
        <v>2277</v>
      </c>
      <c r="B818" t="s">
        <v>2026</v>
      </c>
      <c r="C818" t="s">
        <v>2028</v>
      </c>
      <c r="D818">
        <v>4</v>
      </c>
      <c r="E818" t="s">
        <v>1447</v>
      </c>
      <c r="F818" t="s">
        <v>1995</v>
      </c>
      <c r="G818" t="s">
        <v>1791</v>
      </c>
      <c r="H818" t="s">
        <v>2279</v>
      </c>
      <c r="I818" t="s">
        <v>2279</v>
      </c>
      <c r="J818" t="s">
        <v>2279</v>
      </c>
      <c r="K818" t="s">
        <v>2367</v>
      </c>
      <c r="L818" t="s">
        <v>2279</v>
      </c>
      <c r="M818" t="s">
        <v>2279</v>
      </c>
      <c r="N818" t="s">
        <v>2279</v>
      </c>
      <c r="O818" s="190" t="str">
        <f>"["&amp;$C818&amp;"]["&amp;$D818&amp;"]["&amp;$F818&amp;"]"</f>
        <v>[S06_AircraftOperatorsVerificationEmissionReportChecks1][4][FurtherInformation]</v>
      </c>
    </row>
    <row r="819" spans="1:15" x14ac:dyDescent="0.3">
      <c r="A819" t="s">
        <v>2277</v>
      </c>
      <c r="B819" t="s">
        <v>2026</v>
      </c>
      <c r="C819" t="s">
        <v>2028</v>
      </c>
      <c r="D819">
        <v>4</v>
      </c>
      <c r="E819" t="s">
        <v>1447</v>
      </c>
      <c r="F819" t="s">
        <v>1996</v>
      </c>
      <c r="G819" t="s">
        <v>1737</v>
      </c>
      <c r="H819" t="s">
        <v>2279</v>
      </c>
      <c r="I819" t="s">
        <v>2279</v>
      </c>
      <c r="J819" t="s">
        <v>2279</v>
      </c>
      <c r="K819" t="s">
        <v>2279</v>
      </c>
      <c r="L819" t="s">
        <v>1527</v>
      </c>
      <c r="M819" t="s">
        <v>2279</v>
      </c>
      <c r="N819" t="s">
        <v>2279</v>
      </c>
      <c r="O819" s="190" t="str">
        <f>"["&amp;$C819&amp;"]["&amp;$D819&amp;"]["&amp;$F819&amp;"]"</f>
        <v>[S06_AircraftOperatorsVerificationEmissionReportChecks1][4][SelectingCriteria]</v>
      </c>
    </row>
    <row r="820" spans="1:15" x14ac:dyDescent="0.3">
      <c r="A820" t="s">
        <v>2277</v>
      </c>
      <c r="B820" t="s">
        <v>2026</v>
      </c>
      <c r="C820" t="s">
        <v>2029</v>
      </c>
      <c r="D820">
        <v>1</v>
      </c>
      <c r="E820" t="s">
        <v>1447</v>
      </c>
      <c r="F820" t="s">
        <v>1998</v>
      </c>
      <c r="G820" t="s">
        <v>1748</v>
      </c>
      <c r="H820" t="s">
        <v>2279</v>
      </c>
      <c r="I820">
        <v>0</v>
      </c>
      <c r="J820" t="s">
        <v>2279</v>
      </c>
      <c r="K820" t="s">
        <v>2279</v>
      </c>
      <c r="L820" t="s">
        <v>2279</v>
      </c>
      <c r="M820" t="s">
        <v>2279</v>
      </c>
      <c r="N820" t="s">
        <v>2279</v>
      </c>
      <c r="O820" s="190" t="str">
        <f>"["&amp;$C820&amp;"]["&amp;$D820&amp;"]["&amp;$F820&amp;"]"</f>
        <v>[S06_AircraftOperatorsVerificationEmissionReportChecks2][1][NumberOfReports]</v>
      </c>
    </row>
    <row r="821" spans="1:15" x14ac:dyDescent="0.3">
      <c r="A821" t="s">
        <v>2277</v>
      </c>
      <c r="B821" t="s">
        <v>2026</v>
      </c>
      <c r="C821" t="s">
        <v>2029</v>
      </c>
      <c r="D821">
        <v>2</v>
      </c>
      <c r="E821" t="s">
        <v>1447</v>
      </c>
      <c r="F821" t="s">
        <v>1998</v>
      </c>
      <c r="G821" t="s">
        <v>1748</v>
      </c>
      <c r="H821" t="s">
        <v>2279</v>
      </c>
      <c r="I821">
        <v>3</v>
      </c>
      <c r="J821" t="s">
        <v>2279</v>
      </c>
      <c r="K821" t="s">
        <v>2279</v>
      </c>
      <c r="L821" t="s">
        <v>2279</v>
      </c>
      <c r="M821" t="s">
        <v>2279</v>
      </c>
      <c r="N821" t="s">
        <v>2279</v>
      </c>
      <c r="O821" s="190" t="str">
        <f>"["&amp;$C821&amp;"]["&amp;$D821&amp;"]["&amp;$F821&amp;"]"</f>
        <v>[S06_AircraftOperatorsVerificationEmissionReportChecks2][2][NumberOfReports]</v>
      </c>
    </row>
    <row r="822" spans="1:15" x14ac:dyDescent="0.3">
      <c r="A822" t="s">
        <v>2277</v>
      </c>
      <c r="B822" t="s">
        <v>2026</v>
      </c>
      <c r="C822" t="s">
        <v>2029</v>
      </c>
      <c r="D822">
        <v>2</v>
      </c>
      <c r="E822" t="s">
        <v>1447</v>
      </c>
      <c r="F822" t="s">
        <v>1995</v>
      </c>
      <c r="G822" t="s">
        <v>1791</v>
      </c>
      <c r="H822" t="s">
        <v>2279</v>
      </c>
      <c r="I822" t="s">
        <v>2279</v>
      </c>
      <c r="J822" t="s">
        <v>2279</v>
      </c>
      <c r="K822" t="s">
        <v>2377</v>
      </c>
      <c r="L822" t="s">
        <v>2279</v>
      </c>
      <c r="M822" t="s">
        <v>2279</v>
      </c>
      <c r="N822" t="s">
        <v>2279</v>
      </c>
      <c r="O822" s="190" t="str">
        <f>"["&amp;$C822&amp;"]["&amp;$D822&amp;"]["&amp;$F822&amp;"]"</f>
        <v>[S06_AircraftOperatorsVerificationEmissionReportChecks2][2][FurtherInformation]</v>
      </c>
    </row>
    <row r="823" spans="1:15" x14ac:dyDescent="0.3">
      <c r="A823" t="s">
        <v>2277</v>
      </c>
      <c r="B823" t="s">
        <v>2026</v>
      </c>
      <c r="C823" t="s">
        <v>2030</v>
      </c>
      <c r="D823">
        <v>1</v>
      </c>
      <c r="E823" t="s">
        <v>1447</v>
      </c>
      <c r="F823" t="s">
        <v>2000</v>
      </c>
      <c r="G823" t="s">
        <v>1741</v>
      </c>
      <c r="H823" t="s">
        <v>2378</v>
      </c>
      <c r="I823" t="s">
        <v>2279</v>
      </c>
      <c r="J823" t="s">
        <v>2279</v>
      </c>
      <c r="K823" t="s">
        <v>2279</v>
      </c>
      <c r="L823" t="s">
        <v>2279</v>
      </c>
      <c r="M823" t="s">
        <v>2279</v>
      </c>
      <c r="N823" t="s">
        <v>2279</v>
      </c>
      <c r="O823" s="190" t="str">
        <f>"["&amp;$C823&amp;"]["&amp;$D823&amp;"]["&amp;$F823&amp;"]"</f>
        <v>[S06_AircraftOperatorsVerificationEmissionReportChecks3][1][ActionsTaken]</v>
      </c>
    </row>
    <row r="824" spans="1:15" x14ac:dyDescent="0.3">
      <c r="A824" t="s">
        <v>2277</v>
      </c>
      <c r="B824" t="s">
        <v>2026</v>
      </c>
      <c r="C824" t="s">
        <v>2030</v>
      </c>
      <c r="D824">
        <v>2</v>
      </c>
      <c r="E824" t="s">
        <v>1419</v>
      </c>
      <c r="F824" t="s">
        <v>2000</v>
      </c>
      <c r="G824" t="s">
        <v>1791</v>
      </c>
      <c r="H824" t="s">
        <v>2279</v>
      </c>
      <c r="I824" t="s">
        <v>2279</v>
      </c>
      <c r="J824" t="s">
        <v>2279</v>
      </c>
      <c r="K824" t="s">
        <v>2379</v>
      </c>
      <c r="L824" t="s">
        <v>2279</v>
      </c>
      <c r="M824" t="s">
        <v>2279</v>
      </c>
      <c r="N824" t="s">
        <v>2279</v>
      </c>
      <c r="O824" s="190" t="str">
        <f>"["&amp;$C824&amp;"]["&amp;$D824&amp;"]["&amp;$F824&amp;"]"</f>
        <v>[S06_AircraftOperatorsVerificationEmissionReportChecks3][2][ActionsTaken]</v>
      </c>
    </row>
    <row r="825" spans="1:15" x14ac:dyDescent="0.3">
      <c r="A825" t="s">
        <v>2277</v>
      </c>
      <c r="B825" t="s">
        <v>2034</v>
      </c>
      <c r="C825" t="s">
        <v>2035</v>
      </c>
      <c r="D825">
        <v>0</v>
      </c>
      <c r="E825" t="s">
        <v>1447</v>
      </c>
      <c r="F825" t="s">
        <v>2035</v>
      </c>
      <c r="G825" t="s">
        <v>1759</v>
      </c>
      <c r="H825" t="s">
        <v>2279</v>
      </c>
      <c r="I825" t="s">
        <v>2279</v>
      </c>
      <c r="J825" t="s">
        <v>2279</v>
      </c>
      <c r="K825" t="s">
        <v>2279</v>
      </c>
      <c r="L825" t="s">
        <v>1447</v>
      </c>
      <c r="M825" t="s">
        <v>2279</v>
      </c>
      <c r="N825" t="s">
        <v>2279</v>
      </c>
      <c r="O825" s="190" t="str">
        <f>"["&amp;$C825&amp;"]["&amp;$D825&amp;"]["&amp;$F825&amp;"]"</f>
        <v>[AircraftOperatorsVisitsWaivedLowEmitters][0][AircraftOperatorsVisitsWaivedLowEmitters]</v>
      </c>
    </row>
    <row r="826" spans="1:15" x14ac:dyDescent="0.3">
      <c r="A826" t="s">
        <v>2277</v>
      </c>
      <c r="B826" t="s">
        <v>2034</v>
      </c>
      <c r="C826" t="s">
        <v>2036</v>
      </c>
      <c r="D826">
        <v>0</v>
      </c>
      <c r="E826" t="s">
        <v>1447</v>
      </c>
      <c r="F826" t="s">
        <v>2036</v>
      </c>
      <c r="G826" t="s">
        <v>1748</v>
      </c>
      <c r="H826" t="s">
        <v>2279</v>
      </c>
      <c r="I826">
        <v>0</v>
      </c>
      <c r="J826" t="s">
        <v>2279</v>
      </c>
      <c r="K826" t="s">
        <v>2279</v>
      </c>
      <c r="L826" t="s">
        <v>2279</v>
      </c>
      <c r="M826" t="s">
        <v>2279</v>
      </c>
      <c r="N826" t="s">
        <v>2279</v>
      </c>
      <c r="O826" s="190" t="str">
        <f>"["&amp;$C826&amp;"]["&amp;$D826&amp;"]["&amp;$F826&amp;"]"</f>
        <v>[AircraftOperatorsVisitsWaivedLowEmittersDetail][0][AircraftOperatorsVisitsWaivedLowEmittersDetail]</v>
      </c>
    </row>
    <row r="827" spans="1:15" x14ac:dyDescent="0.3">
      <c r="A827" t="s">
        <v>2277</v>
      </c>
      <c r="B827" t="s">
        <v>2037</v>
      </c>
      <c r="C827" t="s">
        <v>2038</v>
      </c>
      <c r="D827">
        <v>0</v>
      </c>
      <c r="E827" t="s">
        <v>1447</v>
      </c>
      <c r="F827" t="s">
        <v>2038</v>
      </c>
      <c r="G827" t="s">
        <v>1759</v>
      </c>
      <c r="H827" t="s">
        <v>2279</v>
      </c>
      <c r="I827" t="s">
        <v>2279</v>
      </c>
      <c r="J827" t="s">
        <v>2279</v>
      </c>
      <c r="K827" t="s">
        <v>2279</v>
      </c>
      <c r="L827" t="s">
        <v>1419</v>
      </c>
      <c r="M827" t="s">
        <v>2279</v>
      </c>
      <c r="N827" t="s">
        <v>2279</v>
      </c>
      <c r="O827" s="190" t="str">
        <f>"["&amp;$C827&amp;"]["&amp;$D827&amp;"]["&amp;$F827&amp;"]"</f>
        <v>[VirtualVisitsAircraft][0][VirtualVisitsAircraft]</v>
      </c>
    </row>
    <row r="828" spans="1:15" x14ac:dyDescent="0.3">
      <c r="A828" t="s">
        <v>2277</v>
      </c>
      <c r="B828" t="s">
        <v>2037</v>
      </c>
      <c r="C828" t="s">
        <v>2039</v>
      </c>
      <c r="D828">
        <v>1</v>
      </c>
      <c r="E828" t="s">
        <v>1447</v>
      </c>
      <c r="F828" t="s">
        <v>2010</v>
      </c>
      <c r="G828" t="s">
        <v>1741</v>
      </c>
      <c r="H828" t="s">
        <v>2370</v>
      </c>
      <c r="I828" t="s">
        <v>2279</v>
      </c>
      <c r="J828" t="s">
        <v>2279</v>
      </c>
      <c r="K828" t="s">
        <v>2279</v>
      </c>
      <c r="L828" t="s">
        <v>2279</v>
      </c>
      <c r="M828" t="s">
        <v>2279</v>
      </c>
      <c r="N828" t="s">
        <v>2279</v>
      </c>
      <c r="O828" s="190" t="str">
        <f>"["&amp;$C828&amp;"]["&amp;$D828&amp;"]["&amp;$F828&amp;"]"</f>
        <v>[S06_VirtualVisitsAircraftDetails][1][TypeForceMajeur]</v>
      </c>
    </row>
    <row r="829" spans="1:15" x14ac:dyDescent="0.3">
      <c r="A829" t="s">
        <v>2277</v>
      </c>
      <c r="B829" t="s">
        <v>2037</v>
      </c>
      <c r="C829" t="s">
        <v>2039</v>
      </c>
      <c r="D829">
        <v>1</v>
      </c>
      <c r="E829" t="s">
        <v>1447</v>
      </c>
      <c r="F829" t="s">
        <v>2040</v>
      </c>
      <c r="G829" t="s">
        <v>1748</v>
      </c>
      <c r="H829" t="s">
        <v>2279</v>
      </c>
      <c r="I829">
        <v>1</v>
      </c>
      <c r="J829" t="s">
        <v>2279</v>
      </c>
      <c r="K829" t="s">
        <v>2279</v>
      </c>
      <c r="L829" t="s">
        <v>2279</v>
      </c>
      <c r="M829" t="s">
        <v>2279</v>
      </c>
      <c r="N829" t="s">
        <v>2279</v>
      </c>
      <c r="O829" s="190" t="str">
        <f>"["&amp;$C829&amp;"]["&amp;$D829&amp;"]["&amp;$F829&amp;"]"</f>
        <v>[S06_VirtualVisitsAircraftDetails][1][NumberOfAirOperatorsVV]</v>
      </c>
    </row>
    <row r="830" spans="1:15" x14ac:dyDescent="0.3">
      <c r="A830" t="s">
        <v>2277</v>
      </c>
      <c r="B830" t="s">
        <v>2037</v>
      </c>
      <c r="C830" t="s">
        <v>2039</v>
      </c>
      <c r="D830">
        <v>1</v>
      </c>
      <c r="E830" t="s">
        <v>1447</v>
      </c>
      <c r="F830" t="s">
        <v>2012</v>
      </c>
      <c r="G830" t="s">
        <v>1737</v>
      </c>
      <c r="H830" t="s">
        <v>2279</v>
      </c>
      <c r="I830" t="s">
        <v>2279</v>
      </c>
      <c r="J830" t="s">
        <v>2279</v>
      </c>
      <c r="K830" t="s">
        <v>2279</v>
      </c>
      <c r="L830" t="s">
        <v>1442</v>
      </c>
      <c r="M830" t="s">
        <v>2279</v>
      </c>
      <c r="N830" t="s">
        <v>2279</v>
      </c>
      <c r="O830" s="190" t="str">
        <f>"["&amp;$C830&amp;"]["&amp;$D830&amp;"]["&amp;$F830&amp;"]"</f>
        <v>[S06_VirtualVisitsAircraftDetails][1][AuthorityApproval]</v>
      </c>
    </row>
    <row r="831" spans="1:15" x14ac:dyDescent="0.3">
      <c r="A831" t="s">
        <v>2277</v>
      </c>
      <c r="B831" t="s">
        <v>2037</v>
      </c>
      <c r="C831" t="s">
        <v>2039</v>
      </c>
      <c r="D831">
        <v>1</v>
      </c>
      <c r="E831" t="s">
        <v>1447</v>
      </c>
      <c r="F831" t="s">
        <v>2013</v>
      </c>
      <c r="G831" t="s">
        <v>1741</v>
      </c>
      <c r="H831" t="s">
        <v>1419</v>
      </c>
      <c r="I831" t="s">
        <v>2279</v>
      </c>
      <c r="J831" t="s">
        <v>2279</v>
      </c>
      <c r="K831" t="s">
        <v>2279</v>
      </c>
      <c r="L831" t="s">
        <v>2279</v>
      </c>
      <c r="M831" t="s">
        <v>2279</v>
      </c>
      <c r="N831" t="s">
        <v>2279</v>
      </c>
      <c r="O831" s="190" t="str">
        <f>"["&amp;$C831&amp;"]["&amp;$D831&amp;"]["&amp;$F831&amp;"]"</f>
        <v>[S06_VirtualVisitsAircraftDetails][1][ConfirmationConditionsMet]</v>
      </c>
    </row>
    <row r="832" spans="1:15" x14ac:dyDescent="0.3">
      <c r="A832" t="s">
        <v>2277</v>
      </c>
      <c r="B832" t="s">
        <v>2041</v>
      </c>
      <c r="C832" t="s">
        <v>2042</v>
      </c>
      <c r="D832">
        <v>1</v>
      </c>
      <c r="E832" t="s">
        <v>1447</v>
      </c>
      <c r="F832" t="s">
        <v>2043</v>
      </c>
      <c r="G832" t="s">
        <v>1741</v>
      </c>
      <c r="H832" t="s">
        <v>2219</v>
      </c>
      <c r="I832" t="s">
        <v>2279</v>
      </c>
      <c r="J832" t="s">
        <v>2279</v>
      </c>
      <c r="K832" t="s">
        <v>2279</v>
      </c>
      <c r="L832" t="s">
        <v>2279</v>
      </c>
      <c r="M832" t="s">
        <v>2279</v>
      </c>
      <c r="N832" t="s">
        <v>2279</v>
      </c>
      <c r="O832" s="190" t="str">
        <f>"["&amp;$C832&amp;"]["&amp;$D832&amp;"]["&amp;$F832&amp;"]"</f>
        <v>[S07_NoFurtherAllowancesSurrendered][1][InstallationIDCode]</v>
      </c>
    </row>
    <row r="833" spans="1:15" x14ac:dyDescent="0.3">
      <c r="A833" t="s">
        <v>2277</v>
      </c>
      <c r="B833" t="s">
        <v>2048</v>
      </c>
      <c r="C833" t="s">
        <v>2049</v>
      </c>
      <c r="D833">
        <v>0</v>
      </c>
      <c r="E833" t="s">
        <v>1447</v>
      </c>
      <c r="F833" t="s">
        <v>2049</v>
      </c>
      <c r="G833" t="s">
        <v>1748</v>
      </c>
      <c r="H833" t="s">
        <v>2279</v>
      </c>
      <c r="I833">
        <v>0</v>
      </c>
      <c r="J833" t="s">
        <v>2279</v>
      </c>
      <c r="K833" t="s">
        <v>2279</v>
      </c>
      <c r="L833" t="s">
        <v>2279</v>
      </c>
      <c r="M833" t="s">
        <v>2279</v>
      </c>
      <c r="N833" t="s">
        <v>2279</v>
      </c>
      <c r="O833" s="190" t="str">
        <f>"["&amp;$C833&amp;"]["&amp;$D833&amp;"]["&amp;$F833&amp;"]"</f>
        <v>[AircraftOperatorsMandateArt15UseNumber][0][AircraftOperatorsMandateArt15UseNumber]</v>
      </c>
    </row>
    <row r="834" spans="1:15" x14ac:dyDescent="0.3">
      <c r="A834" t="s">
        <v>2277</v>
      </c>
      <c r="B834" t="s">
        <v>2048</v>
      </c>
      <c r="C834" t="s">
        <v>2050</v>
      </c>
      <c r="D834">
        <v>1</v>
      </c>
      <c r="E834" t="s">
        <v>1447</v>
      </c>
      <c r="F834" t="s">
        <v>2016</v>
      </c>
      <c r="G834" t="s">
        <v>1741</v>
      </c>
      <c r="H834" t="s">
        <v>2219</v>
      </c>
      <c r="I834" t="s">
        <v>2279</v>
      </c>
      <c r="J834" t="s">
        <v>2279</v>
      </c>
      <c r="K834" t="s">
        <v>2279</v>
      </c>
      <c r="L834" t="s">
        <v>2279</v>
      </c>
      <c r="M834" t="s">
        <v>2279</v>
      </c>
      <c r="N834" t="s">
        <v>2279</v>
      </c>
      <c r="O834" s="190" t="str">
        <f>"["&amp;$C834&amp;"]["&amp;$D834&amp;"]["&amp;$F834&amp;"]"</f>
        <v>[S07_AircraftOperatorsUseArt15MandateDetail][1][AircraftOperatorID]</v>
      </c>
    </row>
    <row r="835" spans="1:15" x14ac:dyDescent="0.3">
      <c r="A835" t="s">
        <v>2277</v>
      </c>
      <c r="B835" t="s">
        <v>2052</v>
      </c>
      <c r="C835" t="s">
        <v>2053</v>
      </c>
      <c r="D835">
        <v>0</v>
      </c>
      <c r="E835" t="s">
        <v>1447</v>
      </c>
      <c r="F835" t="s">
        <v>2053</v>
      </c>
      <c r="G835" t="s">
        <v>1759</v>
      </c>
      <c r="H835" t="s">
        <v>2279</v>
      </c>
      <c r="I835" t="s">
        <v>2279</v>
      </c>
      <c r="J835" t="s">
        <v>2279</v>
      </c>
      <c r="K835" t="s">
        <v>2279</v>
      </c>
      <c r="L835" t="s">
        <v>1419</v>
      </c>
      <c r="M835" t="s">
        <v>2279</v>
      </c>
      <c r="N835" t="s">
        <v>2279</v>
      </c>
      <c r="O835" s="190" t="str">
        <f>"["&amp;$C835&amp;"]["&amp;$D835&amp;"]["&amp;$F835&amp;"]"</f>
        <v>[CommissionTemplatesAllocation][0][CommissionTemplatesAllocation]</v>
      </c>
    </row>
    <row r="836" spans="1:15" x14ac:dyDescent="0.3">
      <c r="A836" t="s">
        <v>2277</v>
      </c>
      <c r="B836" t="s">
        <v>2055</v>
      </c>
      <c r="C836" t="s">
        <v>2056</v>
      </c>
      <c r="D836">
        <v>0</v>
      </c>
      <c r="E836" t="s">
        <v>1447</v>
      </c>
      <c r="F836" t="s">
        <v>2056</v>
      </c>
      <c r="G836" t="s">
        <v>1759</v>
      </c>
      <c r="H836" t="s">
        <v>2279</v>
      </c>
      <c r="I836" t="s">
        <v>2279</v>
      </c>
      <c r="J836" t="s">
        <v>2279</v>
      </c>
      <c r="K836" t="s">
        <v>2279</v>
      </c>
      <c r="L836" t="s">
        <v>1447</v>
      </c>
      <c r="M836" t="s">
        <v>2279</v>
      </c>
      <c r="N836" t="s">
        <v>2279</v>
      </c>
      <c r="O836" s="190" t="str">
        <f>"["&amp;$C836&amp;"]["&amp;$D836&amp;"]["&amp;$F836&amp;"]"</f>
        <v>[FeesAllocation][0][FeesAllocation]</v>
      </c>
    </row>
    <row r="837" spans="1:15" x14ac:dyDescent="0.3">
      <c r="A837" t="s">
        <v>2277</v>
      </c>
      <c r="B837" t="s">
        <v>2060</v>
      </c>
      <c r="C837" t="s">
        <v>2061</v>
      </c>
      <c r="D837">
        <v>0</v>
      </c>
      <c r="E837" t="s">
        <v>1447</v>
      </c>
      <c r="F837" t="s">
        <v>2061</v>
      </c>
      <c r="G837" t="s">
        <v>1759</v>
      </c>
      <c r="H837" t="s">
        <v>2279</v>
      </c>
      <c r="I837" t="s">
        <v>2279</v>
      </c>
      <c r="J837" t="s">
        <v>2279</v>
      </c>
      <c r="K837" t="s">
        <v>2279</v>
      </c>
      <c r="L837" t="s">
        <v>1447</v>
      </c>
      <c r="M837" t="s">
        <v>2279</v>
      </c>
      <c r="N837" t="s">
        <v>2279</v>
      </c>
      <c r="O837" s="190" t="str">
        <f>"["&amp;$C837&amp;"]["&amp;$D837&amp;"]["&amp;$F837&amp;"]"</f>
        <v>[ITforAllocationData][0][ITforAllocationData]</v>
      </c>
    </row>
    <row r="838" spans="1:15" x14ac:dyDescent="0.3">
      <c r="A838" t="s">
        <v>2277</v>
      </c>
      <c r="B838" t="s">
        <v>2062</v>
      </c>
      <c r="C838" t="s">
        <v>2063</v>
      </c>
      <c r="D838">
        <v>1</v>
      </c>
      <c r="E838" t="s">
        <v>1447</v>
      </c>
      <c r="F838" t="s">
        <v>1798</v>
      </c>
      <c r="G838" t="s">
        <v>1748</v>
      </c>
      <c r="H838" t="s">
        <v>2279</v>
      </c>
      <c r="I838">
        <v>0</v>
      </c>
      <c r="J838" t="s">
        <v>2279</v>
      </c>
      <c r="K838" t="s">
        <v>2279</v>
      </c>
      <c r="L838" t="s">
        <v>2279</v>
      </c>
      <c r="M838" t="s">
        <v>2279</v>
      </c>
      <c r="N838" t="s">
        <v>2279</v>
      </c>
      <c r="O838" s="190" t="str">
        <f>"["&amp;$C838&amp;"]["&amp;$D838&amp;"]["&amp;$F838&amp;"]"</f>
        <v>[S08_RenunciationSuspensionAllowances][1][NumberOfInstallations]</v>
      </c>
    </row>
    <row r="839" spans="1:15" x14ac:dyDescent="0.3">
      <c r="A839" t="s">
        <v>2277</v>
      </c>
      <c r="B839" t="s">
        <v>2062</v>
      </c>
      <c r="C839" t="s">
        <v>2063</v>
      </c>
      <c r="D839">
        <v>2</v>
      </c>
      <c r="E839" t="s">
        <v>1447</v>
      </c>
      <c r="F839" t="s">
        <v>1798</v>
      </c>
      <c r="G839" t="s">
        <v>1748</v>
      </c>
      <c r="H839" t="s">
        <v>2279</v>
      </c>
      <c r="I839">
        <v>125</v>
      </c>
      <c r="J839" t="s">
        <v>2279</v>
      </c>
      <c r="K839" t="s">
        <v>2279</v>
      </c>
      <c r="L839" t="s">
        <v>2279</v>
      </c>
      <c r="M839" t="s">
        <v>2279</v>
      </c>
      <c r="N839" t="s">
        <v>2279</v>
      </c>
      <c r="O839" s="190" t="str">
        <f>"["&amp;$C839&amp;"]["&amp;$D839&amp;"]["&amp;$F839&amp;"]"</f>
        <v>[S08_RenunciationSuspensionAllowances][2][NumberOfInstallations]</v>
      </c>
    </row>
    <row r="840" spans="1:15" x14ac:dyDescent="0.3">
      <c r="A840" t="s">
        <v>2277</v>
      </c>
      <c r="B840" t="s">
        <v>2062</v>
      </c>
      <c r="C840" t="s">
        <v>2063</v>
      </c>
      <c r="D840">
        <v>3</v>
      </c>
      <c r="E840" t="s">
        <v>1447</v>
      </c>
      <c r="F840" t="s">
        <v>1798</v>
      </c>
      <c r="G840" t="s">
        <v>1748</v>
      </c>
      <c r="H840" t="s">
        <v>2279</v>
      </c>
      <c r="I840">
        <v>0</v>
      </c>
      <c r="J840" t="s">
        <v>2279</v>
      </c>
      <c r="K840" t="s">
        <v>2279</v>
      </c>
      <c r="L840" t="s">
        <v>2279</v>
      </c>
      <c r="M840" t="s">
        <v>2279</v>
      </c>
      <c r="N840" t="s">
        <v>2279</v>
      </c>
      <c r="O840" s="190" t="str">
        <f>"["&amp;$C840&amp;"]["&amp;$D840&amp;"]["&amp;$F840&amp;"]"</f>
        <v>[S08_RenunciationSuspensionAllowances][3][NumberOfInstallations]</v>
      </c>
    </row>
    <row r="841" spans="1:15" x14ac:dyDescent="0.3">
      <c r="A841" t="s">
        <v>2277</v>
      </c>
      <c r="B841" t="s">
        <v>2064</v>
      </c>
      <c r="C841" t="s">
        <v>2065</v>
      </c>
      <c r="D841">
        <v>0</v>
      </c>
      <c r="E841" t="s">
        <v>1447</v>
      </c>
      <c r="F841" t="s">
        <v>2065</v>
      </c>
      <c r="G841" t="s">
        <v>1759</v>
      </c>
      <c r="H841" t="s">
        <v>2279</v>
      </c>
      <c r="I841" t="s">
        <v>2279</v>
      </c>
      <c r="J841" t="s">
        <v>2279</v>
      </c>
      <c r="K841" t="s">
        <v>2279</v>
      </c>
      <c r="L841" t="s">
        <v>1419</v>
      </c>
      <c r="M841" t="s">
        <v>2279</v>
      </c>
      <c r="N841" t="s">
        <v>2279</v>
      </c>
      <c r="O841" s="190" t="str">
        <f>"["&amp;$C841&amp;"]["&amp;$D841&amp;"]["&amp;$F841&amp;"]"</f>
        <v>[SubInstallationBenchmark61][0][SubInstallationBenchmark61]</v>
      </c>
    </row>
    <row r="842" spans="1:15" x14ac:dyDescent="0.3">
      <c r="A842" t="s">
        <v>2277</v>
      </c>
      <c r="B842" t="s">
        <v>2064</v>
      </c>
      <c r="C842" t="s">
        <v>2066</v>
      </c>
      <c r="D842">
        <v>1</v>
      </c>
      <c r="E842" t="s">
        <v>1447</v>
      </c>
      <c r="F842" t="s">
        <v>2067</v>
      </c>
      <c r="G842" t="s">
        <v>1748</v>
      </c>
      <c r="H842" t="s">
        <v>2279</v>
      </c>
      <c r="I842">
        <v>1</v>
      </c>
      <c r="J842" t="s">
        <v>2279</v>
      </c>
      <c r="K842" t="s">
        <v>2279</v>
      </c>
      <c r="L842" t="s">
        <v>2279</v>
      </c>
      <c r="M842" t="s">
        <v>2279</v>
      </c>
      <c r="N842" t="s">
        <v>2279</v>
      </c>
      <c r="O842" s="190" t="str">
        <f>"["&amp;$C842&amp;"]["&amp;$D842&amp;"]["&amp;$F842&amp;"]"</f>
        <v>[S08_SubInstallationBenchmark61Detail][1][FuelBenchmark]</v>
      </c>
    </row>
    <row r="843" spans="1:15" x14ac:dyDescent="0.3">
      <c r="A843" t="s">
        <v>2277</v>
      </c>
      <c r="B843" t="s">
        <v>2064</v>
      </c>
      <c r="C843" t="s">
        <v>2066</v>
      </c>
      <c r="D843">
        <v>1</v>
      </c>
      <c r="E843" t="s">
        <v>1447</v>
      </c>
      <c r="F843" t="s">
        <v>2068</v>
      </c>
      <c r="G843" t="s">
        <v>1748</v>
      </c>
      <c r="H843" t="s">
        <v>2279</v>
      </c>
      <c r="I843">
        <v>2</v>
      </c>
      <c r="J843" t="s">
        <v>2279</v>
      </c>
      <c r="K843" t="s">
        <v>2279</v>
      </c>
      <c r="L843" t="s">
        <v>2279</v>
      </c>
      <c r="M843" t="s">
        <v>2279</v>
      </c>
      <c r="N843" t="s">
        <v>2279</v>
      </c>
      <c r="O843" s="190" t="str">
        <f>"["&amp;$C843&amp;"]["&amp;$D843&amp;"]["&amp;$F843&amp;"]"</f>
        <v>[S08_SubInstallationBenchmark61Detail][1][HeatBenchmark]</v>
      </c>
    </row>
    <row r="844" spans="1:15" x14ac:dyDescent="0.3">
      <c r="A844" t="s">
        <v>2277</v>
      </c>
      <c r="B844" t="s">
        <v>2064</v>
      </c>
      <c r="C844" t="s">
        <v>2069</v>
      </c>
      <c r="D844">
        <v>0</v>
      </c>
      <c r="E844" t="s">
        <v>1447</v>
      </c>
      <c r="F844" t="s">
        <v>2069</v>
      </c>
      <c r="G844" t="s">
        <v>1759</v>
      </c>
      <c r="H844" t="s">
        <v>2279</v>
      </c>
      <c r="I844" t="s">
        <v>2279</v>
      </c>
      <c r="J844" t="s">
        <v>2279</v>
      </c>
      <c r="K844" t="s">
        <v>2279</v>
      </c>
      <c r="L844" t="s">
        <v>1447</v>
      </c>
      <c r="M844" t="s">
        <v>2279</v>
      </c>
      <c r="N844" t="s">
        <v>2279</v>
      </c>
      <c r="O844" s="190" t="str">
        <f>"["&amp;$C844&amp;"]["&amp;$D844&amp;"]["&amp;$F844&amp;"]"</f>
        <v>[SubInstallationBenchmark61Reject][0][SubInstallationBenchmark61Reject]</v>
      </c>
    </row>
    <row r="845" spans="1:15" x14ac:dyDescent="0.3">
      <c r="A845" t="s">
        <v>2277</v>
      </c>
      <c r="B845" t="s">
        <v>2064</v>
      </c>
      <c r="C845" t="s">
        <v>2071</v>
      </c>
      <c r="D845">
        <v>0</v>
      </c>
      <c r="E845" t="s">
        <v>1447</v>
      </c>
      <c r="F845" t="s">
        <v>2071</v>
      </c>
      <c r="G845" t="s">
        <v>1759</v>
      </c>
      <c r="H845" t="s">
        <v>2279</v>
      </c>
      <c r="I845" t="s">
        <v>2279</v>
      </c>
      <c r="J845" t="s">
        <v>2279</v>
      </c>
      <c r="K845" t="s">
        <v>2279</v>
      </c>
      <c r="L845" t="s">
        <v>1447</v>
      </c>
      <c r="M845" t="s">
        <v>2279</v>
      </c>
      <c r="N845" t="s">
        <v>2279</v>
      </c>
      <c r="O845" s="190" t="str">
        <f>"["&amp;$C845&amp;"]["&amp;$D845&amp;"]["&amp;$F845&amp;"]"</f>
        <v>[SubInstallationBenchmark62][0][SubInstallationBenchmark62]</v>
      </c>
    </row>
    <row r="846" spans="1:15" x14ac:dyDescent="0.3">
      <c r="A846" t="s">
        <v>2277</v>
      </c>
      <c r="B846" t="s">
        <v>2073</v>
      </c>
      <c r="C846" t="s">
        <v>2074</v>
      </c>
      <c r="D846">
        <v>1</v>
      </c>
      <c r="E846" t="s">
        <v>1447</v>
      </c>
      <c r="F846" t="s">
        <v>1798</v>
      </c>
      <c r="G846" t="s">
        <v>1748</v>
      </c>
      <c r="H846" t="s">
        <v>2279</v>
      </c>
      <c r="I846">
        <v>2</v>
      </c>
      <c r="J846" t="s">
        <v>2279</v>
      </c>
      <c r="K846" t="s">
        <v>2279</v>
      </c>
      <c r="L846" t="s">
        <v>2279</v>
      </c>
      <c r="M846" t="s">
        <v>2279</v>
      </c>
      <c r="N846" t="s">
        <v>2279</v>
      </c>
      <c r="O846" s="190" t="str">
        <f>"["&amp;$C846&amp;"]["&amp;$D846&amp;"]["&amp;$F846&amp;"]"</f>
        <v>[S08_ScopeExclusion][1][NumberOfInstallations]</v>
      </c>
    </row>
    <row r="847" spans="1:15" x14ac:dyDescent="0.3">
      <c r="A847" t="s">
        <v>2277</v>
      </c>
      <c r="B847" t="s">
        <v>2073</v>
      </c>
      <c r="C847" t="s">
        <v>2074</v>
      </c>
      <c r="D847">
        <v>2</v>
      </c>
      <c r="E847" t="s">
        <v>1447</v>
      </c>
      <c r="F847" t="s">
        <v>1798</v>
      </c>
      <c r="G847" t="s">
        <v>1748</v>
      </c>
      <c r="H847" t="s">
        <v>2279</v>
      </c>
      <c r="I847">
        <v>1</v>
      </c>
      <c r="J847" t="s">
        <v>2279</v>
      </c>
      <c r="K847" t="s">
        <v>2279</v>
      </c>
      <c r="L847" t="s">
        <v>2279</v>
      </c>
      <c r="M847" t="s">
        <v>2279</v>
      </c>
      <c r="N847" t="s">
        <v>2279</v>
      </c>
      <c r="O847" s="190" t="str">
        <f>"["&amp;$C847&amp;"]["&amp;$D847&amp;"]["&amp;$F847&amp;"]"</f>
        <v>[S08_ScopeExclusion][2][NumberOfInstallations]</v>
      </c>
    </row>
    <row r="848" spans="1:15" x14ac:dyDescent="0.3">
      <c r="A848" t="s">
        <v>2277</v>
      </c>
      <c r="B848" t="s">
        <v>2076</v>
      </c>
      <c r="C848" t="s">
        <v>2077</v>
      </c>
      <c r="D848">
        <v>0</v>
      </c>
      <c r="E848" t="s">
        <v>1447</v>
      </c>
      <c r="F848" t="s">
        <v>2077</v>
      </c>
      <c r="G848" t="s">
        <v>1759</v>
      </c>
      <c r="H848" t="s">
        <v>2279</v>
      </c>
      <c r="I848" t="s">
        <v>2279</v>
      </c>
      <c r="J848" t="s">
        <v>2279</v>
      </c>
      <c r="K848" t="s">
        <v>2279</v>
      </c>
      <c r="L848" t="s">
        <v>1447</v>
      </c>
      <c r="M848" t="s">
        <v>2279</v>
      </c>
      <c r="N848" t="s">
        <v>2279</v>
      </c>
      <c r="O848" s="190" t="str">
        <f>"["&amp;$C848&amp;"]["&amp;$D848&amp;"]["&amp;$F848&amp;"]"</f>
        <v>[Article10cApplied][0][Article10cApplied]</v>
      </c>
    </row>
    <row r="849" spans="1:15" x14ac:dyDescent="0.3">
      <c r="A849" t="s">
        <v>2277</v>
      </c>
      <c r="B849" t="s">
        <v>2086</v>
      </c>
      <c r="C849" t="s">
        <v>2087</v>
      </c>
      <c r="D849">
        <v>0</v>
      </c>
      <c r="E849" t="s">
        <v>1447</v>
      </c>
      <c r="F849" t="s">
        <v>2087</v>
      </c>
      <c r="G849" t="s">
        <v>1759</v>
      </c>
      <c r="H849" t="s">
        <v>2279</v>
      </c>
      <c r="I849" t="s">
        <v>2279</v>
      </c>
      <c r="J849" t="s">
        <v>2279</v>
      </c>
      <c r="K849" t="s">
        <v>2279</v>
      </c>
      <c r="L849" t="s">
        <v>1447</v>
      </c>
      <c r="M849" t="s">
        <v>2279</v>
      </c>
      <c r="N849" t="s">
        <v>2279</v>
      </c>
      <c r="O849" s="190" t="str">
        <f>"["&amp;$C849&amp;"]["&amp;$D849&amp;"]["&amp;$F849&amp;"]"</f>
        <v>[AdditionalParametersRequired][0][AdditionalParametersRequired]</v>
      </c>
    </row>
    <row r="850" spans="1:15" x14ac:dyDescent="0.3">
      <c r="A850" t="s">
        <v>2277</v>
      </c>
      <c r="B850" t="s">
        <v>2089</v>
      </c>
      <c r="C850" t="s">
        <v>2090</v>
      </c>
      <c r="D850">
        <v>0</v>
      </c>
      <c r="E850" t="s">
        <v>1447</v>
      </c>
      <c r="F850" t="s">
        <v>2090</v>
      </c>
      <c r="G850" t="s">
        <v>1759</v>
      </c>
      <c r="H850" t="s">
        <v>2279</v>
      </c>
      <c r="I850" t="s">
        <v>2279</v>
      </c>
      <c r="J850" t="s">
        <v>2279</v>
      </c>
      <c r="K850" t="s">
        <v>2279</v>
      </c>
      <c r="L850" t="s">
        <v>1447</v>
      </c>
      <c r="M850" t="s">
        <v>2279</v>
      </c>
      <c r="N850" t="s">
        <v>2279</v>
      </c>
      <c r="O850" s="190" t="str">
        <f>"["&amp;$C850&amp;"]["&amp;$D850&amp;"]["&amp;$F850&amp;"]"</f>
        <v>[PreliminaryActivityRequired][0][PreliminaryActivityRequired]</v>
      </c>
    </row>
    <row r="851" spans="1:15" x14ac:dyDescent="0.3">
      <c r="A851" t="s">
        <v>2277</v>
      </c>
      <c r="B851" t="s">
        <v>2092</v>
      </c>
      <c r="C851" t="s">
        <v>2093</v>
      </c>
      <c r="D851">
        <v>1</v>
      </c>
      <c r="E851" t="s">
        <v>1447</v>
      </c>
      <c r="F851" t="s">
        <v>1798</v>
      </c>
      <c r="G851" t="s">
        <v>1748</v>
      </c>
      <c r="H851" t="s">
        <v>2279</v>
      </c>
      <c r="I851">
        <v>0</v>
      </c>
      <c r="J851" t="s">
        <v>2279</v>
      </c>
      <c r="K851" t="s">
        <v>2279</v>
      </c>
      <c r="L851" t="s">
        <v>2279</v>
      </c>
      <c r="M851" t="s">
        <v>2279</v>
      </c>
      <c r="N851" t="s">
        <v>2279</v>
      </c>
      <c r="O851" s="190" t="str">
        <f>"["&amp;$C851&amp;"]["&amp;$D851&amp;"]["&amp;$F851&amp;"]"</f>
        <v>[S08_NegativeOpinionActivityData][1][NumberOfInstallations]</v>
      </c>
    </row>
    <row r="852" spans="1:15" x14ac:dyDescent="0.3">
      <c r="A852" t="s">
        <v>2277</v>
      </c>
      <c r="B852" t="s">
        <v>2092</v>
      </c>
      <c r="C852" t="s">
        <v>2093</v>
      </c>
      <c r="D852">
        <v>2</v>
      </c>
      <c r="E852" t="s">
        <v>1447</v>
      </c>
      <c r="F852" t="s">
        <v>1798</v>
      </c>
      <c r="G852" t="s">
        <v>1748</v>
      </c>
      <c r="H852" t="s">
        <v>2279</v>
      </c>
      <c r="I852">
        <v>0</v>
      </c>
      <c r="J852" t="s">
        <v>2279</v>
      </c>
      <c r="K852" t="s">
        <v>2279</v>
      </c>
      <c r="L852" t="s">
        <v>2279</v>
      </c>
      <c r="M852" t="s">
        <v>2279</v>
      </c>
      <c r="N852" t="s">
        <v>2279</v>
      </c>
      <c r="O852" s="190" t="str">
        <f>"["&amp;$C852&amp;"]["&amp;$D852&amp;"]["&amp;$F852&amp;"]"</f>
        <v>[S08_NegativeOpinionActivityData][2][NumberOfInstallations]</v>
      </c>
    </row>
    <row r="853" spans="1:15" x14ac:dyDescent="0.3">
      <c r="A853" t="s">
        <v>2277</v>
      </c>
      <c r="B853" t="s">
        <v>2092</v>
      </c>
      <c r="C853" t="s">
        <v>2093</v>
      </c>
      <c r="D853">
        <v>3</v>
      </c>
      <c r="E853" t="s">
        <v>1447</v>
      </c>
      <c r="F853" t="s">
        <v>1798</v>
      </c>
      <c r="G853" t="s">
        <v>1748</v>
      </c>
      <c r="H853" t="s">
        <v>2279</v>
      </c>
      <c r="I853">
        <v>0</v>
      </c>
      <c r="J853" t="s">
        <v>2279</v>
      </c>
      <c r="K853" t="s">
        <v>2279</v>
      </c>
      <c r="L853" t="s">
        <v>2279</v>
      </c>
      <c r="M853" t="s">
        <v>2279</v>
      </c>
      <c r="N853" t="s">
        <v>2279</v>
      </c>
      <c r="O853" s="190" t="str">
        <f>"["&amp;$C853&amp;"]["&amp;$D853&amp;"]["&amp;$F853&amp;"]"</f>
        <v>[S08_NegativeOpinionActivityData][3][NumberOfInstallations]</v>
      </c>
    </row>
    <row r="854" spans="1:15" x14ac:dyDescent="0.3">
      <c r="A854" t="s">
        <v>2277</v>
      </c>
      <c r="B854" t="s">
        <v>2092</v>
      </c>
      <c r="C854" t="s">
        <v>2093</v>
      </c>
      <c r="D854">
        <v>4</v>
      </c>
      <c r="E854" t="s">
        <v>1447</v>
      </c>
      <c r="F854" t="s">
        <v>1798</v>
      </c>
      <c r="G854" t="s">
        <v>1748</v>
      </c>
      <c r="H854" t="s">
        <v>2279</v>
      </c>
      <c r="I854">
        <v>0</v>
      </c>
      <c r="J854" t="s">
        <v>2279</v>
      </c>
      <c r="K854" t="s">
        <v>2279</v>
      </c>
      <c r="L854" t="s">
        <v>2279</v>
      </c>
      <c r="M854" t="s">
        <v>2279</v>
      </c>
      <c r="N854" t="s">
        <v>2279</v>
      </c>
      <c r="O854" s="190" t="str">
        <f>"["&amp;$C854&amp;"]["&amp;$D854&amp;"]["&amp;$F854&amp;"]"</f>
        <v>[S08_NegativeOpinionActivityData][4][NumberOfInstallations]</v>
      </c>
    </row>
    <row r="855" spans="1:15" x14ac:dyDescent="0.3">
      <c r="A855" t="s">
        <v>2277</v>
      </c>
      <c r="B855" t="s">
        <v>2092</v>
      </c>
      <c r="C855" t="s">
        <v>2093</v>
      </c>
      <c r="D855">
        <v>1</v>
      </c>
      <c r="E855" t="s">
        <v>1447</v>
      </c>
      <c r="F855" t="s">
        <v>2094</v>
      </c>
      <c r="G855" t="s">
        <v>1748</v>
      </c>
      <c r="H855" t="s">
        <v>2279</v>
      </c>
      <c r="I855">
        <v>0</v>
      </c>
      <c r="J855" t="s">
        <v>2279</v>
      </c>
      <c r="K855" t="s">
        <v>2279</v>
      </c>
      <c r="L855" t="s">
        <v>2279</v>
      </c>
      <c r="M855" t="s">
        <v>2279</v>
      </c>
      <c r="N855" t="s">
        <v>2279</v>
      </c>
      <c r="O855" s="190" t="str">
        <f>"["&amp;$C855&amp;"]["&amp;$D855&amp;"]["&amp;$F855&amp;"]"</f>
        <v>[S08_NegativeOpinionActivityData][1][NumberOfInstallationsConEst]</v>
      </c>
    </row>
    <row r="856" spans="1:15" x14ac:dyDescent="0.3">
      <c r="A856" t="s">
        <v>2277</v>
      </c>
      <c r="B856" t="s">
        <v>2092</v>
      </c>
      <c r="C856" t="s">
        <v>2093</v>
      </c>
      <c r="D856">
        <v>2</v>
      </c>
      <c r="E856" t="s">
        <v>1447</v>
      </c>
      <c r="F856" t="s">
        <v>2094</v>
      </c>
      <c r="G856" t="s">
        <v>1748</v>
      </c>
      <c r="H856" t="s">
        <v>2279</v>
      </c>
      <c r="I856">
        <v>0</v>
      </c>
      <c r="J856" t="s">
        <v>2279</v>
      </c>
      <c r="K856" t="s">
        <v>2279</v>
      </c>
      <c r="L856" t="s">
        <v>2279</v>
      </c>
      <c r="M856" t="s">
        <v>2279</v>
      </c>
      <c r="N856" t="s">
        <v>2279</v>
      </c>
      <c r="O856" s="190" t="str">
        <f>"["&amp;$C856&amp;"]["&amp;$D856&amp;"]["&amp;$F856&amp;"]"</f>
        <v>[S08_NegativeOpinionActivityData][2][NumberOfInstallationsConEst]</v>
      </c>
    </row>
    <row r="857" spans="1:15" x14ac:dyDescent="0.3">
      <c r="A857" t="s">
        <v>2277</v>
      </c>
      <c r="B857" t="s">
        <v>2092</v>
      </c>
      <c r="C857" t="s">
        <v>2093</v>
      </c>
      <c r="D857">
        <v>3</v>
      </c>
      <c r="E857" t="s">
        <v>1447</v>
      </c>
      <c r="F857" t="s">
        <v>2094</v>
      </c>
      <c r="G857" t="s">
        <v>1748</v>
      </c>
      <c r="H857" t="s">
        <v>2279</v>
      </c>
      <c r="I857">
        <v>0</v>
      </c>
      <c r="J857" t="s">
        <v>2279</v>
      </c>
      <c r="K857" t="s">
        <v>2279</v>
      </c>
      <c r="L857" t="s">
        <v>2279</v>
      </c>
      <c r="M857" t="s">
        <v>2279</v>
      </c>
      <c r="N857" t="s">
        <v>2279</v>
      </c>
      <c r="O857" s="190" t="str">
        <f>"["&amp;$C857&amp;"]["&amp;$D857&amp;"]["&amp;$F857&amp;"]"</f>
        <v>[S08_NegativeOpinionActivityData][3][NumberOfInstallationsConEst]</v>
      </c>
    </row>
    <row r="858" spans="1:15" x14ac:dyDescent="0.3">
      <c r="A858" t="s">
        <v>2277</v>
      </c>
      <c r="B858" t="s">
        <v>2092</v>
      </c>
      <c r="C858" t="s">
        <v>2093</v>
      </c>
      <c r="D858">
        <v>4</v>
      </c>
      <c r="E858" t="s">
        <v>1447</v>
      </c>
      <c r="F858" t="s">
        <v>2094</v>
      </c>
      <c r="G858" t="s">
        <v>1748</v>
      </c>
      <c r="H858" t="s">
        <v>2279</v>
      </c>
      <c r="I858">
        <v>0</v>
      </c>
      <c r="J858" t="s">
        <v>2279</v>
      </c>
      <c r="K858" t="s">
        <v>2279</v>
      </c>
      <c r="L858" t="s">
        <v>2279</v>
      </c>
      <c r="M858" t="s">
        <v>2279</v>
      </c>
      <c r="N858" t="s">
        <v>2279</v>
      </c>
      <c r="O858" s="190" t="str">
        <f>"["&amp;$C858&amp;"]["&amp;$D858&amp;"]["&amp;$F858&amp;"]"</f>
        <v>[S08_NegativeOpinionActivityData][4][NumberOfInstallationsConEst]</v>
      </c>
    </row>
    <row r="859" spans="1:15" x14ac:dyDescent="0.3">
      <c r="A859" t="s">
        <v>2277</v>
      </c>
      <c r="B859" t="s">
        <v>2092</v>
      </c>
      <c r="C859" t="s">
        <v>2095</v>
      </c>
      <c r="D859">
        <v>0</v>
      </c>
      <c r="E859" t="s">
        <v>1447</v>
      </c>
      <c r="F859" t="s">
        <v>2095</v>
      </c>
      <c r="G859" t="s">
        <v>1759</v>
      </c>
      <c r="H859" t="s">
        <v>2279</v>
      </c>
      <c r="I859" t="s">
        <v>2279</v>
      </c>
      <c r="J859" t="s">
        <v>2279</v>
      </c>
      <c r="K859" t="s">
        <v>2279</v>
      </c>
      <c r="L859" t="s">
        <v>1419</v>
      </c>
      <c r="M859" t="s">
        <v>2279</v>
      </c>
      <c r="N859" t="s">
        <v>2279</v>
      </c>
      <c r="O859" s="190" t="str">
        <f>"["&amp;$C859&amp;"]["&amp;$D859&amp;"]["&amp;$F859&amp;"]"</f>
        <v>[ActivityDataIssues][0][ActivityDataIssues]</v>
      </c>
    </row>
    <row r="860" spans="1:15" x14ac:dyDescent="0.3">
      <c r="A860" t="s">
        <v>2277</v>
      </c>
      <c r="B860" t="s">
        <v>2096</v>
      </c>
      <c r="C860" t="s">
        <v>2097</v>
      </c>
      <c r="D860">
        <v>1</v>
      </c>
      <c r="E860" t="s">
        <v>1447</v>
      </c>
      <c r="F860" t="s">
        <v>1988</v>
      </c>
      <c r="G860" t="s">
        <v>1737</v>
      </c>
      <c r="H860" t="s">
        <v>2279</v>
      </c>
      <c r="I860" t="s">
        <v>2279</v>
      </c>
      <c r="J860" t="s">
        <v>2279</v>
      </c>
      <c r="K860" t="s">
        <v>2279</v>
      </c>
      <c r="L860" t="s">
        <v>1568</v>
      </c>
      <c r="M860" t="s">
        <v>2279</v>
      </c>
      <c r="N860" t="s">
        <v>2279</v>
      </c>
      <c r="O860" s="190" t="str">
        <f>"["&amp;$C860&amp;"]["&amp;$D860&amp;"]["&amp;$F860&amp;"]"</f>
        <v>[S08_ActivityDataIssuesDetail][1][AnnexIActivity]</v>
      </c>
    </row>
    <row r="861" spans="1:15" x14ac:dyDescent="0.3">
      <c r="A861" t="s">
        <v>2277</v>
      </c>
      <c r="B861" t="s">
        <v>2096</v>
      </c>
      <c r="C861" t="s">
        <v>2097</v>
      </c>
      <c r="D861">
        <v>2</v>
      </c>
      <c r="E861" t="s">
        <v>1447</v>
      </c>
      <c r="F861" t="s">
        <v>1988</v>
      </c>
      <c r="G861" t="s">
        <v>1737</v>
      </c>
      <c r="H861" t="s">
        <v>2279</v>
      </c>
      <c r="I861" t="s">
        <v>2279</v>
      </c>
      <c r="J861" t="s">
        <v>2279</v>
      </c>
      <c r="K861" t="s">
        <v>2279</v>
      </c>
      <c r="L861" t="s">
        <v>1420</v>
      </c>
      <c r="M861" t="s">
        <v>2279</v>
      </c>
      <c r="N861" t="s">
        <v>2279</v>
      </c>
      <c r="O861" s="190" t="str">
        <f>"["&amp;$C861&amp;"]["&amp;$D861&amp;"]["&amp;$F861&amp;"]"</f>
        <v>[S08_ActivityDataIssuesDetail][2][AnnexIActivity]</v>
      </c>
    </row>
    <row r="862" spans="1:15" x14ac:dyDescent="0.3">
      <c r="A862" t="s">
        <v>2277</v>
      </c>
      <c r="B862" t="s">
        <v>2096</v>
      </c>
      <c r="C862" t="s">
        <v>2097</v>
      </c>
      <c r="D862">
        <v>3</v>
      </c>
      <c r="E862" t="s">
        <v>1447</v>
      </c>
      <c r="F862" t="s">
        <v>1988</v>
      </c>
      <c r="G862" t="s">
        <v>1737</v>
      </c>
      <c r="H862" t="s">
        <v>2279</v>
      </c>
      <c r="I862" t="s">
        <v>2279</v>
      </c>
      <c r="J862" t="s">
        <v>2279</v>
      </c>
      <c r="K862" t="s">
        <v>2279</v>
      </c>
      <c r="L862" t="s">
        <v>1592</v>
      </c>
      <c r="M862" t="s">
        <v>2279</v>
      </c>
      <c r="N862" t="s">
        <v>2279</v>
      </c>
      <c r="O862" s="190" t="str">
        <f>"["&amp;$C862&amp;"]["&amp;$D862&amp;"]["&amp;$F862&amp;"]"</f>
        <v>[S08_ActivityDataIssuesDetail][3][AnnexIActivity]</v>
      </c>
    </row>
    <row r="863" spans="1:15" x14ac:dyDescent="0.3">
      <c r="A863" t="s">
        <v>2277</v>
      </c>
      <c r="B863" t="s">
        <v>2096</v>
      </c>
      <c r="C863" t="s">
        <v>2097</v>
      </c>
      <c r="D863">
        <v>4</v>
      </c>
      <c r="E863" t="s">
        <v>1447</v>
      </c>
      <c r="F863" t="s">
        <v>1988</v>
      </c>
      <c r="G863" t="s">
        <v>1737</v>
      </c>
      <c r="H863" t="s">
        <v>2279</v>
      </c>
      <c r="I863" t="s">
        <v>2279</v>
      </c>
      <c r="J863" t="s">
        <v>2279</v>
      </c>
      <c r="K863" t="s">
        <v>2279</v>
      </c>
      <c r="L863" t="s">
        <v>1597</v>
      </c>
      <c r="M863" t="s">
        <v>2279</v>
      </c>
      <c r="N863" t="s">
        <v>2279</v>
      </c>
      <c r="O863" s="190" t="str">
        <f>"["&amp;$C863&amp;"]["&amp;$D863&amp;"]["&amp;$F863&amp;"]"</f>
        <v>[S08_ActivityDataIssuesDetail][4][AnnexIActivity]</v>
      </c>
    </row>
    <row r="864" spans="1:15" x14ac:dyDescent="0.3">
      <c r="A864" t="s">
        <v>2277</v>
      </c>
      <c r="B864" t="s">
        <v>2096</v>
      </c>
      <c r="C864" t="s">
        <v>2097</v>
      </c>
      <c r="D864">
        <v>5</v>
      </c>
      <c r="E864" t="s">
        <v>1447</v>
      </c>
      <c r="F864" t="s">
        <v>1988</v>
      </c>
      <c r="G864" t="s">
        <v>1737</v>
      </c>
      <c r="H864" t="s">
        <v>2279</v>
      </c>
      <c r="I864" t="s">
        <v>2279</v>
      </c>
      <c r="J864" t="s">
        <v>2279</v>
      </c>
      <c r="K864" t="s">
        <v>2279</v>
      </c>
      <c r="L864" t="s">
        <v>1577</v>
      </c>
      <c r="M864" t="s">
        <v>2279</v>
      </c>
      <c r="N864" t="s">
        <v>2279</v>
      </c>
      <c r="O864" s="190" t="str">
        <f>"["&amp;$C864&amp;"]["&amp;$D864&amp;"]["&amp;$F864&amp;"]"</f>
        <v>[S08_ActivityDataIssuesDetail][5][AnnexIActivity]</v>
      </c>
    </row>
    <row r="865" spans="1:15" x14ac:dyDescent="0.3">
      <c r="A865" t="s">
        <v>2277</v>
      </c>
      <c r="B865" t="s">
        <v>2096</v>
      </c>
      <c r="C865" t="s">
        <v>2097</v>
      </c>
      <c r="D865">
        <v>6</v>
      </c>
      <c r="E865" t="s">
        <v>1447</v>
      </c>
      <c r="F865" t="s">
        <v>1988</v>
      </c>
      <c r="G865" t="s">
        <v>1737</v>
      </c>
      <c r="H865" t="s">
        <v>2279</v>
      </c>
      <c r="I865" t="s">
        <v>2279</v>
      </c>
      <c r="J865" t="s">
        <v>2279</v>
      </c>
      <c r="K865" t="s">
        <v>2279</v>
      </c>
      <c r="L865" t="s">
        <v>1573</v>
      </c>
      <c r="M865" t="s">
        <v>2279</v>
      </c>
      <c r="N865" t="s">
        <v>2279</v>
      </c>
      <c r="O865" s="190" t="str">
        <f>"["&amp;$C865&amp;"]["&amp;$D865&amp;"]["&amp;$F865&amp;"]"</f>
        <v>[S08_ActivityDataIssuesDetail][6][AnnexIActivity]</v>
      </c>
    </row>
    <row r="866" spans="1:15" x14ac:dyDescent="0.3">
      <c r="A866" t="s">
        <v>2277</v>
      </c>
      <c r="B866" t="s">
        <v>2096</v>
      </c>
      <c r="C866" t="s">
        <v>2097</v>
      </c>
      <c r="D866">
        <v>7</v>
      </c>
      <c r="E866" t="s">
        <v>1447</v>
      </c>
      <c r="F866" t="s">
        <v>1988</v>
      </c>
      <c r="G866" t="s">
        <v>1737</v>
      </c>
      <c r="H866" t="s">
        <v>2279</v>
      </c>
      <c r="I866" t="s">
        <v>2279</v>
      </c>
      <c r="J866" t="s">
        <v>2279</v>
      </c>
      <c r="K866" t="s">
        <v>2279</v>
      </c>
      <c r="L866" t="s">
        <v>1626</v>
      </c>
      <c r="M866" t="s">
        <v>2279</v>
      </c>
      <c r="N866" t="s">
        <v>2279</v>
      </c>
      <c r="O866" s="190" t="str">
        <f>"["&amp;$C866&amp;"]["&amp;$D866&amp;"]["&amp;$F866&amp;"]"</f>
        <v>[S08_ActivityDataIssuesDetail][7][AnnexIActivity]</v>
      </c>
    </row>
    <row r="867" spans="1:15" x14ac:dyDescent="0.3">
      <c r="A867" t="s">
        <v>2277</v>
      </c>
      <c r="B867" t="s">
        <v>2096</v>
      </c>
      <c r="C867" t="s">
        <v>2097</v>
      </c>
      <c r="D867">
        <v>8</v>
      </c>
      <c r="E867" t="s">
        <v>1447</v>
      </c>
      <c r="F867" t="s">
        <v>1988</v>
      </c>
      <c r="G867" t="s">
        <v>1737</v>
      </c>
      <c r="H867" t="s">
        <v>2279</v>
      </c>
      <c r="I867" t="s">
        <v>2279</v>
      </c>
      <c r="J867" t="s">
        <v>2279</v>
      </c>
      <c r="K867" t="s">
        <v>2279</v>
      </c>
      <c r="L867" t="s">
        <v>1626</v>
      </c>
      <c r="M867" t="s">
        <v>2279</v>
      </c>
      <c r="N867" t="s">
        <v>2279</v>
      </c>
      <c r="O867" s="190" t="str">
        <f>"["&amp;$C867&amp;"]["&amp;$D867&amp;"]["&amp;$F867&amp;"]"</f>
        <v>[S08_ActivityDataIssuesDetail][8][AnnexIActivity]</v>
      </c>
    </row>
    <row r="868" spans="1:15" x14ac:dyDescent="0.3">
      <c r="A868" t="s">
        <v>2277</v>
      </c>
      <c r="B868" t="s">
        <v>2096</v>
      </c>
      <c r="C868" t="s">
        <v>2097</v>
      </c>
      <c r="D868">
        <v>1</v>
      </c>
      <c r="E868" t="s">
        <v>1447</v>
      </c>
      <c r="F868" t="s">
        <v>1989</v>
      </c>
      <c r="G868" t="s">
        <v>1737</v>
      </c>
      <c r="H868" t="s">
        <v>2279</v>
      </c>
      <c r="I868" t="s">
        <v>2279</v>
      </c>
      <c r="J868" t="s">
        <v>2279</v>
      </c>
      <c r="K868" t="s">
        <v>2279</v>
      </c>
      <c r="L868" t="s">
        <v>1497</v>
      </c>
      <c r="M868" t="s">
        <v>2279</v>
      </c>
      <c r="N868" t="s">
        <v>2279</v>
      </c>
      <c r="O868" s="190" t="str">
        <f>"["&amp;$C868&amp;"]["&amp;$D868&amp;"]["&amp;$F868&amp;"]"</f>
        <v>[S08_ActivityDataIssuesDetail][1][TypeOfIssue]</v>
      </c>
    </row>
    <row r="869" spans="1:15" x14ac:dyDescent="0.3">
      <c r="A869" t="s">
        <v>2277</v>
      </c>
      <c r="B869" t="s">
        <v>2096</v>
      </c>
      <c r="C869" t="s">
        <v>2097</v>
      </c>
      <c r="D869">
        <v>2</v>
      </c>
      <c r="E869" t="s">
        <v>1447</v>
      </c>
      <c r="F869" t="s">
        <v>1989</v>
      </c>
      <c r="G869" t="s">
        <v>1737</v>
      </c>
      <c r="H869" t="s">
        <v>2279</v>
      </c>
      <c r="I869" t="s">
        <v>2279</v>
      </c>
      <c r="J869" t="s">
        <v>2279</v>
      </c>
      <c r="K869" t="s">
        <v>2279</v>
      </c>
      <c r="L869" t="s">
        <v>1512</v>
      </c>
      <c r="M869" t="s">
        <v>2279</v>
      </c>
      <c r="N869" t="s">
        <v>2279</v>
      </c>
      <c r="O869" s="190" t="str">
        <f>"["&amp;$C869&amp;"]["&amp;$D869&amp;"]["&amp;$F869&amp;"]"</f>
        <v>[S08_ActivityDataIssuesDetail][2][TypeOfIssue]</v>
      </c>
    </row>
    <row r="870" spans="1:15" x14ac:dyDescent="0.3">
      <c r="A870" t="s">
        <v>2277</v>
      </c>
      <c r="B870" t="s">
        <v>2096</v>
      </c>
      <c r="C870" t="s">
        <v>2097</v>
      </c>
      <c r="D870">
        <v>3</v>
      </c>
      <c r="E870" t="s">
        <v>1447</v>
      </c>
      <c r="F870" t="s">
        <v>1989</v>
      </c>
      <c r="G870" t="s">
        <v>1737</v>
      </c>
      <c r="H870" t="s">
        <v>2279</v>
      </c>
      <c r="I870" t="s">
        <v>2279</v>
      </c>
      <c r="J870" t="s">
        <v>2279</v>
      </c>
      <c r="K870" t="s">
        <v>2279</v>
      </c>
      <c r="L870" t="s">
        <v>1512</v>
      </c>
      <c r="M870" t="s">
        <v>2279</v>
      </c>
      <c r="N870" t="s">
        <v>2279</v>
      </c>
      <c r="O870" s="190" t="str">
        <f>"["&amp;$C870&amp;"]["&amp;$D870&amp;"]["&amp;$F870&amp;"]"</f>
        <v>[S08_ActivityDataIssuesDetail][3][TypeOfIssue]</v>
      </c>
    </row>
    <row r="871" spans="1:15" x14ac:dyDescent="0.3">
      <c r="A871" t="s">
        <v>2277</v>
      </c>
      <c r="B871" t="s">
        <v>2096</v>
      </c>
      <c r="C871" t="s">
        <v>2097</v>
      </c>
      <c r="D871">
        <v>4</v>
      </c>
      <c r="E871" t="s">
        <v>1447</v>
      </c>
      <c r="F871" t="s">
        <v>1989</v>
      </c>
      <c r="G871" t="s">
        <v>1737</v>
      </c>
      <c r="H871" t="s">
        <v>2279</v>
      </c>
      <c r="I871" t="s">
        <v>2279</v>
      </c>
      <c r="J871" t="s">
        <v>2279</v>
      </c>
      <c r="K871" t="s">
        <v>2279</v>
      </c>
      <c r="L871" t="s">
        <v>1512</v>
      </c>
      <c r="M871" t="s">
        <v>2279</v>
      </c>
      <c r="N871" t="s">
        <v>2279</v>
      </c>
      <c r="O871" s="190" t="str">
        <f>"["&amp;$C871&amp;"]["&amp;$D871&amp;"]["&amp;$F871&amp;"]"</f>
        <v>[S08_ActivityDataIssuesDetail][4][TypeOfIssue]</v>
      </c>
    </row>
    <row r="872" spans="1:15" x14ac:dyDescent="0.3">
      <c r="A872" t="s">
        <v>2277</v>
      </c>
      <c r="B872" t="s">
        <v>2096</v>
      </c>
      <c r="C872" t="s">
        <v>2097</v>
      </c>
      <c r="D872">
        <v>5</v>
      </c>
      <c r="E872" t="s">
        <v>1447</v>
      </c>
      <c r="F872" t="s">
        <v>1989</v>
      </c>
      <c r="G872" t="s">
        <v>1737</v>
      </c>
      <c r="H872" t="s">
        <v>2279</v>
      </c>
      <c r="I872" t="s">
        <v>2279</v>
      </c>
      <c r="J872" t="s">
        <v>2279</v>
      </c>
      <c r="K872" t="s">
        <v>2279</v>
      </c>
      <c r="L872" t="s">
        <v>1467</v>
      </c>
      <c r="M872" t="s">
        <v>2279</v>
      </c>
      <c r="N872" t="s">
        <v>2279</v>
      </c>
      <c r="O872" s="190" t="str">
        <f>"["&amp;$C872&amp;"]["&amp;$D872&amp;"]["&amp;$F872&amp;"]"</f>
        <v>[S08_ActivityDataIssuesDetail][5][TypeOfIssue]</v>
      </c>
    </row>
    <row r="873" spans="1:15" x14ac:dyDescent="0.3">
      <c r="A873" t="s">
        <v>2277</v>
      </c>
      <c r="B873" t="s">
        <v>2096</v>
      </c>
      <c r="C873" t="s">
        <v>2097</v>
      </c>
      <c r="D873">
        <v>6</v>
      </c>
      <c r="E873" t="s">
        <v>1447</v>
      </c>
      <c r="F873" t="s">
        <v>1989</v>
      </c>
      <c r="G873" t="s">
        <v>1737</v>
      </c>
      <c r="H873" t="s">
        <v>2279</v>
      </c>
      <c r="I873" t="s">
        <v>2279</v>
      </c>
      <c r="J873" t="s">
        <v>2279</v>
      </c>
      <c r="K873" t="s">
        <v>2279</v>
      </c>
      <c r="L873" t="s">
        <v>1512</v>
      </c>
      <c r="M873" t="s">
        <v>2279</v>
      </c>
      <c r="N873" t="s">
        <v>2279</v>
      </c>
      <c r="O873" s="190" t="str">
        <f>"["&amp;$C873&amp;"]["&amp;$D873&amp;"]["&amp;$F873&amp;"]"</f>
        <v>[S08_ActivityDataIssuesDetail][6][TypeOfIssue]</v>
      </c>
    </row>
    <row r="874" spans="1:15" x14ac:dyDescent="0.3">
      <c r="A874" t="s">
        <v>2277</v>
      </c>
      <c r="B874" t="s">
        <v>2096</v>
      </c>
      <c r="C874" t="s">
        <v>2097</v>
      </c>
      <c r="D874">
        <v>7</v>
      </c>
      <c r="E874" t="s">
        <v>1447</v>
      </c>
      <c r="F874" t="s">
        <v>1989</v>
      </c>
      <c r="G874" t="s">
        <v>1737</v>
      </c>
      <c r="H874" t="s">
        <v>2279</v>
      </c>
      <c r="I874" t="s">
        <v>2279</v>
      </c>
      <c r="J874" t="s">
        <v>2279</v>
      </c>
      <c r="K874" t="s">
        <v>2279</v>
      </c>
      <c r="L874" t="s">
        <v>1512</v>
      </c>
      <c r="M874" t="s">
        <v>2279</v>
      </c>
      <c r="N874" t="s">
        <v>2279</v>
      </c>
      <c r="O874" s="190" t="str">
        <f>"["&amp;$C874&amp;"]["&amp;$D874&amp;"]["&amp;$F874&amp;"]"</f>
        <v>[S08_ActivityDataIssuesDetail][7][TypeOfIssue]</v>
      </c>
    </row>
    <row r="875" spans="1:15" x14ac:dyDescent="0.3">
      <c r="A875" t="s">
        <v>2277</v>
      </c>
      <c r="B875" t="s">
        <v>2096</v>
      </c>
      <c r="C875" t="s">
        <v>2097</v>
      </c>
      <c r="D875">
        <v>8</v>
      </c>
      <c r="E875" t="s">
        <v>1447</v>
      </c>
      <c r="F875" t="s">
        <v>1989</v>
      </c>
      <c r="G875" t="s">
        <v>1737</v>
      </c>
      <c r="H875" t="s">
        <v>2279</v>
      </c>
      <c r="I875" t="s">
        <v>2279</v>
      </c>
      <c r="J875" t="s">
        <v>2279</v>
      </c>
      <c r="K875" t="s">
        <v>2279</v>
      </c>
      <c r="L875" t="s">
        <v>1497</v>
      </c>
      <c r="M875" t="s">
        <v>2279</v>
      </c>
      <c r="N875" t="s">
        <v>2279</v>
      </c>
      <c r="O875" s="190" t="str">
        <f>"["&amp;$C875&amp;"]["&amp;$D875&amp;"]["&amp;$F875&amp;"]"</f>
        <v>[S08_ActivityDataIssuesDetail][8][TypeOfIssue]</v>
      </c>
    </row>
    <row r="876" spans="1:15" x14ac:dyDescent="0.3">
      <c r="A876" t="s">
        <v>2277</v>
      </c>
      <c r="B876" t="s">
        <v>2096</v>
      </c>
      <c r="C876" t="s">
        <v>2097</v>
      </c>
      <c r="D876">
        <v>1</v>
      </c>
      <c r="E876" t="s">
        <v>1447</v>
      </c>
      <c r="F876" t="s">
        <v>1798</v>
      </c>
      <c r="G876" t="s">
        <v>1748</v>
      </c>
      <c r="H876" t="s">
        <v>2279</v>
      </c>
      <c r="I876">
        <v>2</v>
      </c>
      <c r="J876" t="s">
        <v>2279</v>
      </c>
      <c r="K876" t="s">
        <v>2279</v>
      </c>
      <c r="L876" t="s">
        <v>2279</v>
      </c>
      <c r="M876" t="s">
        <v>2279</v>
      </c>
      <c r="N876" t="s">
        <v>2279</v>
      </c>
      <c r="O876" s="190" t="str">
        <f>"["&amp;$C876&amp;"]["&amp;$D876&amp;"]["&amp;$F876&amp;"]"</f>
        <v>[S08_ActivityDataIssuesDetail][1][NumberOfInstallations]</v>
      </c>
    </row>
    <row r="877" spans="1:15" x14ac:dyDescent="0.3">
      <c r="A877" t="s">
        <v>2277</v>
      </c>
      <c r="B877" t="s">
        <v>2096</v>
      </c>
      <c r="C877" t="s">
        <v>2097</v>
      </c>
      <c r="D877">
        <v>2</v>
      </c>
      <c r="E877" t="s">
        <v>1447</v>
      </c>
      <c r="F877" t="s">
        <v>1798</v>
      </c>
      <c r="G877" t="s">
        <v>1748</v>
      </c>
      <c r="H877" t="s">
        <v>2279</v>
      </c>
      <c r="I877">
        <v>3</v>
      </c>
      <c r="J877" t="s">
        <v>2279</v>
      </c>
      <c r="K877" t="s">
        <v>2279</v>
      </c>
      <c r="L877" t="s">
        <v>2279</v>
      </c>
      <c r="M877" t="s">
        <v>2279</v>
      </c>
      <c r="N877" t="s">
        <v>2279</v>
      </c>
      <c r="O877" s="190" t="str">
        <f>"["&amp;$C877&amp;"]["&amp;$D877&amp;"]["&amp;$F877&amp;"]"</f>
        <v>[S08_ActivityDataIssuesDetail][2][NumberOfInstallations]</v>
      </c>
    </row>
    <row r="878" spans="1:15" x14ac:dyDescent="0.3">
      <c r="A878" t="s">
        <v>2277</v>
      </c>
      <c r="B878" t="s">
        <v>2096</v>
      </c>
      <c r="C878" t="s">
        <v>2097</v>
      </c>
      <c r="D878">
        <v>3</v>
      </c>
      <c r="E878" t="s">
        <v>1447</v>
      </c>
      <c r="F878" t="s">
        <v>1798</v>
      </c>
      <c r="G878" t="s">
        <v>1748</v>
      </c>
      <c r="H878" t="s">
        <v>2279</v>
      </c>
      <c r="I878">
        <v>3</v>
      </c>
      <c r="J878" t="s">
        <v>2279</v>
      </c>
      <c r="K878" t="s">
        <v>2279</v>
      </c>
      <c r="L878" t="s">
        <v>2279</v>
      </c>
      <c r="M878" t="s">
        <v>2279</v>
      </c>
      <c r="N878" t="s">
        <v>2279</v>
      </c>
      <c r="O878" s="190" t="str">
        <f>"["&amp;$C878&amp;"]["&amp;$D878&amp;"]["&amp;$F878&amp;"]"</f>
        <v>[S08_ActivityDataIssuesDetail][3][NumberOfInstallations]</v>
      </c>
    </row>
    <row r="879" spans="1:15" x14ac:dyDescent="0.3">
      <c r="A879" t="s">
        <v>2277</v>
      </c>
      <c r="B879" t="s">
        <v>2096</v>
      </c>
      <c r="C879" t="s">
        <v>2097</v>
      </c>
      <c r="D879">
        <v>4</v>
      </c>
      <c r="E879" t="s">
        <v>1447</v>
      </c>
      <c r="F879" t="s">
        <v>1798</v>
      </c>
      <c r="G879" t="s">
        <v>1748</v>
      </c>
      <c r="H879" t="s">
        <v>2279</v>
      </c>
      <c r="I879">
        <v>3</v>
      </c>
      <c r="J879" t="s">
        <v>2279</v>
      </c>
      <c r="K879" t="s">
        <v>2279</v>
      </c>
      <c r="L879" t="s">
        <v>2279</v>
      </c>
      <c r="M879" t="s">
        <v>2279</v>
      </c>
      <c r="N879" t="s">
        <v>2279</v>
      </c>
      <c r="O879" s="190" t="str">
        <f>"["&amp;$C879&amp;"]["&amp;$D879&amp;"]["&amp;$F879&amp;"]"</f>
        <v>[S08_ActivityDataIssuesDetail][4][NumberOfInstallations]</v>
      </c>
    </row>
    <row r="880" spans="1:15" x14ac:dyDescent="0.3">
      <c r="A880" t="s">
        <v>2277</v>
      </c>
      <c r="B880" t="s">
        <v>2096</v>
      </c>
      <c r="C880" t="s">
        <v>2097</v>
      </c>
      <c r="D880">
        <v>5</v>
      </c>
      <c r="E880" t="s">
        <v>1447</v>
      </c>
      <c r="F880" t="s">
        <v>1798</v>
      </c>
      <c r="G880" t="s">
        <v>1748</v>
      </c>
      <c r="H880" t="s">
        <v>2279</v>
      </c>
      <c r="I880">
        <v>1</v>
      </c>
      <c r="J880" t="s">
        <v>2279</v>
      </c>
      <c r="K880" t="s">
        <v>2279</v>
      </c>
      <c r="L880" t="s">
        <v>2279</v>
      </c>
      <c r="M880" t="s">
        <v>2279</v>
      </c>
      <c r="N880" t="s">
        <v>2279</v>
      </c>
      <c r="O880" s="190" t="str">
        <f>"["&amp;$C880&amp;"]["&amp;$D880&amp;"]["&amp;$F880&amp;"]"</f>
        <v>[S08_ActivityDataIssuesDetail][5][NumberOfInstallations]</v>
      </c>
    </row>
    <row r="881" spans="1:15" x14ac:dyDescent="0.3">
      <c r="A881" t="s">
        <v>2277</v>
      </c>
      <c r="B881" t="s">
        <v>2096</v>
      </c>
      <c r="C881" t="s">
        <v>2097</v>
      </c>
      <c r="D881">
        <v>6</v>
      </c>
      <c r="E881" t="s">
        <v>1447</v>
      </c>
      <c r="F881" t="s">
        <v>1798</v>
      </c>
      <c r="G881" t="s">
        <v>1748</v>
      </c>
      <c r="H881" t="s">
        <v>2279</v>
      </c>
      <c r="I881">
        <v>1</v>
      </c>
      <c r="J881" t="s">
        <v>2279</v>
      </c>
      <c r="K881" t="s">
        <v>2279</v>
      </c>
      <c r="L881" t="s">
        <v>2279</v>
      </c>
      <c r="M881" t="s">
        <v>2279</v>
      </c>
      <c r="N881" t="s">
        <v>2279</v>
      </c>
      <c r="O881" s="190" t="str">
        <f>"["&amp;$C881&amp;"]["&amp;$D881&amp;"]["&amp;$F881&amp;"]"</f>
        <v>[S08_ActivityDataIssuesDetail][6][NumberOfInstallations]</v>
      </c>
    </row>
    <row r="882" spans="1:15" x14ac:dyDescent="0.3">
      <c r="A882" t="s">
        <v>2277</v>
      </c>
      <c r="B882" t="s">
        <v>2096</v>
      </c>
      <c r="C882" t="s">
        <v>2097</v>
      </c>
      <c r="D882">
        <v>7</v>
      </c>
      <c r="E882" t="s">
        <v>1447</v>
      </c>
      <c r="F882" t="s">
        <v>1798</v>
      </c>
      <c r="G882" t="s">
        <v>1748</v>
      </c>
      <c r="H882" t="s">
        <v>2279</v>
      </c>
      <c r="I882">
        <v>1</v>
      </c>
      <c r="J882" t="s">
        <v>2279</v>
      </c>
      <c r="K882" t="s">
        <v>2279</v>
      </c>
      <c r="L882" t="s">
        <v>2279</v>
      </c>
      <c r="M882" t="s">
        <v>2279</v>
      </c>
      <c r="N882" t="s">
        <v>2279</v>
      </c>
      <c r="O882" s="190" t="str">
        <f>"["&amp;$C882&amp;"]["&amp;$D882&amp;"]["&amp;$F882&amp;"]"</f>
        <v>[S08_ActivityDataIssuesDetail][7][NumberOfInstallations]</v>
      </c>
    </row>
    <row r="883" spans="1:15" x14ac:dyDescent="0.3">
      <c r="A883" t="s">
        <v>2277</v>
      </c>
      <c r="B883" t="s">
        <v>2096</v>
      </c>
      <c r="C883" t="s">
        <v>2097</v>
      </c>
      <c r="D883">
        <v>8</v>
      </c>
      <c r="E883" t="s">
        <v>1447</v>
      </c>
      <c r="F883" t="s">
        <v>1798</v>
      </c>
      <c r="G883" t="s">
        <v>1748</v>
      </c>
      <c r="H883" t="s">
        <v>2279</v>
      </c>
      <c r="I883">
        <v>1</v>
      </c>
      <c r="J883" t="s">
        <v>2279</v>
      </c>
      <c r="K883" t="s">
        <v>2279</v>
      </c>
      <c r="L883" t="s">
        <v>2279</v>
      </c>
      <c r="M883" t="s">
        <v>2279</v>
      </c>
      <c r="N883" t="s">
        <v>2279</v>
      </c>
      <c r="O883" s="190" t="str">
        <f>"["&amp;$C883&amp;"]["&amp;$D883&amp;"]["&amp;$F883&amp;"]"</f>
        <v>[S08_ActivityDataIssuesDetail][8][NumberOfInstallations]</v>
      </c>
    </row>
    <row r="884" spans="1:15" x14ac:dyDescent="0.3">
      <c r="A884" t="s">
        <v>2277</v>
      </c>
      <c r="B884" t="s">
        <v>2096</v>
      </c>
      <c r="C884" t="s">
        <v>2097</v>
      </c>
      <c r="D884">
        <v>1</v>
      </c>
      <c r="E884" t="s">
        <v>1447</v>
      </c>
      <c r="F884" t="s">
        <v>1972</v>
      </c>
      <c r="G884" t="s">
        <v>1748</v>
      </c>
      <c r="H884" t="s">
        <v>2279</v>
      </c>
      <c r="I884">
        <v>1</v>
      </c>
      <c r="J884" t="s">
        <v>2279</v>
      </c>
      <c r="K884" t="s">
        <v>2279</v>
      </c>
      <c r="L884" t="s">
        <v>2279</v>
      </c>
      <c r="M884" t="s">
        <v>2279</v>
      </c>
      <c r="N884" t="s">
        <v>2279</v>
      </c>
      <c r="O884" s="190" t="str">
        <f>"["&amp;$C884&amp;"]["&amp;$D884&amp;"]["&amp;$F884&amp;"]"</f>
        <v>[S08_ActivityDataIssuesDetail][1][NumberOfIssues]</v>
      </c>
    </row>
    <row r="885" spans="1:15" x14ac:dyDescent="0.3">
      <c r="A885" t="s">
        <v>2277</v>
      </c>
      <c r="B885" t="s">
        <v>2096</v>
      </c>
      <c r="C885" t="s">
        <v>2097</v>
      </c>
      <c r="D885">
        <v>2</v>
      </c>
      <c r="E885" t="s">
        <v>1447</v>
      </c>
      <c r="F885" t="s">
        <v>1972</v>
      </c>
      <c r="G885" t="s">
        <v>1748</v>
      </c>
      <c r="H885" t="s">
        <v>2279</v>
      </c>
      <c r="I885">
        <v>3</v>
      </c>
      <c r="J885" t="s">
        <v>2279</v>
      </c>
      <c r="K885" t="s">
        <v>2279</v>
      </c>
      <c r="L885" t="s">
        <v>2279</v>
      </c>
      <c r="M885" t="s">
        <v>2279</v>
      </c>
      <c r="N885" t="s">
        <v>2279</v>
      </c>
      <c r="O885" s="190" t="str">
        <f>"["&amp;$C885&amp;"]["&amp;$D885&amp;"]["&amp;$F885&amp;"]"</f>
        <v>[S08_ActivityDataIssuesDetail][2][NumberOfIssues]</v>
      </c>
    </row>
    <row r="886" spans="1:15" x14ac:dyDescent="0.3">
      <c r="A886" t="s">
        <v>2277</v>
      </c>
      <c r="B886" t="s">
        <v>2096</v>
      </c>
      <c r="C886" t="s">
        <v>2097</v>
      </c>
      <c r="D886">
        <v>3</v>
      </c>
      <c r="E886" t="s">
        <v>1447</v>
      </c>
      <c r="F886" t="s">
        <v>1972</v>
      </c>
      <c r="G886" t="s">
        <v>1748</v>
      </c>
      <c r="H886" t="s">
        <v>2279</v>
      </c>
      <c r="I886">
        <v>4</v>
      </c>
      <c r="J886" t="s">
        <v>2279</v>
      </c>
      <c r="K886" t="s">
        <v>2279</v>
      </c>
      <c r="L886" t="s">
        <v>2279</v>
      </c>
      <c r="M886" t="s">
        <v>2279</v>
      </c>
      <c r="N886" t="s">
        <v>2279</v>
      </c>
      <c r="O886" s="190" t="str">
        <f>"["&amp;$C886&amp;"]["&amp;$D886&amp;"]["&amp;$F886&amp;"]"</f>
        <v>[S08_ActivityDataIssuesDetail][3][NumberOfIssues]</v>
      </c>
    </row>
    <row r="887" spans="1:15" x14ac:dyDescent="0.3">
      <c r="A887" t="s">
        <v>2277</v>
      </c>
      <c r="B887" t="s">
        <v>2096</v>
      </c>
      <c r="C887" t="s">
        <v>2097</v>
      </c>
      <c r="D887">
        <v>4</v>
      </c>
      <c r="E887" t="s">
        <v>1447</v>
      </c>
      <c r="F887" t="s">
        <v>1972</v>
      </c>
      <c r="G887" t="s">
        <v>1748</v>
      </c>
      <c r="H887" t="s">
        <v>2279</v>
      </c>
      <c r="I887">
        <v>3</v>
      </c>
      <c r="J887" t="s">
        <v>2279</v>
      </c>
      <c r="K887" t="s">
        <v>2279</v>
      </c>
      <c r="L887" t="s">
        <v>2279</v>
      </c>
      <c r="M887" t="s">
        <v>2279</v>
      </c>
      <c r="N887" t="s">
        <v>2279</v>
      </c>
      <c r="O887" s="190" t="str">
        <f>"["&amp;$C887&amp;"]["&amp;$D887&amp;"]["&amp;$F887&amp;"]"</f>
        <v>[S08_ActivityDataIssuesDetail][4][NumberOfIssues]</v>
      </c>
    </row>
    <row r="888" spans="1:15" x14ac:dyDescent="0.3">
      <c r="A888" t="s">
        <v>2277</v>
      </c>
      <c r="B888" t="s">
        <v>2096</v>
      </c>
      <c r="C888" t="s">
        <v>2097</v>
      </c>
      <c r="D888">
        <v>5</v>
      </c>
      <c r="E888" t="s">
        <v>1447</v>
      </c>
      <c r="F888" t="s">
        <v>1972</v>
      </c>
      <c r="G888" t="s">
        <v>1748</v>
      </c>
      <c r="H888" t="s">
        <v>2279</v>
      </c>
      <c r="I888">
        <v>1</v>
      </c>
      <c r="J888" t="s">
        <v>2279</v>
      </c>
      <c r="K888" t="s">
        <v>2279</v>
      </c>
      <c r="L888" t="s">
        <v>2279</v>
      </c>
      <c r="M888" t="s">
        <v>2279</v>
      </c>
      <c r="N888" t="s">
        <v>2279</v>
      </c>
      <c r="O888" s="190" t="str">
        <f>"["&amp;$C888&amp;"]["&amp;$D888&amp;"]["&amp;$F888&amp;"]"</f>
        <v>[S08_ActivityDataIssuesDetail][5][NumberOfIssues]</v>
      </c>
    </row>
    <row r="889" spans="1:15" x14ac:dyDescent="0.3">
      <c r="A889" t="s">
        <v>2277</v>
      </c>
      <c r="B889" t="s">
        <v>2096</v>
      </c>
      <c r="C889" t="s">
        <v>2097</v>
      </c>
      <c r="D889">
        <v>6</v>
      </c>
      <c r="E889" t="s">
        <v>1447</v>
      </c>
      <c r="F889" t="s">
        <v>1972</v>
      </c>
      <c r="G889" t="s">
        <v>1748</v>
      </c>
      <c r="H889" t="s">
        <v>2279</v>
      </c>
      <c r="I889">
        <v>1</v>
      </c>
      <c r="J889" t="s">
        <v>2279</v>
      </c>
      <c r="K889" t="s">
        <v>2279</v>
      </c>
      <c r="L889" t="s">
        <v>2279</v>
      </c>
      <c r="M889" t="s">
        <v>2279</v>
      </c>
      <c r="N889" t="s">
        <v>2279</v>
      </c>
      <c r="O889" s="190" t="str">
        <f>"["&amp;$C889&amp;"]["&amp;$D889&amp;"]["&amp;$F889&amp;"]"</f>
        <v>[S08_ActivityDataIssuesDetail][6][NumberOfIssues]</v>
      </c>
    </row>
    <row r="890" spans="1:15" x14ac:dyDescent="0.3">
      <c r="A890" t="s">
        <v>2277</v>
      </c>
      <c r="B890" t="s">
        <v>2096</v>
      </c>
      <c r="C890" t="s">
        <v>2097</v>
      </c>
      <c r="D890">
        <v>7</v>
      </c>
      <c r="E890" t="s">
        <v>1447</v>
      </c>
      <c r="F890" t="s">
        <v>1972</v>
      </c>
      <c r="G890" t="s">
        <v>1748</v>
      </c>
      <c r="H890" t="s">
        <v>2279</v>
      </c>
      <c r="I890">
        <v>1</v>
      </c>
      <c r="J890" t="s">
        <v>2279</v>
      </c>
      <c r="K890" t="s">
        <v>2279</v>
      </c>
      <c r="L890" t="s">
        <v>2279</v>
      </c>
      <c r="M890" t="s">
        <v>2279</v>
      </c>
      <c r="N890" t="s">
        <v>2279</v>
      </c>
      <c r="O890" s="190" t="str">
        <f>"["&amp;$C890&amp;"]["&amp;$D890&amp;"]["&amp;$F890&amp;"]"</f>
        <v>[S08_ActivityDataIssuesDetail][7][NumberOfIssues]</v>
      </c>
    </row>
    <row r="891" spans="1:15" x14ac:dyDescent="0.3">
      <c r="A891" t="s">
        <v>2277</v>
      </c>
      <c r="B891" t="s">
        <v>2096</v>
      </c>
      <c r="C891" t="s">
        <v>2097</v>
      </c>
      <c r="D891">
        <v>8</v>
      </c>
      <c r="E891" t="s">
        <v>1447</v>
      </c>
      <c r="F891" t="s">
        <v>1972</v>
      </c>
      <c r="G891" t="s">
        <v>1748</v>
      </c>
      <c r="H891" t="s">
        <v>2279</v>
      </c>
      <c r="I891">
        <v>1</v>
      </c>
      <c r="J891" t="s">
        <v>2279</v>
      </c>
      <c r="K891" t="s">
        <v>2279</v>
      </c>
      <c r="L891" t="s">
        <v>2279</v>
      </c>
      <c r="M891" t="s">
        <v>2279</v>
      </c>
      <c r="N891" t="s">
        <v>2279</v>
      </c>
      <c r="O891" s="190" t="str">
        <f>"["&amp;$C891&amp;"]["&amp;$D891&amp;"]["&amp;$F891&amp;"]"</f>
        <v>[S08_ActivityDataIssuesDetail][8][NumberOfIssues]</v>
      </c>
    </row>
    <row r="892" spans="1:15" x14ac:dyDescent="0.3">
      <c r="A892" t="s">
        <v>2277</v>
      </c>
      <c r="B892" t="s">
        <v>2096</v>
      </c>
      <c r="C892" t="s">
        <v>2097</v>
      </c>
      <c r="D892">
        <v>1</v>
      </c>
      <c r="E892" t="s">
        <v>1447</v>
      </c>
      <c r="F892" t="s">
        <v>2094</v>
      </c>
      <c r="G892" t="s">
        <v>1748</v>
      </c>
      <c r="H892" t="s">
        <v>2279</v>
      </c>
      <c r="I892">
        <v>0</v>
      </c>
      <c r="J892" t="s">
        <v>2279</v>
      </c>
      <c r="K892" t="s">
        <v>2279</v>
      </c>
      <c r="L892" t="s">
        <v>2279</v>
      </c>
      <c r="M892" t="s">
        <v>2279</v>
      </c>
      <c r="N892" t="s">
        <v>2279</v>
      </c>
      <c r="O892" s="190" t="str">
        <f>"["&amp;$C892&amp;"]["&amp;$D892&amp;"]["&amp;$F892&amp;"]"</f>
        <v>[S08_ActivityDataIssuesDetail][1][NumberOfInstallationsConEst]</v>
      </c>
    </row>
    <row r="893" spans="1:15" x14ac:dyDescent="0.3">
      <c r="A893" t="s">
        <v>2277</v>
      </c>
      <c r="B893" t="s">
        <v>2096</v>
      </c>
      <c r="C893" t="s">
        <v>2097</v>
      </c>
      <c r="D893">
        <v>2</v>
      </c>
      <c r="E893" t="s">
        <v>1447</v>
      </c>
      <c r="F893" t="s">
        <v>2094</v>
      </c>
      <c r="G893" t="s">
        <v>1748</v>
      </c>
      <c r="H893" t="s">
        <v>2279</v>
      </c>
      <c r="I893">
        <v>0</v>
      </c>
      <c r="J893" t="s">
        <v>2279</v>
      </c>
      <c r="K893" t="s">
        <v>2279</v>
      </c>
      <c r="L893" t="s">
        <v>2279</v>
      </c>
      <c r="M893" t="s">
        <v>2279</v>
      </c>
      <c r="N893" t="s">
        <v>2279</v>
      </c>
      <c r="O893" s="190" t="str">
        <f>"["&amp;$C893&amp;"]["&amp;$D893&amp;"]["&amp;$F893&amp;"]"</f>
        <v>[S08_ActivityDataIssuesDetail][2][NumberOfInstallationsConEst]</v>
      </c>
    </row>
    <row r="894" spans="1:15" x14ac:dyDescent="0.3">
      <c r="A894" t="s">
        <v>2277</v>
      </c>
      <c r="B894" t="s">
        <v>2096</v>
      </c>
      <c r="C894" t="s">
        <v>2097</v>
      </c>
      <c r="D894">
        <v>3</v>
      </c>
      <c r="E894" t="s">
        <v>1447</v>
      </c>
      <c r="F894" t="s">
        <v>2094</v>
      </c>
      <c r="G894" t="s">
        <v>1748</v>
      </c>
      <c r="H894" t="s">
        <v>2279</v>
      </c>
      <c r="I894">
        <v>0</v>
      </c>
      <c r="J894" t="s">
        <v>2279</v>
      </c>
      <c r="K894" t="s">
        <v>2279</v>
      </c>
      <c r="L894" t="s">
        <v>2279</v>
      </c>
      <c r="M894" t="s">
        <v>2279</v>
      </c>
      <c r="N894" t="s">
        <v>2279</v>
      </c>
      <c r="O894" s="190" t="str">
        <f>"["&amp;$C894&amp;"]["&amp;$D894&amp;"]["&amp;$F894&amp;"]"</f>
        <v>[S08_ActivityDataIssuesDetail][3][NumberOfInstallationsConEst]</v>
      </c>
    </row>
    <row r="895" spans="1:15" x14ac:dyDescent="0.3">
      <c r="A895" t="s">
        <v>2277</v>
      </c>
      <c r="B895" t="s">
        <v>2096</v>
      </c>
      <c r="C895" t="s">
        <v>2097</v>
      </c>
      <c r="D895">
        <v>4</v>
      </c>
      <c r="E895" t="s">
        <v>1447</v>
      </c>
      <c r="F895" t="s">
        <v>2094</v>
      </c>
      <c r="G895" t="s">
        <v>1748</v>
      </c>
      <c r="H895" t="s">
        <v>2279</v>
      </c>
      <c r="I895">
        <v>0</v>
      </c>
      <c r="J895" t="s">
        <v>2279</v>
      </c>
      <c r="K895" t="s">
        <v>2279</v>
      </c>
      <c r="L895" t="s">
        <v>2279</v>
      </c>
      <c r="M895" t="s">
        <v>2279</v>
      </c>
      <c r="N895" t="s">
        <v>2279</v>
      </c>
      <c r="O895" s="190" t="str">
        <f>"["&amp;$C895&amp;"]["&amp;$D895&amp;"]["&amp;$F895&amp;"]"</f>
        <v>[S08_ActivityDataIssuesDetail][4][NumberOfInstallationsConEst]</v>
      </c>
    </row>
    <row r="896" spans="1:15" x14ac:dyDescent="0.3">
      <c r="A896" t="s">
        <v>2277</v>
      </c>
      <c r="B896" t="s">
        <v>2096</v>
      </c>
      <c r="C896" t="s">
        <v>2097</v>
      </c>
      <c r="D896">
        <v>5</v>
      </c>
      <c r="E896" t="s">
        <v>1447</v>
      </c>
      <c r="F896" t="s">
        <v>2094</v>
      </c>
      <c r="G896" t="s">
        <v>1748</v>
      </c>
      <c r="H896" t="s">
        <v>2279</v>
      </c>
      <c r="I896">
        <v>0</v>
      </c>
      <c r="J896" t="s">
        <v>2279</v>
      </c>
      <c r="K896" t="s">
        <v>2279</v>
      </c>
      <c r="L896" t="s">
        <v>2279</v>
      </c>
      <c r="M896" t="s">
        <v>2279</v>
      </c>
      <c r="N896" t="s">
        <v>2279</v>
      </c>
      <c r="O896" s="190" t="str">
        <f>"["&amp;$C896&amp;"]["&amp;$D896&amp;"]["&amp;$F896&amp;"]"</f>
        <v>[S08_ActivityDataIssuesDetail][5][NumberOfInstallationsConEst]</v>
      </c>
    </row>
    <row r="897" spans="1:15" x14ac:dyDescent="0.3">
      <c r="A897" t="s">
        <v>2277</v>
      </c>
      <c r="B897" t="s">
        <v>2096</v>
      </c>
      <c r="C897" t="s">
        <v>2097</v>
      </c>
      <c r="D897">
        <v>6</v>
      </c>
      <c r="E897" t="s">
        <v>1447</v>
      </c>
      <c r="F897" t="s">
        <v>2094</v>
      </c>
      <c r="G897" t="s">
        <v>1748</v>
      </c>
      <c r="H897" t="s">
        <v>2279</v>
      </c>
      <c r="I897">
        <v>0</v>
      </c>
      <c r="J897" t="s">
        <v>2279</v>
      </c>
      <c r="K897" t="s">
        <v>2279</v>
      </c>
      <c r="L897" t="s">
        <v>2279</v>
      </c>
      <c r="M897" t="s">
        <v>2279</v>
      </c>
      <c r="N897" t="s">
        <v>2279</v>
      </c>
      <c r="O897" s="190" t="str">
        <f>"["&amp;$C897&amp;"]["&amp;$D897&amp;"]["&amp;$F897&amp;"]"</f>
        <v>[S08_ActivityDataIssuesDetail][6][NumberOfInstallationsConEst]</v>
      </c>
    </row>
    <row r="898" spans="1:15" x14ac:dyDescent="0.3">
      <c r="A898" t="s">
        <v>2277</v>
      </c>
      <c r="B898" t="s">
        <v>2096</v>
      </c>
      <c r="C898" t="s">
        <v>2097</v>
      </c>
      <c r="D898">
        <v>7</v>
      </c>
      <c r="E898" t="s">
        <v>1447</v>
      </c>
      <c r="F898" t="s">
        <v>2094</v>
      </c>
      <c r="G898" t="s">
        <v>1748</v>
      </c>
      <c r="H898" t="s">
        <v>2279</v>
      </c>
      <c r="I898">
        <v>0</v>
      </c>
      <c r="J898" t="s">
        <v>2279</v>
      </c>
      <c r="K898" t="s">
        <v>2279</v>
      </c>
      <c r="L898" t="s">
        <v>2279</v>
      </c>
      <c r="M898" t="s">
        <v>2279</v>
      </c>
      <c r="N898" t="s">
        <v>2279</v>
      </c>
      <c r="O898" s="190" t="str">
        <f>"["&amp;$C898&amp;"]["&amp;$D898&amp;"]["&amp;$F898&amp;"]"</f>
        <v>[S08_ActivityDataIssuesDetail][7][NumberOfInstallationsConEst]</v>
      </c>
    </row>
    <row r="899" spans="1:15" x14ac:dyDescent="0.3">
      <c r="A899" t="s">
        <v>2277</v>
      </c>
      <c r="B899" t="s">
        <v>2096</v>
      </c>
      <c r="C899" t="s">
        <v>2097</v>
      </c>
      <c r="D899">
        <v>8</v>
      </c>
      <c r="E899" t="s">
        <v>1447</v>
      </c>
      <c r="F899" t="s">
        <v>2094</v>
      </c>
      <c r="G899" t="s">
        <v>1748</v>
      </c>
      <c r="H899" t="s">
        <v>2279</v>
      </c>
      <c r="I899">
        <v>0</v>
      </c>
      <c r="J899" t="s">
        <v>2279</v>
      </c>
      <c r="K899" t="s">
        <v>2279</v>
      </c>
      <c r="L899" t="s">
        <v>2279</v>
      </c>
      <c r="M899" t="s">
        <v>2279</v>
      </c>
      <c r="N899" t="s">
        <v>2279</v>
      </c>
      <c r="O899" s="190" t="str">
        <f>"["&amp;$C899&amp;"]["&amp;$D899&amp;"]["&amp;$F899&amp;"]"</f>
        <v>[S08_ActivityDataIssuesDetail][8][NumberOfInstallationsConEst]</v>
      </c>
    </row>
    <row r="900" spans="1:15" x14ac:dyDescent="0.3">
      <c r="A900" t="s">
        <v>2277</v>
      </c>
      <c r="B900" t="s">
        <v>2098</v>
      </c>
      <c r="C900" t="s">
        <v>2099</v>
      </c>
      <c r="D900">
        <v>0</v>
      </c>
      <c r="E900" t="s">
        <v>1447</v>
      </c>
      <c r="F900" t="s">
        <v>2099</v>
      </c>
      <c r="G900" t="s">
        <v>1759</v>
      </c>
      <c r="H900" t="s">
        <v>2279</v>
      </c>
      <c r="I900" t="s">
        <v>2279</v>
      </c>
      <c r="J900" t="s">
        <v>2279</v>
      </c>
      <c r="K900" t="s">
        <v>2279</v>
      </c>
      <c r="L900" t="s">
        <v>1419</v>
      </c>
      <c r="M900" t="s">
        <v>2279</v>
      </c>
      <c r="N900" t="s">
        <v>2279</v>
      </c>
      <c r="O900" s="190" t="str">
        <f>"["&amp;$C900&amp;"]["&amp;$D900&amp;"]["&amp;$F900&amp;"]"</f>
        <v>[ActivityReportRejected][0][ActivityReportRejected]</v>
      </c>
    </row>
    <row r="901" spans="1:15" x14ac:dyDescent="0.3">
      <c r="A901" t="s">
        <v>2277</v>
      </c>
      <c r="B901" t="s">
        <v>2098</v>
      </c>
      <c r="C901" t="s">
        <v>2100</v>
      </c>
      <c r="D901">
        <v>1</v>
      </c>
      <c r="E901" t="s">
        <v>1447</v>
      </c>
      <c r="F901" t="s">
        <v>2101</v>
      </c>
      <c r="G901" t="s">
        <v>1748</v>
      </c>
      <c r="H901" t="s">
        <v>2279</v>
      </c>
      <c r="I901">
        <v>5</v>
      </c>
      <c r="J901" t="s">
        <v>2279</v>
      </c>
      <c r="K901" t="s">
        <v>2279</v>
      </c>
      <c r="L901" t="s">
        <v>2279</v>
      </c>
      <c r="M901" t="s">
        <v>2279</v>
      </c>
      <c r="N901" t="s">
        <v>2279</v>
      </c>
      <c r="O901" s="190" t="str">
        <f>"["&amp;$C901&amp;"]["&amp;$D901&amp;"]["&amp;$F901&amp;"]"</f>
        <v>[S08_ActivityReportRejectedDetail][1][NumberActivityReportRejected]</v>
      </c>
    </row>
    <row r="902" spans="1:15" x14ac:dyDescent="0.3">
      <c r="A902" t="s">
        <v>2277</v>
      </c>
      <c r="B902" t="s">
        <v>2098</v>
      </c>
      <c r="C902" t="s">
        <v>2100</v>
      </c>
      <c r="D902">
        <v>2</v>
      </c>
      <c r="E902" t="s">
        <v>1447</v>
      </c>
      <c r="F902" t="s">
        <v>2101</v>
      </c>
      <c r="G902" t="s">
        <v>1748</v>
      </c>
      <c r="H902" t="s">
        <v>2279</v>
      </c>
      <c r="I902">
        <v>40</v>
      </c>
      <c r="J902" t="s">
        <v>2279</v>
      </c>
      <c r="K902" t="s">
        <v>2279</v>
      </c>
      <c r="L902" t="s">
        <v>2279</v>
      </c>
      <c r="M902" t="s">
        <v>2279</v>
      </c>
      <c r="N902" t="s">
        <v>2279</v>
      </c>
      <c r="O902" s="190" t="str">
        <f>"["&amp;$C902&amp;"]["&amp;$D902&amp;"]["&amp;$F902&amp;"]"</f>
        <v>[S08_ActivityReportRejectedDetail][2][NumberActivityReportRejected]</v>
      </c>
    </row>
    <row r="903" spans="1:15" x14ac:dyDescent="0.3">
      <c r="A903" t="s">
        <v>2277</v>
      </c>
      <c r="B903" t="s">
        <v>2098</v>
      </c>
      <c r="C903" t="s">
        <v>2100</v>
      </c>
      <c r="D903">
        <v>2</v>
      </c>
      <c r="E903" t="s">
        <v>1447</v>
      </c>
      <c r="F903" t="s">
        <v>2102</v>
      </c>
      <c r="G903" t="s">
        <v>1791</v>
      </c>
      <c r="H903" t="s">
        <v>2279</v>
      </c>
      <c r="I903" t="s">
        <v>2279</v>
      </c>
      <c r="J903" t="s">
        <v>2279</v>
      </c>
      <c r="K903" t="s">
        <v>2380</v>
      </c>
      <c r="L903" t="s">
        <v>2279</v>
      </c>
      <c r="M903" t="s">
        <v>2279</v>
      </c>
      <c r="N903" t="s">
        <v>2279</v>
      </c>
      <c r="O903" s="190" t="str">
        <f>"["&amp;$C903&amp;"]["&amp;$D903&amp;"]["&amp;$F903&amp;"]"</f>
        <v>[S08_ActivityReportRejectedDetail][2][ReasonForRejection]</v>
      </c>
    </row>
    <row r="904" spans="1:15" x14ac:dyDescent="0.3">
      <c r="A904" t="s">
        <v>2277</v>
      </c>
      <c r="B904" t="s">
        <v>2098</v>
      </c>
      <c r="C904" t="s">
        <v>2100</v>
      </c>
      <c r="D904">
        <v>3</v>
      </c>
      <c r="E904" t="s">
        <v>1447</v>
      </c>
      <c r="F904" t="s">
        <v>2000</v>
      </c>
      <c r="G904" t="s">
        <v>1741</v>
      </c>
      <c r="H904" t="s">
        <v>2381</v>
      </c>
      <c r="I904" t="s">
        <v>2279</v>
      </c>
      <c r="J904" t="s">
        <v>2279</v>
      </c>
      <c r="K904" t="s">
        <v>2279</v>
      </c>
      <c r="L904" t="s">
        <v>2279</v>
      </c>
      <c r="M904" t="s">
        <v>2279</v>
      </c>
      <c r="N904" t="s">
        <v>2279</v>
      </c>
      <c r="O904" s="190" t="str">
        <f>"["&amp;$C904&amp;"]["&amp;$D904&amp;"]["&amp;$F904&amp;"]"</f>
        <v>[S08_ActivityReportRejectedDetail][3][ActionsTaken]</v>
      </c>
    </row>
    <row r="905" spans="1:15" x14ac:dyDescent="0.3">
      <c r="A905" t="s">
        <v>2277</v>
      </c>
      <c r="B905" t="s">
        <v>2103</v>
      </c>
      <c r="C905" t="s">
        <v>2104</v>
      </c>
      <c r="D905">
        <v>0</v>
      </c>
      <c r="E905" t="s">
        <v>1447</v>
      </c>
      <c r="F905" t="s">
        <v>2104</v>
      </c>
      <c r="G905" t="s">
        <v>1759</v>
      </c>
      <c r="H905" t="s">
        <v>2279</v>
      </c>
      <c r="I905" t="s">
        <v>2279</v>
      </c>
      <c r="J905" t="s">
        <v>2279</v>
      </c>
      <c r="K905" t="s">
        <v>2279</v>
      </c>
      <c r="L905" t="s">
        <v>1447</v>
      </c>
      <c r="M905" t="s">
        <v>2279</v>
      </c>
      <c r="N905" t="s">
        <v>2279</v>
      </c>
      <c r="O905" s="190" t="str">
        <f>"["&amp;$C905&amp;"]["&amp;$D905&amp;"]["&amp;$F905&amp;"]"</f>
        <v>[ActivityLevelVisitsWaived][0][ActivityLevelVisitsWaived]</v>
      </c>
    </row>
    <row r="906" spans="1:15" x14ac:dyDescent="0.3">
      <c r="A906" t="s">
        <v>2277</v>
      </c>
      <c r="B906" t="s">
        <v>2106</v>
      </c>
      <c r="C906" t="s">
        <v>2107</v>
      </c>
      <c r="D906">
        <v>0</v>
      </c>
      <c r="E906" t="s">
        <v>1447</v>
      </c>
      <c r="F906" t="s">
        <v>2107</v>
      </c>
      <c r="G906" t="s">
        <v>1759</v>
      </c>
      <c r="H906" t="s">
        <v>2279</v>
      </c>
      <c r="I906" t="s">
        <v>2279</v>
      </c>
      <c r="J906" t="s">
        <v>2279</v>
      </c>
      <c r="K906" t="s">
        <v>2279</v>
      </c>
      <c r="L906" t="s">
        <v>1419</v>
      </c>
      <c r="M906" t="s">
        <v>2279</v>
      </c>
      <c r="N906" t="s">
        <v>2279</v>
      </c>
      <c r="O906" s="190" t="str">
        <f>"["&amp;$C906&amp;"]["&amp;$D906&amp;"]["&amp;$F906&amp;"]"</f>
        <v>[VirtualVisitsActivityLevel][0][VirtualVisitsActivityLevel]</v>
      </c>
    </row>
    <row r="907" spans="1:15" x14ac:dyDescent="0.3">
      <c r="A907" t="s">
        <v>2277</v>
      </c>
      <c r="B907" t="s">
        <v>2106</v>
      </c>
      <c r="C907" t="s">
        <v>2108</v>
      </c>
      <c r="D907">
        <v>1</v>
      </c>
      <c r="E907" t="s">
        <v>1447</v>
      </c>
      <c r="F907" t="s">
        <v>2010</v>
      </c>
      <c r="G907" t="s">
        <v>1741</v>
      </c>
      <c r="H907" t="s">
        <v>2370</v>
      </c>
      <c r="I907" t="s">
        <v>2279</v>
      </c>
      <c r="J907" t="s">
        <v>2279</v>
      </c>
      <c r="K907" t="s">
        <v>2279</v>
      </c>
      <c r="L907" t="s">
        <v>2279</v>
      </c>
      <c r="M907" t="s">
        <v>2279</v>
      </c>
      <c r="N907" t="s">
        <v>2279</v>
      </c>
      <c r="O907" s="190" t="str">
        <f>"["&amp;$C907&amp;"]["&amp;$D907&amp;"]["&amp;$F907&amp;"]"</f>
        <v>[S08_VirtualVisitsActivityLevelDetail][1][TypeForceMajeur]</v>
      </c>
    </row>
    <row r="908" spans="1:15" x14ac:dyDescent="0.3">
      <c r="A908" t="s">
        <v>2277</v>
      </c>
      <c r="B908" t="s">
        <v>2106</v>
      </c>
      <c r="C908" t="s">
        <v>2108</v>
      </c>
      <c r="D908">
        <v>1</v>
      </c>
      <c r="E908" t="s">
        <v>1447</v>
      </c>
      <c r="F908" t="s">
        <v>2011</v>
      </c>
      <c r="G908" t="s">
        <v>1748</v>
      </c>
      <c r="H908" t="s">
        <v>2279</v>
      </c>
      <c r="I908">
        <v>13</v>
      </c>
      <c r="J908" t="s">
        <v>2279</v>
      </c>
      <c r="K908" t="s">
        <v>2279</v>
      </c>
      <c r="L908" t="s">
        <v>2279</v>
      </c>
      <c r="M908" t="s">
        <v>2279</v>
      </c>
      <c r="N908" t="s">
        <v>2279</v>
      </c>
      <c r="O908" s="190" t="str">
        <f>"["&amp;$C908&amp;"]["&amp;$D908&amp;"]["&amp;$F908&amp;"]"</f>
        <v>[S08_VirtualVisitsActivityLevelDetail][1][NumberOfInstallationsVV]</v>
      </c>
    </row>
    <row r="909" spans="1:15" x14ac:dyDescent="0.3">
      <c r="A909" t="s">
        <v>2277</v>
      </c>
      <c r="B909" t="s">
        <v>2106</v>
      </c>
      <c r="C909" t="s">
        <v>2108</v>
      </c>
      <c r="D909">
        <v>1</v>
      </c>
      <c r="E909" t="s">
        <v>1447</v>
      </c>
      <c r="F909" t="s">
        <v>2012</v>
      </c>
      <c r="G909" t="s">
        <v>1737</v>
      </c>
      <c r="H909" t="s">
        <v>2279</v>
      </c>
      <c r="I909" t="s">
        <v>2279</v>
      </c>
      <c r="J909" t="s">
        <v>2279</v>
      </c>
      <c r="K909" t="s">
        <v>2279</v>
      </c>
      <c r="L909" t="s">
        <v>1442</v>
      </c>
      <c r="M909" t="s">
        <v>2279</v>
      </c>
      <c r="N909" t="s">
        <v>2279</v>
      </c>
      <c r="O909" s="190" t="str">
        <f>"["&amp;$C909&amp;"]["&amp;$D909&amp;"]["&amp;$F909&amp;"]"</f>
        <v>[S08_VirtualVisitsActivityLevelDetail][1][AuthorityApproval]</v>
      </c>
    </row>
    <row r="910" spans="1:15" x14ac:dyDescent="0.3">
      <c r="A910" t="s">
        <v>2277</v>
      </c>
      <c r="B910" t="s">
        <v>2106</v>
      </c>
      <c r="C910" t="s">
        <v>2108</v>
      </c>
      <c r="D910">
        <v>1</v>
      </c>
      <c r="E910" t="s">
        <v>1447</v>
      </c>
      <c r="F910" t="s">
        <v>2013</v>
      </c>
      <c r="G910" t="s">
        <v>1741</v>
      </c>
      <c r="H910" t="s">
        <v>1419</v>
      </c>
      <c r="I910" t="s">
        <v>2279</v>
      </c>
      <c r="J910" t="s">
        <v>2279</v>
      </c>
      <c r="K910" t="s">
        <v>2279</v>
      </c>
      <c r="L910" t="s">
        <v>2279</v>
      </c>
      <c r="M910" t="s">
        <v>2279</v>
      </c>
      <c r="N910" t="s">
        <v>2279</v>
      </c>
      <c r="O910" s="190" t="str">
        <f>"["&amp;$C910&amp;"]["&amp;$D910&amp;"]["&amp;$F910&amp;"]"</f>
        <v>[S08_VirtualVisitsActivityLevelDetail][1][ConfirmationConditionsMet]</v>
      </c>
    </row>
    <row r="911" spans="1:15" x14ac:dyDescent="0.3">
      <c r="A911" t="s">
        <v>2277</v>
      </c>
      <c r="B911" t="s">
        <v>2109</v>
      </c>
      <c r="C911" t="s">
        <v>2110</v>
      </c>
      <c r="D911">
        <v>1</v>
      </c>
      <c r="E911" t="s">
        <v>1447</v>
      </c>
      <c r="F911" t="s">
        <v>2111</v>
      </c>
      <c r="G911" t="s">
        <v>1806</v>
      </c>
      <c r="H911" t="s">
        <v>2279</v>
      </c>
      <c r="I911" t="s">
        <v>2279</v>
      </c>
      <c r="J911">
        <v>12000</v>
      </c>
      <c r="K911" t="s">
        <v>2279</v>
      </c>
      <c r="L911" t="s">
        <v>2279</v>
      </c>
      <c r="M911" t="s">
        <v>2279</v>
      </c>
      <c r="N911" t="s">
        <v>2279</v>
      </c>
      <c r="O911" s="190" t="str">
        <f>"["&amp;$C911&amp;"]["&amp;$D911&amp;"]["&amp;$F911&amp;"]"</f>
        <v>[S08_PenaltiesAllocation][1][MinFine]</v>
      </c>
    </row>
    <row r="912" spans="1:15" x14ac:dyDescent="0.3">
      <c r="A912" t="s">
        <v>2277</v>
      </c>
      <c r="B912" t="s">
        <v>2109</v>
      </c>
      <c r="C912" t="s">
        <v>2110</v>
      </c>
      <c r="D912">
        <v>2</v>
      </c>
      <c r="E912" t="s">
        <v>1447</v>
      </c>
      <c r="F912" t="s">
        <v>2111</v>
      </c>
      <c r="G912" t="s">
        <v>1806</v>
      </c>
      <c r="H912" t="s">
        <v>2279</v>
      </c>
      <c r="I912" t="s">
        <v>2279</v>
      </c>
      <c r="J912">
        <v>12000</v>
      </c>
      <c r="K912" t="s">
        <v>2279</v>
      </c>
      <c r="L912" t="s">
        <v>2279</v>
      </c>
      <c r="M912" t="s">
        <v>2279</v>
      </c>
      <c r="N912" t="s">
        <v>2279</v>
      </c>
      <c r="O912" s="190" t="str">
        <f>"["&amp;$C912&amp;"]["&amp;$D912&amp;"]["&amp;$F912&amp;"]"</f>
        <v>[S08_PenaltiesAllocation][2][MinFine]</v>
      </c>
    </row>
    <row r="913" spans="1:15" x14ac:dyDescent="0.3">
      <c r="A913" t="s">
        <v>2277</v>
      </c>
      <c r="B913" t="s">
        <v>2109</v>
      </c>
      <c r="C913" t="s">
        <v>2110</v>
      </c>
      <c r="D913">
        <v>3</v>
      </c>
      <c r="E913" t="s">
        <v>1447</v>
      </c>
      <c r="F913" t="s">
        <v>2111</v>
      </c>
      <c r="G913" t="s">
        <v>1806</v>
      </c>
      <c r="H913" t="s">
        <v>2279</v>
      </c>
      <c r="I913" t="s">
        <v>2279</v>
      </c>
      <c r="J913">
        <v>12000</v>
      </c>
      <c r="K913" t="s">
        <v>2279</v>
      </c>
      <c r="L913" t="s">
        <v>2279</v>
      </c>
      <c r="M913" t="s">
        <v>2279</v>
      </c>
      <c r="N913" t="s">
        <v>2279</v>
      </c>
      <c r="O913" s="190" t="str">
        <f>"["&amp;$C913&amp;"]["&amp;$D913&amp;"]["&amp;$F913&amp;"]"</f>
        <v>[S08_PenaltiesAllocation][3][MinFine]</v>
      </c>
    </row>
    <row r="914" spans="1:15" x14ac:dyDescent="0.3">
      <c r="A914" t="s">
        <v>2277</v>
      </c>
      <c r="B914" t="s">
        <v>2109</v>
      </c>
      <c r="C914" t="s">
        <v>2110</v>
      </c>
      <c r="D914">
        <v>4</v>
      </c>
      <c r="E914" t="s">
        <v>1447</v>
      </c>
      <c r="F914" t="s">
        <v>2111</v>
      </c>
      <c r="G914" t="s">
        <v>1806</v>
      </c>
      <c r="H914" t="s">
        <v>2279</v>
      </c>
      <c r="I914" t="s">
        <v>2279</v>
      </c>
      <c r="J914">
        <v>12000</v>
      </c>
      <c r="K914" t="s">
        <v>2279</v>
      </c>
      <c r="L914" t="s">
        <v>2279</v>
      </c>
      <c r="M914" t="s">
        <v>2279</v>
      </c>
      <c r="N914" t="s">
        <v>2279</v>
      </c>
      <c r="O914" s="190" t="str">
        <f>"["&amp;$C914&amp;"]["&amp;$D914&amp;"]["&amp;$F914&amp;"]"</f>
        <v>[S08_PenaltiesAllocation][4][MinFine]</v>
      </c>
    </row>
    <row r="915" spans="1:15" x14ac:dyDescent="0.3">
      <c r="A915" t="s">
        <v>2277</v>
      </c>
      <c r="B915" t="s">
        <v>2109</v>
      </c>
      <c r="C915" t="s">
        <v>2110</v>
      </c>
      <c r="D915">
        <v>1</v>
      </c>
      <c r="E915" t="s">
        <v>1447</v>
      </c>
      <c r="F915" t="s">
        <v>2112</v>
      </c>
      <c r="G915" t="s">
        <v>1806</v>
      </c>
      <c r="H915" t="s">
        <v>2279</v>
      </c>
      <c r="I915" t="s">
        <v>2279</v>
      </c>
      <c r="J915">
        <v>72000</v>
      </c>
      <c r="K915" t="s">
        <v>2279</v>
      </c>
      <c r="L915" t="s">
        <v>2279</v>
      </c>
      <c r="M915" t="s">
        <v>2279</v>
      </c>
      <c r="N915" t="s">
        <v>2279</v>
      </c>
      <c r="O915" s="190" t="str">
        <f>"["&amp;$C915&amp;"]["&amp;$D915&amp;"]["&amp;$F915&amp;"]"</f>
        <v>[S08_PenaltiesAllocation][1][MaxFine]</v>
      </c>
    </row>
    <row r="916" spans="1:15" x14ac:dyDescent="0.3">
      <c r="A916" t="s">
        <v>2277</v>
      </c>
      <c r="B916" t="s">
        <v>2109</v>
      </c>
      <c r="C916" t="s">
        <v>2110</v>
      </c>
      <c r="D916">
        <v>2</v>
      </c>
      <c r="E916" t="s">
        <v>1447</v>
      </c>
      <c r="F916" t="s">
        <v>2112</v>
      </c>
      <c r="G916" t="s">
        <v>1806</v>
      </c>
      <c r="H916" t="s">
        <v>2279</v>
      </c>
      <c r="I916" t="s">
        <v>2279</v>
      </c>
      <c r="J916">
        <v>72000</v>
      </c>
      <c r="K916" t="s">
        <v>2279</v>
      </c>
      <c r="L916" t="s">
        <v>2279</v>
      </c>
      <c r="M916" t="s">
        <v>2279</v>
      </c>
      <c r="N916" t="s">
        <v>2279</v>
      </c>
      <c r="O916" s="190" t="str">
        <f>"["&amp;$C916&amp;"]["&amp;$D916&amp;"]["&amp;$F916&amp;"]"</f>
        <v>[S08_PenaltiesAllocation][2][MaxFine]</v>
      </c>
    </row>
    <row r="917" spans="1:15" x14ac:dyDescent="0.3">
      <c r="A917" t="s">
        <v>2277</v>
      </c>
      <c r="B917" t="s">
        <v>2109</v>
      </c>
      <c r="C917" t="s">
        <v>2110</v>
      </c>
      <c r="D917">
        <v>3</v>
      </c>
      <c r="E917" t="s">
        <v>1447</v>
      </c>
      <c r="F917" t="s">
        <v>2112</v>
      </c>
      <c r="G917" t="s">
        <v>1806</v>
      </c>
      <c r="H917" t="s">
        <v>2279</v>
      </c>
      <c r="I917" t="s">
        <v>2279</v>
      </c>
      <c r="J917">
        <v>72000</v>
      </c>
      <c r="K917" t="s">
        <v>2279</v>
      </c>
      <c r="L917" t="s">
        <v>2279</v>
      </c>
      <c r="M917" t="s">
        <v>2279</v>
      </c>
      <c r="N917" t="s">
        <v>2279</v>
      </c>
      <c r="O917" s="190" t="str">
        <f>"["&amp;$C917&amp;"]["&amp;$D917&amp;"]["&amp;$F917&amp;"]"</f>
        <v>[S08_PenaltiesAllocation][3][MaxFine]</v>
      </c>
    </row>
    <row r="918" spans="1:15" x14ac:dyDescent="0.3">
      <c r="A918" t="s">
        <v>2277</v>
      </c>
      <c r="B918" t="s">
        <v>2109</v>
      </c>
      <c r="C918" t="s">
        <v>2110</v>
      </c>
      <c r="D918">
        <v>4</v>
      </c>
      <c r="E918" t="s">
        <v>1447</v>
      </c>
      <c r="F918" t="s">
        <v>2112</v>
      </c>
      <c r="G918" t="s">
        <v>1806</v>
      </c>
      <c r="H918" t="s">
        <v>2279</v>
      </c>
      <c r="I918" t="s">
        <v>2279</v>
      </c>
      <c r="J918">
        <v>72000</v>
      </c>
      <c r="K918" t="s">
        <v>2279</v>
      </c>
      <c r="L918" t="s">
        <v>2279</v>
      </c>
      <c r="M918" t="s">
        <v>2279</v>
      </c>
      <c r="N918" t="s">
        <v>2279</v>
      </c>
      <c r="O918" s="190" t="str">
        <f>"["&amp;$C918&amp;"]["&amp;$D918&amp;"]["&amp;$F918&amp;"]"</f>
        <v>[S08_PenaltiesAllocation][4][MaxFine]</v>
      </c>
    </row>
    <row r="919" spans="1:15" x14ac:dyDescent="0.3">
      <c r="A919" t="s">
        <v>2277</v>
      </c>
      <c r="B919" t="s">
        <v>2109</v>
      </c>
      <c r="C919" t="s">
        <v>2110</v>
      </c>
      <c r="D919">
        <v>1</v>
      </c>
      <c r="E919" t="s">
        <v>1447</v>
      </c>
      <c r="F919" t="s">
        <v>2115</v>
      </c>
      <c r="G919" t="s">
        <v>1741</v>
      </c>
      <c r="H919" t="s">
        <v>2382</v>
      </c>
      <c r="I919" t="s">
        <v>2279</v>
      </c>
      <c r="J919" t="s">
        <v>2279</v>
      </c>
      <c r="K919" t="s">
        <v>2279</v>
      </c>
      <c r="L919" t="s">
        <v>2279</v>
      </c>
      <c r="M919" t="s">
        <v>2279</v>
      </c>
      <c r="N919" t="s">
        <v>2279</v>
      </c>
      <c r="O919" s="190" t="str">
        <f>"["&amp;$C919&amp;"]["&amp;$D919&amp;"]["&amp;$F919&amp;"]"</f>
        <v>[S08_PenaltiesAllocation][1][OtherPenalty]</v>
      </c>
    </row>
    <row r="920" spans="1:15" x14ac:dyDescent="0.3">
      <c r="A920" t="s">
        <v>2277</v>
      </c>
      <c r="B920" t="s">
        <v>2109</v>
      </c>
      <c r="C920" t="s">
        <v>2110</v>
      </c>
      <c r="D920">
        <v>2</v>
      </c>
      <c r="E920" t="s">
        <v>1447</v>
      </c>
      <c r="F920" t="s">
        <v>2115</v>
      </c>
      <c r="G920" t="s">
        <v>1741</v>
      </c>
      <c r="H920" t="s">
        <v>2382</v>
      </c>
      <c r="I920" t="s">
        <v>2279</v>
      </c>
      <c r="J920" t="s">
        <v>2279</v>
      </c>
      <c r="K920" t="s">
        <v>2279</v>
      </c>
      <c r="L920" t="s">
        <v>2279</v>
      </c>
      <c r="M920" t="s">
        <v>2279</v>
      </c>
      <c r="N920" t="s">
        <v>2279</v>
      </c>
      <c r="O920" s="190" t="str">
        <f>"["&amp;$C920&amp;"]["&amp;$D920&amp;"]["&amp;$F920&amp;"]"</f>
        <v>[S08_PenaltiesAllocation][2][OtherPenalty]</v>
      </c>
    </row>
    <row r="921" spans="1:15" x14ac:dyDescent="0.3">
      <c r="A921" t="s">
        <v>2277</v>
      </c>
      <c r="B921" t="s">
        <v>2109</v>
      </c>
      <c r="C921" t="s">
        <v>2110</v>
      </c>
      <c r="D921">
        <v>3</v>
      </c>
      <c r="E921" t="s">
        <v>1447</v>
      </c>
      <c r="F921" t="s">
        <v>2115</v>
      </c>
      <c r="G921" t="s">
        <v>1741</v>
      </c>
      <c r="H921" t="s">
        <v>2382</v>
      </c>
      <c r="I921" t="s">
        <v>2279</v>
      </c>
      <c r="J921" t="s">
        <v>2279</v>
      </c>
      <c r="K921" t="s">
        <v>2279</v>
      </c>
      <c r="L921" t="s">
        <v>2279</v>
      </c>
      <c r="M921" t="s">
        <v>2279</v>
      </c>
      <c r="N921" t="s">
        <v>2279</v>
      </c>
      <c r="O921" s="190" t="str">
        <f>"["&amp;$C921&amp;"]["&amp;$D921&amp;"]["&amp;$F921&amp;"]"</f>
        <v>[S08_PenaltiesAllocation][3][OtherPenalty]</v>
      </c>
    </row>
    <row r="922" spans="1:15" x14ac:dyDescent="0.3">
      <c r="A922" t="s">
        <v>2277</v>
      </c>
      <c r="B922" t="s">
        <v>2109</v>
      </c>
      <c r="C922" t="s">
        <v>2110</v>
      </c>
      <c r="D922">
        <v>4</v>
      </c>
      <c r="E922" t="s">
        <v>1447</v>
      </c>
      <c r="F922" t="s">
        <v>2115</v>
      </c>
      <c r="G922" t="s">
        <v>1741</v>
      </c>
      <c r="H922" t="s">
        <v>2382</v>
      </c>
      <c r="I922" t="s">
        <v>2279</v>
      </c>
      <c r="J922" t="s">
        <v>2279</v>
      </c>
      <c r="K922" t="s">
        <v>2279</v>
      </c>
      <c r="L922" t="s">
        <v>2279</v>
      </c>
      <c r="M922" t="s">
        <v>2279</v>
      </c>
      <c r="N922" t="s">
        <v>2279</v>
      </c>
      <c r="O922" s="190" t="str">
        <f>"["&amp;$C922&amp;"]["&amp;$D922&amp;"]["&amp;$F922&amp;"]"</f>
        <v>[S08_PenaltiesAllocation][4][OtherPenalty]</v>
      </c>
    </row>
    <row r="923" spans="1:15" x14ac:dyDescent="0.3">
      <c r="A923" t="s">
        <v>2277</v>
      </c>
      <c r="B923" t="s">
        <v>2130</v>
      </c>
      <c r="C923" t="s">
        <v>2131</v>
      </c>
      <c r="D923">
        <v>0</v>
      </c>
      <c r="E923" t="s">
        <v>1447</v>
      </c>
      <c r="F923" t="s">
        <v>2131</v>
      </c>
      <c r="G923" t="s">
        <v>1759</v>
      </c>
      <c r="H923" t="s">
        <v>2279</v>
      </c>
      <c r="I923" t="s">
        <v>2279</v>
      </c>
      <c r="J923" t="s">
        <v>2279</v>
      </c>
      <c r="K923" t="s">
        <v>2279</v>
      </c>
      <c r="L923" t="s">
        <v>1419</v>
      </c>
      <c r="M923" t="s">
        <v>2279</v>
      </c>
      <c r="N923" t="s">
        <v>2279</v>
      </c>
      <c r="O923" s="190" t="str">
        <f>"["&amp;$C923&amp;"]["&amp;$D923&amp;"]["&amp;$F923&amp;"]"</f>
        <v>[InstallationOperatorFees][0][InstallationOperatorFees]</v>
      </c>
    </row>
    <row r="924" spans="1:15" x14ac:dyDescent="0.3">
      <c r="A924" t="s">
        <v>2277</v>
      </c>
      <c r="B924" t="s">
        <v>2130</v>
      </c>
      <c r="C924" t="s">
        <v>2132</v>
      </c>
      <c r="D924">
        <v>1</v>
      </c>
      <c r="E924" t="s">
        <v>1447</v>
      </c>
      <c r="F924" t="s">
        <v>2133</v>
      </c>
      <c r="G924" t="s">
        <v>1806</v>
      </c>
      <c r="H924" t="s">
        <v>2279</v>
      </c>
      <c r="I924" t="s">
        <v>2279</v>
      </c>
      <c r="J924">
        <v>207.96</v>
      </c>
      <c r="K924" t="s">
        <v>2279</v>
      </c>
      <c r="L924" t="s">
        <v>2279</v>
      </c>
      <c r="M924" t="s">
        <v>2279</v>
      </c>
      <c r="N924" t="s">
        <v>2279</v>
      </c>
      <c r="O924" s="190" t="str">
        <f>"["&amp;$C924&amp;"]["&amp;$D924&amp;"]["&amp;$F924&amp;"]"</f>
        <v>[S09_InstallationOperatorFeesPermits][1][FeesAmount]</v>
      </c>
    </row>
    <row r="925" spans="1:15" x14ac:dyDescent="0.3">
      <c r="A925" t="s">
        <v>2277</v>
      </c>
      <c r="B925" t="s">
        <v>2130</v>
      </c>
      <c r="C925" t="s">
        <v>2132</v>
      </c>
      <c r="D925">
        <v>2</v>
      </c>
      <c r="E925" t="s">
        <v>1447</v>
      </c>
      <c r="F925" t="s">
        <v>2133</v>
      </c>
      <c r="G925" t="s">
        <v>1806</v>
      </c>
      <c r="H925" t="s">
        <v>2279</v>
      </c>
      <c r="I925" t="s">
        <v>2279</v>
      </c>
      <c r="J925">
        <v>103.97</v>
      </c>
      <c r="K925" t="s">
        <v>2279</v>
      </c>
      <c r="L925" t="s">
        <v>2279</v>
      </c>
      <c r="M925" t="s">
        <v>2279</v>
      </c>
      <c r="N925" t="s">
        <v>2279</v>
      </c>
      <c r="O925" s="190" t="str">
        <f>"["&amp;$C925&amp;"]["&amp;$D925&amp;"]["&amp;$F925&amp;"]"</f>
        <v>[S09_InstallationOperatorFeesPermits][2][FeesAmount]</v>
      </c>
    </row>
    <row r="926" spans="1:15" x14ac:dyDescent="0.3">
      <c r="A926" t="s">
        <v>2277</v>
      </c>
      <c r="B926" t="s">
        <v>2130</v>
      </c>
      <c r="C926" t="s">
        <v>2132</v>
      </c>
      <c r="D926">
        <v>5</v>
      </c>
      <c r="E926" t="s">
        <v>1447</v>
      </c>
      <c r="F926" t="s">
        <v>2133</v>
      </c>
      <c r="G926" t="s">
        <v>1806</v>
      </c>
      <c r="H926" t="s">
        <v>2279</v>
      </c>
      <c r="I926" t="s">
        <v>2279</v>
      </c>
      <c r="J926">
        <v>1455.69</v>
      </c>
      <c r="K926" t="s">
        <v>2279</v>
      </c>
      <c r="L926" t="s">
        <v>2279</v>
      </c>
      <c r="M926" t="s">
        <v>2279</v>
      </c>
      <c r="N926" t="s">
        <v>2279</v>
      </c>
      <c r="O926" s="190" t="str">
        <f>"["&amp;$C926&amp;"]["&amp;$D926&amp;"]["&amp;$F926&amp;"]"</f>
        <v>[S09_InstallationOperatorFeesPermits][5][FeesAmount]</v>
      </c>
    </row>
    <row r="927" spans="1:15" x14ac:dyDescent="0.3">
      <c r="A927" t="s">
        <v>2277</v>
      </c>
      <c r="B927" t="s">
        <v>2136</v>
      </c>
      <c r="C927" t="s">
        <v>2137</v>
      </c>
      <c r="D927">
        <v>0</v>
      </c>
      <c r="E927" t="s">
        <v>1447</v>
      </c>
      <c r="F927" t="s">
        <v>2137</v>
      </c>
      <c r="G927" t="s">
        <v>1759</v>
      </c>
      <c r="H927" t="s">
        <v>2279</v>
      </c>
      <c r="I927" t="s">
        <v>2279</v>
      </c>
      <c r="J927" t="s">
        <v>2279</v>
      </c>
      <c r="K927" t="s">
        <v>2279</v>
      </c>
      <c r="L927" t="s">
        <v>1419</v>
      </c>
      <c r="M927" t="s">
        <v>2279</v>
      </c>
      <c r="N927" t="s">
        <v>2279</v>
      </c>
      <c r="O927" s="190" t="str">
        <f>"["&amp;$C927&amp;"]["&amp;$D927&amp;"]["&amp;$F927&amp;"]"</f>
        <v>[AircraftOperatorFees][0][AircraftOperatorFees]</v>
      </c>
    </row>
    <row r="928" spans="1:15" x14ac:dyDescent="0.3">
      <c r="A928" t="s">
        <v>2277</v>
      </c>
      <c r="B928" t="s">
        <v>2136</v>
      </c>
      <c r="C928" t="s">
        <v>2138</v>
      </c>
      <c r="D928">
        <v>1</v>
      </c>
      <c r="E928" t="s">
        <v>1447</v>
      </c>
      <c r="F928" t="s">
        <v>2133</v>
      </c>
      <c r="G928" t="s">
        <v>1806</v>
      </c>
      <c r="H928" t="s">
        <v>2279</v>
      </c>
      <c r="I928" t="s">
        <v>2279</v>
      </c>
      <c r="J928">
        <v>279.14</v>
      </c>
      <c r="K928" t="s">
        <v>2279</v>
      </c>
      <c r="L928" t="s">
        <v>2279</v>
      </c>
      <c r="M928" t="s">
        <v>2279</v>
      </c>
      <c r="N928" t="s">
        <v>2279</v>
      </c>
      <c r="O928" s="190" t="str">
        <f>"["&amp;$C928&amp;"]["&amp;$D928&amp;"]["&amp;$F928&amp;"]"</f>
        <v>[S09_AircraftOperatorFeesMonitoringPlans][1][FeesAmount]</v>
      </c>
    </row>
    <row r="929" spans="1:15" x14ac:dyDescent="0.3">
      <c r="A929" t="s">
        <v>2277</v>
      </c>
      <c r="B929" t="s">
        <v>2136</v>
      </c>
      <c r="C929" t="s">
        <v>2138</v>
      </c>
      <c r="D929">
        <v>2</v>
      </c>
      <c r="E929" t="s">
        <v>1447</v>
      </c>
      <c r="F929" t="s">
        <v>2133</v>
      </c>
      <c r="G929" t="s">
        <v>1806</v>
      </c>
      <c r="H929" t="s">
        <v>2279</v>
      </c>
      <c r="I929" t="s">
        <v>2279</v>
      </c>
      <c r="J929">
        <v>139.57</v>
      </c>
      <c r="K929" t="s">
        <v>2279</v>
      </c>
      <c r="L929" t="s">
        <v>2279</v>
      </c>
      <c r="M929" t="s">
        <v>2279</v>
      </c>
      <c r="N929" t="s">
        <v>2279</v>
      </c>
      <c r="O929" s="190" t="str">
        <f>"["&amp;$C929&amp;"]["&amp;$D929&amp;"]["&amp;$F929&amp;"]"</f>
        <v>[S09_AircraftOperatorFeesMonitoringPlans][2][FeesAmount]</v>
      </c>
    </row>
    <row r="930" spans="1:15" x14ac:dyDescent="0.3">
      <c r="A930" t="s">
        <v>2277</v>
      </c>
      <c r="B930" t="s">
        <v>2136</v>
      </c>
      <c r="C930" t="s">
        <v>2138</v>
      </c>
      <c r="D930">
        <v>3</v>
      </c>
      <c r="E930" t="s">
        <v>1447</v>
      </c>
      <c r="F930" t="s">
        <v>2133</v>
      </c>
      <c r="G930" t="s">
        <v>1806</v>
      </c>
      <c r="H930" t="s">
        <v>2279</v>
      </c>
      <c r="I930" t="s">
        <v>2279</v>
      </c>
      <c r="J930">
        <v>279.14</v>
      </c>
      <c r="K930" t="s">
        <v>2279</v>
      </c>
      <c r="L930" t="s">
        <v>2279</v>
      </c>
      <c r="M930" t="s">
        <v>2279</v>
      </c>
      <c r="N930" t="s">
        <v>2279</v>
      </c>
      <c r="O930" s="190" t="str">
        <f>"["&amp;$C930&amp;"]["&amp;$D930&amp;"]["&amp;$F930&amp;"]"</f>
        <v>[S09_AircraftOperatorFeesMonitoringPlans][3][FeesAmount]</v>
      </c>
    </row>
    <row r="931" spans="1:15" x14ac:dyDescent="0.3">
      <c r="A931" t="s">
        <v>2277</v>
      </c>
      <c r="B931" t="s">
        <v>2136</v>
      </c>
      <c r="C931" t="s">
        <v>2138</v>
      </c>
      <c r="D931">
        <v>4</v>
      </c>
      <c r="E931" t="s">
        <v>1447</v>
      </c>
      <c r="F931" t="s">
        <v>2133</v>
      </c>
      <c r="G931" t="s">
        <v>1806</v>
      </c>
      <c r="H931" t="s">
        <v>2279</v>
      </c>
      <c r="I931" t="s">
        <v>2279</v>
      </c>
      <c r="J931">
        <v>139.57</v>
      </c>
      <c r="K931" t="s">
        <v>2279</v>
      </c>
      <c r="L931" t="s">
        <v>2279</v>
      </c>
      <c r="M931" t="s">
        <v>2279</v>
      </c>
      <c r="N931" t="s">
        <v>2279</v>
      </c>
      <c r="O931" s="190" t="str">
        <f>"["&amp;$C931&amp;"]["&amp;$D931&amp;"]["&amp;$F931&amp;"]"</f>
        <v>[S09_AircraftOperatorFeesMonitoringPlans][4][FeesAmount]</v>
      </c>
    </row>
    <row r="932" spans="1:15" x14ac:dyDescent="0.3">
      <c r="A932" t="s">
        <v>2277</v>
      </c>
      <c r="B932" t="s">
        <v>2136</v>
      </c>
      <c r="C932" t="s">
        <v>2140</v>
      </c>
      <c r="D932">
        <v>1</v>
      </c>
      <c r="E932" t="s">
        <v>1447</v>
      </c>
      <c r="F932" t="s">
        <v>2141</v>
      </c>
      <c r="G932" t="s">
        <v>1741</v>
      </c>
      <c r="H932" t="s">
        <v>2383</v>
      </c>
      <c r="I932" t="s">
        <v>2279</v>
      </c>
      <c r="J932" t="s">
        <v>2279</v>
      </c>
      <c r="K932" t="s">
        <v>2279</v>
      </c>
      <c r="L932" t="s">
        <v>2279</v>
      </c>
      <c r="M932" t="s">
        <v>2279</v>
      </c>
      <c r="N932" t="s">
        <v>2279</v>
      </c>
      <c r="O932" s="190" t="str">
        <f>"["&amp;$C932&amp;"]["&amp;$D932&amp;"]["&amp;$F932&amp;"]"</f>
        <v>[S09_RegistryAccountOneOffFees][1][OneOffFeeReason]</v>
      </c>
    </row>
    <row r="933" spans="1:15" x14ac:dyDescent="0.3">
      <c r="A933" t="s">
        <v>2277</v>
      </c>
      <c r="B933" t="s">
        <v>2136</v>
      </c>
      <c r="C933" t="s">
        <v>2140</v>
      </c>
      <c r="D933">
        <v>2</v>
      </c>
      <c r="E933" t="s">
        <v>1447</v>
      </c>
      <c r="F933" t="s">
        <v>2141</v>
      </c>
      <c r="G933" t="s">
        <v>1741</v>
      </c>
      <c r="H933" t="s">
        <v>2384</v>
      </c>
      <c r="I933" t="s">
        <v>2279</v>
      </c>
      <c r="J933" t="s">
        <v>2279</v>
      </c>
      <c r="K933" t="s">
        <v>2279</v>
      </c>
      <c r="L933" t="s">
        <v>2279</v>
      </c>
      <c r="M933" t="s">
        <v>2279</v>
      </c>
      <c r="N933" t="s">
        <v>2279</v>
      </c>
      <c r="O933" s="190" t="str">
        <f>"["&amp;$C933&amp;"]["&amp;$D933&amp;"]["&amp;$F933&amp;"]"</f>
        <v>[S09_RegistryAccountOneOffFees][2][OneOffFeeReason]</v>
      </c>
    </row>
    <row r="934" spans="1:15" x14ac:dyDescent="0.3">
      <c r="A934" t="s">
        <v>2277</v>
      </c>
      <c r="B934" t="s">
        <v>2136</v>
      </c>
      <c r="C934" t="s">
        <v>2140</v>
      </c>
      <c r="D934">
        <v>1</v>
      </c>
      <c r="E934" t="s">
        <v>1447</v>
      </c>
      <c r="F934" t="s">
        <v>2142</v>
      </c>
      <c r="G934" t="s">
        <v>1806</v>
      </c>
      <c r="H934" t="s">
        <v>2279</v>
      </c>
      <c r="I934" t="s">
        <v>2279</v>
      </c>
      <c r="J934">
        <v>375.34</v>
      </c>
      <c r="K934" t="s">
        <v>2279</v>
      </c>
      <c r="L934" t="s">
        <v>2279</v>
      </c>
      <c r="M934" t="s">
        <v>2279</v>
      </c>
      <c r="N934" t="s">
        <v>2279</v>
      </c>
      <c r="O934" s="190" t="str">
        <f>"["&amp;$C934&amp;"]["&amp;$D934&amp;"]["&amp;$F934&amp;"]"</f>
        <v>[S09_RegistryAccountOneOffFees][1][OneOffFeeAmount]</v>
      </c>
    </row>
    <row r="935" spans="1:15" x14ac:dyDescent="0.3">
      <c r="A935" t="s">
        <v>2277</v>
      </c>
      <c r="B935" t="s">
        <v>2136</v>
      </c>
      <c r="C935" t="s">
        <v>2140</v>
      </c>
      <c r="D935">
        <v>2</v>
      </c>
      <c r="E935" t="s">
        <v>1447</v>
      </c>
      <c r="F935" t="s">
        <v>2142</v>
      </c>
      <c r="G935" t="s">
        <v>1806</v>
      </c>
      <c r="H935" t="s">
        <v>2279</v>
      </c>
      <c r="I935" t="s">
        <v>2279</v>
      </c>
      <c r="J935">
        <v>750.68</v>
      </c>
      <c r="K935" t="s">
        <v>2279</v>
      </c>
      <c r="L935" t="s">
        <v>2279</v>
      </c>
      <c r="M935" t="s">
        <v>2279</v>
      </c>
      <c r="N935" t="s">
        <v>2279</v>
      </c>
      <c r="O935" s="190" t="str">
        <f>"["&amp;$C935&amp;"]["&amp;$D935&amp;"]["&amp;$F935&amp;"]"</f>
        <v>[S09_RegistryAccountOneOffFees][2][OneOffFeeAmount]</v>
      </c>
    </row>
    <row r="936" spans="1:15" x14ac:dyDescent="0.3">
      <c r="A936" t="s">
        <v>2277</v>
      </c>
      <c r="B936" t="s">
        <v>2136</v>
      </c>
      <c r="C936" t="s">
        <v>2143</v>
      </c>
      <c r="D936">
        <v>1</v>
      </c>
      <c r="E936" t="s">
        <v>1447</v>
      </c>
      <c r="F936" t="s">
        <v>2144</v>
      </c>
      <c r="G936" t="s">
        <v>1741</v>
      </c>
      <c r="H936" t="s">
        <v>2385</v>
      </c>
      <c r="I936" t="s">
        <v>2279</v>
      </c>
      <c r="J936" t="s">
        <v>2279</v>
      </c>
      <c r="K936" t="s">
        <v>2279</v>
      </c>
      <c r="L936" t="s">
        <v>2279</v>
      </c>
      <c r="M936" t="s">
        <v>2279</v>
      </c>
      <c r="N936" t="s">
        <v>2279</v>
      </c>
      <c r="O936" s="190" t="str">
        <f>"["&amp;$C936&amp;"]["&amp;$D936&amp;"]["&amp;$F936&amp;"]"</f>
        <v>[S09_RegistryAccountAnnualFees][1][AnnualFeeReason]</v>
      </c>
    </row>
    <row r="937" spans="1:15" x14ac:dyDescent="0.3">
      <c r="A937" t="s">
        <v>2277</v>
      </c>
      <c r="B937" t="s">
        <v>2136</v>
      </c>
      <c r="C937" t="s">
        <v>2143</v>
      </c>
      <c r="D937">
        <v>2</v>
      </c>
      <c r="E937" t="s">
        <v>1447</v>
      </c>
      <c r="F937" t="s">
        <v>2144</v>
      </c>
      <c r="G937" t="s">
        <v>1741</v>
      </c>
      <c r="H937" t="s">
        <v>2386</v>
      </c>
      <c r="I937" t="s">
        <v>2279</v>
      </c>
      <c r="J937" t="s">
        <v>2279</v>
      </c>
      <c r="K937" t="s">
        <v>2279</v>
      </c>
      <c r="L937" t="s">
        <v>2279</v>
      </c>
      <c r="M937" t="s">
        <v>2279</v>
      </c>
      <c r="N937" t="s">
        <v>2279</v>
      </c>
      <c r="O937" s="190" t="str">
        <f>"["&amp;$C937&amp;"]["&amp;$D937&amp;"]["&amp;$F937&amp;"]"</f>
        <v>[S09_RegistryAccountAnnualFees][2][AnnualFeeReason]</v>
      </c>
    </row>
    <row r="938" spans="1:15" x14ac:dyDescent="0.3">
      <c r="A938" t="s">
        <v>2277</v>
      </c>
      <c r="B938" t="s">
        <v>2136</v>
      </c>
      <c r="C938" t="s">
        <v>2143</v>
      </c>
      <c r="D938">
        <v>1</v>
      </c>
      <c r="E938" t="s">
        <v>1447</v>
      </c>
      <c r="F938" t="s">
        <v>2145</v>
      </c>
      <c r="G938" t="s">
        <v>1806</v>
      </c>
      <c r="H938" t="s">
        <v>2279</v>
      </c>
      <c r="I938" t="s">
        <v>2279</v>
      </c>
      <c r="J938">
        <v>107.24</v>
      </c>
      <c r="K938" t="s">
        <v>2279</v>
      </c>
      <c r="L938" t="s">
        <v>2279</v>
      </c>
      <c r="M938" t="s">
        <v>2279</v>
      </c>
      <c r="N938" t="s">
        <v>2279</v>
      </c>
      <c r="O938" s="190" t="str">
        <f>"["&amp;$C938&amp;"]["&amp;$D938&amp;"]["&amp;$F938&amp;"]"</f>
        <v>[S09_RegistryAccountAnnualFees][1][AnnualFeeAmount]</v>
      </c>
    </row>
    <row r="939" spans="1:15" x14ac:dyDescent="0.3">
      <c r="A939" t="s">
        <v>2277</v>
      </c>
      <c r="B939" t="s">
        <v>2136</v>
      </c>
      <c r="C939" t="s">
        <v>2143</v>
      </c>
      <c r="D939">
        <v>2</v>
      </c>
      <c r="E939" t="s">
        <v>1447</v>
      </c>
      <c r="F939" t="s">
        <v>2145</v>
      </c>
      <c r="G939" t="s">
        <v>1806</v>
      </c>
      <c r="H939" t="s">
        <v>2279</v>
      </c>
      <c r="I939" t="s">
        <v>2279</v>
      </c>
      <c r="J939">
        <v>214.48</v>
      </c>
      <c r="K939" t="s">
        <v>2279</v>
      </c>
      <c r="L939" t="s">
        <v>2279</v>
      </c>
      <c r="M939" t="s">
        <v>2279</v>
      </c>
      <c r="N939" t="s">
        <v>2279</v>
      </c>
      <c r="O939" s="190" t="str">
        <f>"["&amp;$C939&amp;"]["&amp;$D939&amp;"]["&amp;$F939&amp;"]"</f>
        <v>[S09_RegistryAccountAnnualFees][2][AnnualFeeAmount]</v>
      </c>
    </row>
    <row r="940" spans="1:15" x14ac:dyDescent="0.3">
      <c r="A940" t="s">
        <v>2277</v>
      </c>
      <c r="B940" t="s">
        <v>2146</v>
      </c>
      <c r="C940" t="s">
        <v>2147</v>
      </c>
      <c r="D940">
        <v>1</v>
      </c>
      <c r="E940" t="s">
        <v>1447</v>
      </c>
      <c r="F940" t="s">
        <v>2148</v>
      </c>
      <c r="G940" t="s">
        <v>1759</v>
      </c>
      <c r="H940" t="s">
        <v>2279</v>
      </c>
      <c r="I940" t="s">
        <v>2279</v>
      </c>
      <c r="J940" t="s">
        <v>2279</v>
      </c>
      <c r="K940" t="s">
        <v>2279</v>
      </c>
      <c r="L940" t="s">
        <v>1447</v>
      </c>
      <c r="M940" t="s">
        <v>2279</v>
      </c>
      <c r="N940" t="s">
        <v>2279</v>
      </c>
      <c r="O940" s="190" t="str">
        <f>"["&amp;$C940&amp;"]["&amp;$D940&amp;"]["&amp;$F940&amp;"]"</f>
        <v>[S10_InstallationsComplianceMeasures][1][ComplianceMeasuresYesNo]</v>
      </c>
    </row>
    <row r="941" spans="1:15" x14ac:dyDescent="0.3">
      <c r="A941" t="s">
        <v>2277</v>
      </c>
      <c r="B941" t="s">
        <v>2146</v>
      </c>
      <c r="C941" t="s">
        <v>2147</v>
      </c>
      <c r="D941">
        <v>2</v>
      </c>
      <c r="E941" t="s">
        <v>1447</v>
      </c>
      <c r="F941" t="s">
        <v>2148</v>
      </c>
      <c r="G941" t="s">
        <v>1759</v>
      </c>
      <c r="H941" t="s">
        <v>2279</v>
      </c>
      <c r="I941" t="s">
        <v>2279</v>
      </c>
      <c r="J941" t="s">
        <v>2279</v>
      </c>
      <c r="K941" t="s">
        <v>2279</v>
      </c>
      <c r="L941" t="s">
        <v>1447</v>
      </c>
      <c r="M941" t="s">
        <v>2279</v>
      </c>
      <c r="N941" t="s">
        <v>2279</v>
      </c>
      <c r="O941" s="190" t="str">
        <f>"["&amp;$C941&amp;"]["&amp;$D941&amp;"]["&amp;$F941&amp;"]"</f>
        <v>[S10_InstallationsComplianceMeasures][2][ComplianceMeasuresYesNo]</v>
      </c>
    </row>
    <row r="942" spans="1:15" x14ac:dyDescent="0.3">
      <c r="A942" t="s">
        <v>2277</v>
      </c>
      <c r="B942" t="s">
        <v>2146</v>
      </c>
      <c r="C942" t="s">
        <v>2147</v>
      </c>
      <c r="D942">
        <v>3</v>
      </c>
      <c r="E942" t="s">
        <v>1447</v>
      </c>
      <c r="F942" t="s">
        <v>2148</v>
      </c>
      <c r="G942" t="s">
        <v>1759</v>
      </c>
      <c r="H942" t="s">
        <v>2279</v>
      </c>
      <c r="I942" t="s">
        <v>2279</v>
      </c>
      <c r="J942" t="s">
        <v>2279</v>
      </c>
      <c r="K942" t="s">
        <v>2279</v>
      </c>
      <c r="L942" t="s">
        <v>1447</v>
      </c>
      <c r="M942" t="s">
        <v>2279</v>
      </c>
      <c r="N942" t="s">
        <v>2279</v>
      </c>
      <c r="O942" s="190" t="str">
        <f>"["&amp;$C942&amp;"]["&amp;$D942&amp;"]["&amp;$F942&amp;"]"</f>
        <v>[S10_InstallationsComplianceMeasures][3][ComplianceMeasuresYesNo]</v>
      </c>
    </row>
    <row r="943" spans="1:15" x14ac:dyDescent="0.3">
      <c r="A943" t="s">
        <v>2277</v>
      </c>
      <c r="B943" t="s">
        <v>2146</v>
      </c>
      <c r="C943" t="s">
        <v>2147</v>
      </c>
      <c r="D943">
        <v>4</v>
      </c>
      <c r="E943" t="s">
        <v>1447</v>
      </c>
      <c r="F943" t="s">
        <v>2148</v>
      </c>
      <c r="G943" t="s">
        <v>1759</v>
      </c>
      <c r="H943" t="s">
        <v>2279</v>
      </c>
      <c r="I943" t="s">
        <v>2279</v>
      </c>
      <c r="J943" t="s">
        <v>2279</v>
      </c>
      <c r="K943" t="s">
        <v>2279</v>
      </c>
      <c r="L943" t="s">
        <v>1447</v>
      </c>
      <c r="M943" t="s">
        <v>2279</v>
      </c>
      <c r="N943" t="s">
        <v>2279</v>
      </c>
      <c r="O943" s="190" t="str">
        <f>"["&amp;$C943&amp;"]["&amp;$D943&amp;"]["&amp;$F943&amp;"]"</f>
        <v>[S10_InstallationsComplianceMeasures][4][ComplianceMeasuresYesNo]</v>
      </c>
    </row>
    <row r="944" spans="1:15" x14ac:dyDescent="0.3">
      <c r="A944" t="s">
        <v>2277</v>
      </c>
      <c r="B944" t="s">
        <v>2146</v>
      </c>
      <c r="C944" t="s">
        <v>2147</v>
      </c>
      <c r="D944">
        <v>2</v>
      </c>
      <c r="E944" t="s">
        <v>1447</v>
      </c>
      <c r="F944" t="s">
        <v>2149</v>
      </c>
      <c r="G944" t="s">
        <v>1791</v>
      </c>
      <c r="H944" t="s">
        <v>2279</v>
      </c>
      <c r="I944" t="s">
        <v>2279</v>
      </c>
      <c r="J944" t="s">
        <v>2279</v>
      </c>
      <c r="K944" t="s">
        <v>2387</v>
      </c>
      <c r="L944" t="s">
        <v>2279</v>
      </c>
      <c r="M944" t="s">
        <v>2279</v>
      </c>
      <c r="N944" t="s">
        <v>2279</v>
      </c>
      <c r="O944" s="190" t="str">
        <f>"["&amp;$C944&amp;"]["&amp;$D944&amp;"]["&amp;$F944&amp;"]"</f>
        <v>[S10_InstallationsComplianceMeasures][2][ComplianceMeasuresComment]</v>
      </c>
    </row>
    <row r="945" spans="1:15" x14ac:dyDescent="0.3">
      <c r="A945" t="s">
        <v>2277</v>
      </c>
      <c r="B945" t="s">
        <v>2151</v>
      </c>
      <c r="C945" t="s">
        <v>2152</v>
      </c>
      <c r="D945">
        <v>1</v>
      </c>
      <c r="E945" t="s">
        <v>1447</v>
      </c>
      <c r="F945" t="s">
        <v>2111</v>
      </c>
      <c r="G945" t="s">
        <v>1806</v>
      </c>
      <c r="H945" t="s">
        <v>2279</v>
      </c>
      <c r="I945" t="s">
        <v>2279</v>
      </c>
      <c r="J945">
        <v>24000</v>
      </c>
      <c r="K945" t="s">
        <v>2279</v>
      </c>
      <c r="L945" t="s">
        <v>2279</v>
      </c>
      <c r="M945" t="s">
        <v>2279</v>
      </c>
      <c r="N945" t="s">
        <v>2279</v>
      </c>
      <c r="O945" s="190" t="str">
        <f>"["&amp;$C945&amp;"]["&amp;$D945&amp;"]["&amp;$F945&amp;"]"</f>
        <v>[S10_InstallationsInfringementPenalties][1][MinFine]</v>
      </c>
    </row>
    <row r="946" spans="1:15" x14ac:dyDescent="0.3">
      <c r="A946" t="s">
        <v>2277</v>
      </c>
      <c r="B946" t="s">
        <v>2151</v>
      </c>
      <c r="C946" t="s">
        <v>2152</v>
      </c>
      <c r="D946">
        <v>2</v>
      </c>
      <c r="E946" t="s">
        <v>1447</v>
      </c>
      <c r="F946" t="s">
        <v>2111</v>
      </c>
      <c r="G946" t="s">
        <v>1806</v>
      </c>
      <c r="H946" t="s">
        <v>2279</v>
      </c>
      <c r="I946" t="s">
        <v>2279</v>
      </c>
      <c r="J946">
        <v>24000</v>
      </c>
      <c r="K946" t="s">
        <v>2279</v>
      </c>
      <c r="L946" t="s">
        <v>2279</v>
      </c>
      <c r="M946" t="s">
        <v>2279</v>
      </c>
      <c r="N946" t="s">
        <v>2279</v>
      </c>
      <c r="O946" s="190" t="str">
        <f>"["&amp;$C946&amp;"]["&amp;$D946&amp;"]["&amp;$F946&amp;"]"</f>
        <v>[S10_InstallationsInfringementPenalties][2][MinFine]</v>
      </c>
    </row>
    <row r="947" spans="1:15" x14ac:dyDescent="0.3">
      <c r="A947" t="s">
        <v>2277</v>
      </c>
      <c r="B947" t="s">
        <v>2151</v>
      </c>
      <c r="C947" t="s">
        <v>2152</v>
      </c>
      <c r="D947">
        <v>3</v>
      </c>
      <c r="E947" t="s">
        <v>1447</v>
      </c>
      <c r="F947" t="s">
        <v>2111</v>
      </c>
      <c r="G947" t="s">
        <v>1806</v>
      </c>
      <c r="H947" t="s">
        <v>2279</v>
      </c>
      <c r="I947" t="s">
        <v>2279</v>
      </c>
      <c r="J947">
        <v>24000</v>
      </c>
      <c r="K947" t="s">
        <v>2279</v>
      </c>
      <c r="L947" t="s">
        <v>2279</v>
      </c>
      <c r="M947" t="s">
        <v>2279</v>
      </c>
      <c r="N947" t="s">
        <v>2279</v>
      </c>
      <c r="O947" s="190" t="str">
        <f>"["&amp;$C947&amp;"]["&amp;$D947&amp;"]["&amp;$F947&amp;"]"</f>
        <v>[S10_InstallationsInfringementPenalties][3][MinFine]</v>
      </c>
    </row>
    <row r="948" spans="1:15" x14ac:dyDescent="0.3">
      <c r="A948" t="s">
        <v>2277</v>
      </c>
      <c r="B948" t="s">
        <v>2151</v>
      </c>
      <c r="C948" t="s">
        <v>2152</v>
      </c>
      <c r="D948">
        <v>6</v>
      </c>
      <c r="E948" t="s">
        <v>1447</v>
      </c>
      <c r="F948" t="s">
        <v>2111</v>
      </c>
      <c r="G948" t="s">
        <v>1806</v>
      </c>
      <c r="H948" t="s">
        <v>2279</v>
      </c>
      <c r="I948" t="s">
        <v>2279</v>
      </c>
      <c r="J948">
        <v>2000</v>
      </c>
      <c r="K948" t="s">
        <v>2279</v>
      </c>
      <c r="L948" t="s">
        <v>2279</v>
      </c>
      <c r="M948" t="s">
        <v>2279</v>
      </c>
      <c r="N948" t="s">
        <v>2279</v>
      </c>
      <c r="O948" s="190" t="str">
        <f>"["&amp;$C948&amp;"]["&amp;$D948&amp;"]["&amp;$F948&amp;"]"</f>
        <v>[S10_InstallationsInfringementPenalties][6][MinFine]</v>
      </c>
    </row>
    <row r="949" spans="1:15" x14ac:dyDescent="0.3">
      <c r="A949" t="s">
        <v>2277</v>
      </c>
      <c r="B949" t="s">
        <v>2151</v>
      </c>
      <c r="C949" t="s">
        <v>2152</v>
      </c>
      <c r="D949">
        <v>7</v>
      </c>
      <c r="E949" t="s">
        <v>1447</v>
      </c>
      <c r="F949" t="s">
        <v>2111</v>
      </c>
      <c r="G949" t="s">
        <v>1806</v>
      </c>
      <c r="H949" t="s">
        <v>2279</v>
      </c>
      <c r="I949" t="s">
        <v>2279</v>
      </c>
      <c r="J949">
        <v>12000</v>
      </c>
      <c r="K949" t="s">
        <v>2279</v>
      </c>
      <c r="L949" t="s">
        <v>2279</v>
      </c>
      <c r="M949" t="s">
        <v>2279</v>
      </c>
      <c r="N949" t="s">
        <v>2279</v>
      </c>
      <c r="O949" s="190" t="str">
        <f>"["&amp;$C949&amp;"]["&amp;$D949&amp;"]["&amp;$F949&amp;"]"</f>
        <v>[S10_InstallationsInfringementPenalties][7][MinFine]</v>
      </c>
    </row>
    <row r="950" spans="1:15" x14ac:dyDescent="0.3">
      <c r="A950" t="s">
        <v>2277</v>
      </c>
      <c r="B950" t="s">
        <v>2151</v>
      </c>
      <c r="C950" t="s">
        <v>2152</v>
      </c>
      <c r="D950">
        <v>8</v>
      </c>
      <c r="E950" t="s">
        <v>1447</v>
      </c>
      <c r="F950" t="s">
        <v>2111</v>
      </c>
      <c r="G950" t="s">
        <v>1806</v>
      </c>
      <c r="H950" t="s">
        <v>2279</v>
      </c>
      <c r="I950" t="s">
        <v>2279</v>
      </c>
      <c r="J950">
        <v>12000</v>
      </c>
      <c r="K950" t="s">
        <v>2279</v>
      </c>
      <c r="L950" t="s">
        <v>2279</v>
      </c>
      <c r="M950" t="s">
        <v>2279</v>
      </c>
      <c r="N950" t="s">
        <v>2279</v>
      </c>
      <c r="O950" s="190" t="str">
        <f>"["&amp;$C950&amp;"]["&amp;$D950&amp;"]["&amp;$F950&amp;"]"</f>
        <v>[S10_InstallationsInfringementPenalties][8][MinFine]</v>
      </c>
    </row>
    <row r="951" spans="1:15" x14ac:dyDescent="0.3">
      <c r="A951" t="s">
        <v>2277</v>
      </c>
      <c r="B951" t="s">
        <v>2151</v>
      </c>
      <c r="C951" t="s">
        <v>2152</v>
      </c>
      <c r="D951">
        <v>9</v>
      </c>
      <c r="E951" t="s">
        <v>1447</v>
      </c>
      <c r="F951" t="s">
        <v>2111</v>
      </c>
      <c r="G951" t="s">
        <v>1806</v>
      </c>
      <c r="H951" t="s">
        <v>2279</v>
      </c>
      <c r="I951" t="s">
        <v>2279</v>
      </c>
      <c r="J951">
        <v>2000</v>
      </c>
      <c r="K951" t="s">
        <v>2279</v>
      </c>
      <c r="L951" t="s">
        <v>2279</v>
      </c>
      <c r="M951" t="s">
        <v>2279</v>
      </c>
      <c r="N951" t="s">
        <v>2279</v>
      </c>
      <c r="O951" s="190" t="str">
        <f>"["&amp;$C951&amp;"]["&amp;$D951&amp;"]["&amp;$F951&amp;"]"</f>
        <v>[S10_InstallationsInfringementPenalties][9][MinFine]</v>
      </c>
    </row>
    <row r="952" spans="1:15" x14ac:dyDescent="0.3">
      <c r="A952" t="s">
        <v>2277</v>
      </c>
      <c r="B952" t="s">
        <v>2151</v>
      </c>
      <c r="C952" t="s">
        <v>2152</v>
      </c>
      <c r="D952">
        <v>10</v>
      </c>
      <c r="E952" t="s">
        <v>1447</v>
      </c>
      <c r="F952" t="s">
        <v>2111</v>
      </c>
      <c r="G952" t="s">
        <v>1806</v>
      </c>
      <c r="H952" t="s">
        <v>2279</v>
      </c>
      <c r="I952" t="s">
        <v>2279</v>
      </c>
      <c r="J952">
        <v>2000</v>
      </c>
      <c r="K952" t="s">
        <v>2279</v>
      </c>
      <c r="L952" t="s">
        <v>2279</v>
      </c>
      <c r="M952" t="s">
        <v>2279</v>
      </c>
      <c r="N952" t="s">
        <v>2279</v>
      </c>
      <c r="O952" s="190" t="str">
        <f>"["&amp;$C952&amp;"]["&amp;$D952&amp;"]["&amp;$F952&amp;"]"</f>
        <v>[S10_InstallationsInfringementPenalties][10][MinFine]</v>
      </c>
    </row>
    <row r="953" spans="1:15" x14ac:dyDescent="0.3">
      <c r="A953" t="s">
        <v>2277</v>
      </c>
      <c r="B953" t="s">
        <v>2151</v>
      </c>
      <c r="C953" t="s">
        <v>2152</v>
      </c>
      <c r="D953">
        <v>12</v>
      </c>
      <c r="E953" t="s">
        <v>1447</v>
      </c>
      <c r="F953" t="s">
        <v>2111</v>
      </c>
      <c r="G953" t="s">
        <v>1806</v>
      </c>
      <c r="H953" t="s">
        <v>2279</v>
      </c>
      <c r="I953" t="s">
        <v>2279</v>
      </c>
      <c r="J953">
        <v>24000</v>
      </c>
      <c r="K953" t="s">
        <v>2279</v>
      </c>
      <c r="L953" t="s">
        <v>2279</v>
      </c>
      <c r="M953" t="s">
        <v>2279</v>
      </c>
      <c r="N953" t="s">
        <v>2279</v>
      </c>
      <c r="O953" s="190" t="str">
        <f>"["&amp;$C953&amp;"]["&amp;$D953&amp;"]["&amp;$F953&amp;"]"</f>
        <v>[S10_InstallationsInfringementPenalties][12][MinFine]</v>
      </c>
    </row>
    <row r="954" spans="1:15" x14ac:dyDescent="0.3">
      <c r="A954" t="s">
        <v>2277</v>
      </c>
      <c r="B954" t="s">
        <v>2151</v>
      </c>
      <c r="C954" t="s">
        <v>2152</v>
      </c>
      <c r="D954">
        <v>13</v>
      </c>
      <c r="E954" t="s">
        <v>1447</v>
      </c>
      <c r="F954" t="s">
        <v>2111</v>
      </c>
      <c r="G954" t="s">
        <v>1806</v>
      </c>
      <c r="H954" t="s">
        <v>2279</v>
      </c>
      <c r="I954" t="s">
        <v>2279</v>
      </c>
      <c r="J954">
        <v>12000</v>
      </c>
      <c r="K954" t="s">
        <v>2279</v>
      </c>
      <c r="L954" t="s">
        <v>2279</v>
      </c>
      <c r="M954" t="s">
        <v>2279</v>
      </c>
      <c r="N954" t="s">
        <v>2279</v>
      </c>
      <c r="O954" s="190" t="str">
        <f>"["&amp;$C954&amp;"]["&amp;$D954&amp;"]["&amp;$F954&amp;"]"</f>
        <v>[S10_InstallationsInfringementPenalties][13][MinFine]</v>
      </c>
    </row>
    <row r="955" spans="1:15" x14ac:dyDescent="0.3">
      <c r="A955" t="s">
        <v>2277</v>
      </c>
      <c r="B955" t="s">
        <v>2151</v>
      </c>
      <c r="C955" t="s">
        <v>2152</v>
      </c>
      <c r="D955">
        <v>1</v>
      </c>
      <c r="E955" t="s">
        <v>1447</v>
      </c>
      <c r="F955" t="s">
        <v>2112</v>
      </c>
      <c r="G955" t="s">
        <v>1806</v>
      </c>
      <c r="H955" t="s">
        <v>2279</v>
      </c>
      <c r="I955" t="s">
        <v>2279</v>
      </c>
      <c r="J955">
        <v>144000</v>
      </c>
      <c r="K955" t="s">
        <v>2279</v>
      </c>
      <c r="L955" t="s">
        <v>2279</v>
      </c>
      <c r="M955" t="s">
        <v>2279</v>
      </c>
      <c r="N955" t="s">
        <v>2279</v>
      </c>
      <c r="O955" s="190" t="str">
        <f>"["&amp;$C955&amp;"]["&amp;$D955&amp;"]["&amp;$F955&amp;"]"</f>
        <v>[S10_InstallationsInfringementPenalties][1][MaxFine]</v>
      </c>
    </row>
    <row r="956" spans="1:15" x14ac:dyDescent="0.3">
      <c r="A956" t="s">
        <v>2277</v>
      </c>
      <c r="B956" t="s">
        <v>2151</v>
      </c>
      <c r="C956" t="s">
        <v>2152</v>
      </c>
      <c r="D956">
        <v>2</v>
      </c>
      <c r="E956" t="s">
        <v>1447</v>
      </c>
      <c r="F956" t="s">
        <v>2112</v>
      </c>
      <c r="G956" t="s">
        <v>1806</v>
      </c>
      <c r="H956" t="s">
        <v>2279</v>
      </c>
      <c r="I956" t="s">
        <v>2279</v>
      </c>
      <c r="J956">
        <v>144000</v>
      </c>
      <c r="K956" t="s">
        <v>2279</v>
      </c>
      <c r="L956" t="s">
        <v>2279</v>
      </c>
      <c r="M956" t="s">
        <v>2279</v>
      </c>
      <c r="N956" t="s">
        <v>2279</v>
      </c>
      <c r="O956" s="190" t="str">
        <f>"["&amp;$C956&amp;"]["&amp;$D956&amp;"]["&amp;$F956&amp;"]"</f>
        <v>[S10_InstallationsInfringementPenalties][2][MaxFine]</v>
      </c>
    </row>
    <row r="957" spans="1:15" x14ac:dyDescent="0.3">
      <c r="A957" t="s">
        <v>2277</v>
      </c>
      <c r="B957" t="s">
        <v>2151</v>
      </c>
      <c r="C957" t="s">
        <v>2152</v>
      </c>
      <c r="D957">
        <v>3</v>
      </c>
      <c r="E957" t="s">
        <v>1447</v>
      </c>
      <c r="F957" t="s">
        <v>2112</v>
      </c>
      <c r="G957" t="s">
        <v>1806</v>
      </c>
      <c r="H957" t="s">
        <v>2279</v>
      </c>
      <c r="I957" t="s">
        <v>2279</v>
      </c>
      <c r="J957">
        <v>144000</v>
      </c>
      <c r="K957" t="s">
        <v>2279</v>
      </c>
      <c r="L957" t="s">
        <v>2279</v>
      </c>
      <c r="M957" t="s">
        <v>2279</v>
      </c>
      <c r="N957" t="s">
        <v>2279</v>
      </c>
      <c r="O957" s="190" t="str">
        <f>"["&amp;$C957&amp;"]["&amp;$D957&amp;"]["&amp;$F957&amp;"]"</f>
        <v>[S10_InstallationsInfringementPenalties][3][MaxFine]</v>
      </c>
    </row>
    <row r="958" spans="1:15" x14ac:dyDescent="0.3">
      <c r="A958" t="s">
        <v>2277</v>
      </c>
      <c r="B958" t="s">
        <v>2151</v>
      </c>
      <c r="C958" t="s">
        <v>2152</v>
      </c>
      <c r="D958">
        <v>6</v>
      </c>
      <c r="E958" t="s">
        <v>1447</v>
      </c>
      <c r="F958" t="s">
        <v>2112</v>
      </c>
      <c r="G958" t="s">
        <v>1806</v>
      </c>
      <c r="H958" t="s">
        <v>2279</v>
      </c>
      <c r="I958" t="s">
        <v>2279</v>
      </c>
      <c r="J958">
        <v>18000</v>
      </c>
      <c r="K958" t="s">
        <v>2279</v>
      </c>
      <c r="L958" t="s">
        <v>2279</v>
      </c>
      <c r="M958" t="s">
        <v>2279</v>
      </c>
      <c r="N958" t="s">
        <v>2279</v>
      </c>
      <c r="O958" s="190" t="str">
        <f>"["&amp;$C958&amp;"]["&amp;$D958&amp;"]["&amp;$F958&amp;"]"</f>
        <v>[S10_InstallationsInfringementPenalties][6][MaxFine]</v>
      </c>
    </row>
    <row r="959" spans="1:15" x14ac:dyDescent="0.3">
      <c r="A959" t="s">
        <v>2277</v>
      </c>
      <c r="B959" t="s">
        <v>2151</v>
      </c>
      <c r="C959" t="s">
        <v>2152</v>
      </c>
      <c r="D959">
        <v>7</v>
      </c>
      <c r="E959" t="s">
        <v>1447</v>
      </c>
      <c r="F959" t="s">
        <v>2112</v>
      </c>
      <c r="G959" t="s">
        <v>1806</v>
      </c>
      <c r="H959" t="s">
        <v>2279</v>
      </c>
      <c r="I959" t="s">
        <v>2279</v>
      </c>
      <c r="J959">
        <v>72000</v>
      </c>
      <c r="K959" t="s">
        <v>2279</v>
      </c>
      <c r="L959" t="s">
        <v>2279</v>
      </c>
      <c r="M959" t="s">
        <v>2279</v>
      </c>
      <c r="N959" t="s">
        <v>2279</v>
      </c>
      <c r="O959" s="190" t="str">
        <f>"["&amp;$C959&amp;"]["&amp;$D959&amp;"]["&amp;$F959&amp;"]"</f>
        <v>[S10_InstallationsInfringementPenalties][7][MaxFine]</v>
      </c>
    </row>
    <row r="960" spans="1:15" x14ac:dyDescent="0.3">
      <c r="A960" t="s">
        <v>2277</v>
      </c>
      <c r="B960" t="s">
        <v>2151</v>
      </c>
      <c r="C960" t="s">
        <v>2152</v>
      </c>
      <c r="D960">
        <v>8</v>
      </c>
      <c r="E960" t="s">
        <v>1447</v>
      </c>
      <c r="F960" t="s">
        <v>2112</v>
      </c>
      <c r="G960" t="s">
        <v>1806</v>
      </c>
      <c r="H960" t="s">
        <v>2279</v>
      </c>
      <c r="I960" t="s">
        <v>2279</v>
      </c>
      <c r="J960">
        <v>72000</v>
      </c>
      <c r="K960" t="s">
        <v>2279</v>
      </c>
      <c r="L960" t="s">
        <v>2279</v>
      </c>
      <c r="M960" t="s">
        <v>2279</v>
      </c>
      <c r="N960" t="s">
        <v>2279</v>
      </c>
      <c r="O960" s="190" t="str">
        <f>"["&amp;$C960&amp;"]["&amp;$D960&amp;"]["&amp;$F960&amp;"]"</f>
        <v>[S10_InstallationsInfringementPenalties][8][MaxFine]</v>
      </c>
    </row>
    <row r="961" spans="1:15" x14ac:dyDescent="0.3">
      <c r="A961" t="s">
        <v>2277</v>
      </c>
      <c r="B961" t="s">
        <v>2151</v>
      </c>
      <c r="C961" t="s">
        <v>2152</v>
      </c>
      <c r="D961">
        <v>9</v>
      </c>
      <c r="E961" t="s">
        <v>1447</v>
      </c>
      <c r="F961" t="s">
        <v>2112</v>
      </c>
      <c r="G961" t="s">
        <v>1806</v>
      </c>
      <c r="H961" t="s">
        <v>2279</v>
      </c>
      <c r="I961" t="s">
        <v>2279</v>
      </c>
      <c r="J961">
        <v>18000</v>
      </c>
      <c r="K961" t="s">
        <v>2279</v>
      </c>
      <c r="L961" t="s">
        <v>2279</v>
      </c>
      <c r="M961" t="s">
        <v>2279</v>
      </c>
      <c r="N961" t="s">
        <v>2279</v>
      </c>
      <c r="O961" s="190" t="str">
        <f>"["&amp;$C961&amp;"]["&amp;$D961&amp;"]["&amp;$F961&amp;"]"</f>
        <v>[S10_InstallationsInfringementPenalties][9][MaxFine]</v>
      </c>
    </row>
    <row r="962" spans="1:15" x14ac:dyDescent="0.3">
      <c r="A962" t="s">
        <v>2277</v>
      </c>
      <c r="B962" t="s">
        <v>2151</v>
      </c>
      <c r="C962" t="s">
        <v>2152</v>
      </c>
      <c r="D962">
        <v>10</v>
      </c>
      <c r="E962" t="s">
        <v>1447</v>
      </c>
      <c r="F962" t="s">
        <v>2112</v>
      </c>
      <c r="G962" t="s">
        <v>1806</v>
      </c>
      <c r="H962" t="s">
        <v>2279</v>
      </c>
      <c r="I962" t="s">
        <v>2279</v>
      </c>
      <c r="J962">
        <v>18000</v>
      </c>
      <c r="K962" t="s">
        <v>2279</v>
      </c>
      <c r="L962" t="s">
        <v>2279</v>
      </c>
      <c r="M962" t="s">
        <v>2279</v>
      </c>
      <c r="N962" t="s">
        <v>2279</v>
      </c>
      <c r="O962" s="190" t="str">
        <f>"["&amp;$C962&amp;"]["&amp;$D962&amp;"]["&amp;$F962&amp;"]"</f>
        <v>[S10_InstallationsInfringementPenalties][10][MaxFine]</v>
      </c>
    </row>
    <row r="963" spans="1:15" x14ac:dyDescent="0.3">
      <c r="A963" t="s">
        <v>2277</v>
      </c>
      <c r="B963" t="s">
        <v>2151</v>
      </c>
      <c r="C963" t="s">
        <v>2152</v>
      </c>
      <c r="D963">
        <v>12</v>
      </c>
      <c r="E963" t="s">
        <v>1447</v>
      </c>
      <c r="F963" t="s">
        <v>2112</v>
      </c>
      <c r="G963" t="s">
        <v>1806</v>
      </c>
      <c r="H963" t="s">
        <v>2279</v>
      </c>
      <c r="I963" t="s">
        <v>2279</v>
      </c>
      <c r="J963">
        <v>144000</v>
      </c>
      <c r="K963" t="s">
        <v>2279</v>
      </c>
      <c r="L963" t="s">
        <v>2279</v>
      </c>
      <c r="M963" t="s">
        <v>2279</v>
      </c>
      <c r="N963" t="s">
        <v>2279</v>
      </c>
      <c r="O963" s="190" t="str">
        <f>"["&amp;$C963&amp;"]["&amp;$D963&amp;"]["&amp;$F963&amp;"]"</f>
        <v>[S10_InstallationsInfringementPenalties][12][MaxFine]</v>
      </c>
    </row>
    <row r="964" spans="1:15" x14ac:dyDescent="0.3">
      <c r="A964" t="s">
        <v>2277</v>
      </c>
      <c r="B964" t="s">
        <v>2151</v>
      </c>
      <c r="C964" t="s">
        <v>2152</v>
      </c>
      <c r="D964">
        <v>13</v>
      </c>
      <c r="E964" t="s">
        <v>1447</v>
      </c>
      <c r="F964" t="s">
        <v>2112</v>
      </c>
      <c r="G964" t="s">
        <v>1806</v>
      </c>
      <c r="H964" t="s">
        <v>2279</v>
      </c>
      <c r="I964" t="s">
        <v>2279</v>
      </c>
      <c r="J964">
        <v>72000</v>
      </c>
      <c r="K964" t="s">
        <v>2279</v>
      </c>
      <c r="L964" t="s">
        <v>2279</v>
      </c>
      <c r="M964" t="s">
        <v>2279</v>
      </c>
      <c r="N964" t="s">
        <v>2279</v>
      </c>
      <c r="O964" s="190" t="str">
        <f>"["&amp;$C964&amp;"]["&amp;$D964&amp;"]["&amp;$F964&amp;"]"</f>
        <v>[S10_InstallationsInfringementPenalties][13][MaxFine]</v>
      </c>
    </row>
    <row r="965" spans="1:15" x14ac:dyDescent="0.3">
      <c r="A965" t="s">
        <v>2277</v>
      </c>
      <c r="B965" t="s">
        <v>2151</v>
      </c>
      <c r="C965" t="s">
        <v>2152</v>
      </c>
      <c r="D965">
        <v>1</v>
      </c>
      <c r="E965" t="s">
        <v>1447</v>
      </c>
      <c r="F965" t="s">
        <v>2115</v>
      </c>
      <c r="G965" t="s">
        <v>1791</v>
      </c>
      <c r="H965" t="s">
        <v>2279</v>
      </c>
      <c r="I965" t="s">
        <v>2279</v>
      </c>
      <c r="J965" t="s">
        <v>2279</v>
      </c>
      <c r="K965" t="s">
        <v>2388</v>
      </c>
      <c r="L965" t="s">
        <v>2279</v>
      </c>
      <c r="M965" t="s">
        <v>2279</v>
      </c>
      <c r="N965" t="s">
        <v>2279</v>
      </c>
      <c r="O965" s="190" t="str">
        <f>"["&amp;$C965&amp;"]["&amp;$D965&amp;"]["&amp;$F965&amp;"]"</f>
        <v>[S10_InstallationsInfringementPenalties][1][OtherPenalty]</v>
      </c>
    </row>
    <row r="966" spans="1:15" x14ac:dyDescent="0.3">
      <c r="A966" t="s">
        <v>2277</v>
      </c>
      <c r="B966" t="s">
        <v>2151</v>
      </c>
      <c r="C966" t="s">
        <v>2152</v>
      </c>
      <c r="D966">
        <v>2</v>
      </c>
      <c r="E966" t="s">
        <v>1447</v>
      </c>
      <c r="F966" t="s">
        <v>2115</v>
      </c>
      <c r="G966" t="s">
        <v>1791</v>
      </c>
      <c r="H966" t="s">
        <v>2279</v>
      </c>
      <c r="I966" t="s">
        <v>2279</v>
      </c>
      <c r="J966" t="s">
        <v>2279</v>
      </c>
      <c r="K966" t="s">
        <v>2388</v>
      </c>
      <c r="L966" t="s">
        <v>2279</v>
      </c>
      <c r="M966" t="s">
        <v>2279</v>
      </c>
      <c r="N966" t="s">
        <v>2279</v>
      </c>
      <c r="O966" s="190" t="str">
        <f>"["&amp;$C966&amp;"]["&amp;$D966&amp;"]["&amp;$F966&amp;"]"</f>
        <v>[S10_InstallationsInfringementPenalties][2][OtherPenalty]</v>
      </c>
    </row>
    <row r="967" spans="1:15" x14ac:dyDescent="0.3">
      <c r="A967" t="s">
        <v>2277</v>
      </c>
      <c r="B967" t="s">
        <v>2151</v>
      </c>
      <c r="C967" t="s">
        <v>2152</v>
      </c>
      <c r="D967">
        <v>3</v>
      </c>
      <c r="E967" t="s">
        <v>1447</v>
      </c>
      <c r="F967" t="s">
        <v>2115</v>
      </c>
      <c r="G967" t="s">
        <v>1791</v>
      </c>
      <c r="H967" t="s">
        <v>2279</v>
      </c>
      <c r="I967" t="s">
        <v>2279</v>
      </c>
      <c r="J967" t="s">
        <v>2279</v>
      </c>
      <c r="K967" t="s">
        <v>2388</v>
      </c>
      <c r="L967" t="s">
        <v>2279</v>
      </c>
      <c r="M967" t="s">
        <v>2279</v>
      </c>
      <c r="N967" t="s">
        <v>2279</v>
      </c>
      <c r="O967" s="190" t="str">
        <f>"["&amp;$C967&amp;"]["&amp;$D967&amp;"]["&amp;$F967&amp;"]"</f>
        <v>[S10_InstallationsInfringementPenalties][3][OtherPenalty]</v>
      </c>
    </row>
    <row r="968" spans="1:15" x14ac:dyDescent="0.3">
      <c r="A968" t="s">
        <v>2277</v>
      </c>
      <c r="B968" t="s">
        <v>2151</v>
      </c>
      <c r="C968" t="s">
        <v>2152</v>
      </c>
      <c r="D968">
        <v>6</v>
      </c>
      <c r="E968" t="s">
        <v>1447</v>
      </c>
      <c r="F968" t="s">
        <v>2115</v>
      </c>
      <c r="G968" t="s">
        <v>1791</v>
      </c>
      <c r="H968" t="s">
        <v>2279</v>
      </c>
      <c r="I968" t="s">
        <v>2279</v>
      </c>
      <c r="J968" t="s">
        <v>2279</v>
      </c>
      <c r="K968" t="s">
        <v>2389</v>
      </c>
      <c r="L968" t="s">
        <v>2279</v>
      </c>
      <c r="M968" t="s">
        <v>2279</v>
      </c>
      <c r="N968" t="s">
        <v>2279</v>
      </c>
      <c r="O968" s="190" t="str">
        <f>"["&amp;$C968&amp;"]["&amp;$D968&amp;"]["&amp;$F968&amp;"]"</f>
        <v>[S10_InstallationsInfringementPenalties][6][OtherPenalty]</v>
      </c>
    </row>
    <row r="969" spans="1:15" x14ac:dyDescent="0.3">
      <c r="A969" t="s">
        <v>2277</v>
      </c>
      <c r="B969" t="s">
        <v>2151</v>
      </c>
      <c r="C969" t="s">
        <v>2152</v>
      </c>
      <c r="D969">
        <v>7</v>
      </c>
      <c r="E969" t="s">
        <v>1447</v>
      </c>
      <c r="F969" t="s">
        <v>2115</v>
      </c>
      <c r="G969" t="s">
        <v>1791</v>
      </c>
      <c r="H969" t="s">
        <v>2279</v>
      </c>
      <c r="I969" t="s">
        <v>2279</v>
      </c>
      <c r="J969" t="s">
        <v>2279</v>
      </c>
      <c r="K969" t="s">
        <v>2390</v>
      </c>
      <c r="L969" t="s">
        <v>2279</v>
      </c>
      <c r="M969" t="s">
        <v>2279</v>
      </c>
      <c r="N969" t="s">
        <v>2279</v>
      </c>
      <c r="O969" s="190" t="str">
        <f>"["&amp;$C969&amp;"]["&amp;$D969&amp;"]["&amp;$F969&amp;"]"</f>
        <v>[S10_InstallationsInfringementPenalties][7][OtherPenalty]</v>
      </c>
    </row>
    <row r="970" spans="1:15" x14ac:dyDescent="0.3">
      <c r="A970" t="s">
        <v>2277</v>
      </c>
      <c r="B970" t="s">
        <v>2151</v>
      </c>
      <c r="C970" t="s">
        <v>2152</v>
      </c>
      <c r="D970">
        <v>8</v>
      </c>
      <c r="E970" t="s">
        <v>1447</v>
      </c>
      <c r="F970" t="s">
        <v>2115</v>
      </c>
      <c r="G970" t="s">
        <v>1791</v>
      </c>
      <c r="H970" t="s">
        <v>2279</v>
      </c>
      <c r="I970" t="s">
        <v>2279</v>
      </c>
      <c r="J970" t="s">
        <v>2279</v>
      </c>
      <c r="K970" t="s">
        <v>2390</v>
      </c>
      <c r="L970" t="s">
        <v>2279</v>
      </c>
      <c r="M970" t="s">
        <v>2279</v>
      </c>
      <c r="N970" t="s">
        <v>2279</v>
      </c>
      <c r="O970" s="190" t="str">
        <f>"["&amp;$C970&amp;"]["&amp;$D970&amp;"]["&amp;$F970&amp;"]"</f>
        <v>[S10_InstallationsInfringementPenalties][8][OtherPenalty]</v>
      </c>
    </row>
    <row r="971" spans="1:15" x14ac:dyDescent="0.3">
      <c r="A971" t="s">
        <v>2277</v>
      </c>
      <c r="B971" t="s">
        <v>2151</v>
      </c>
      <c r="C971" t="s">
        <v>2152</v>
      </c>
      <c r="D971">
        <v>9</v>
      </c>
      <c r="E971" t="s">
        <v>1447</v>
      </c>
      <c r="F971" t="s">
        <v>2115</v>
      </c>
      <c r="G971" t="s">
        <v>1791</v>
      </c>
      <c r="H971" t="s">
        <v>2279</v>
      </c>
      <c r="I971" t="s">
        <v>2279</v>
      </c>
      <c r="J971" t="s">
        <v>2279</v>
      </c>
      <c r="K971" t="s">
        <v>2389</v>
      </c>
      <c r="L971" t="s">
        <v>2279</v>
      </c>
      <c r="M971" t="s">
        <v>2279</v>
      </c>
      <c r="N971" t="s">
        <v>2279</v>
      </c>
      <c r="O971" s="190" t="str">
        <f>"["&amp;$C971&amp;"]["&amp;$D971&amp;"]["&amp;$F971&amp;"]"</f>
        <v>[S10_InstallationsInfringementPenalties][9][OtherPenalty]</v>
      </c>
    </row>
    <row r="972" spans="1:15" x14ac:dyDescent="0.3">
      <c r="A972" t="s">
        <v>2277</v>
      </c>
      <c r="B972" t="s">
        <v>2151</v>
      </c>
      <c r="C972" t="s">
        <v>2152</v>
      </c>
      <c r="D972">
        <v>10</v>
      </c>
      <c r="E972" t="s">
        <v>1447</v>
      </c>
      <c r="F972" t="s">
        <v>2115</v>
      </c>
      <c r="G972" t="s">
        <v>1791</v>
      </c>
      <c r="H972" t="s">
        <v>2279</v>
      </c>
      <c r="I972" t="s">
        <v>2279</v>
      </c>
      <c r="J972" t="s">
        <v>2279</v>
      </c>
      <c r="K972" t="s">
        <v>2389</v>
      </c>
      <c r="L972" t="s">
        <v>2279</v>
      </c>
      <c r="M972" t="s">
        <v>2279</v>
      </c>
      <c r="N972" t="s">
        <v>2279</v>
      </c>
      <c r="O972" s="190" t="str">
        <f>"["&amp;$C972&amp;"]["&amp;$D972&amp;"]["&amp;$F972&amp;"]"</f>
        <v>[S10_InstallationsInfringementPenalties][10][OtherPenalty]</v>
      </c>
    </row>
    <row r="973" spans="1:15" x14ac:dyDescent="0.3">
      <c r="A973" t="s">
        <v>2277</v>
      </c>
      <c r="B973" t="s">
        <v>2151</v>
      </c>
      <c r="C973" t="s">
        <v>2152</v>
      </c>
      <c r="D973">
        <v>12</v>
      </c>
      <c r="E973" t="s">
        <v>1447</v>
      </c>
      <c r="F973" t="s">
        <v>2115</v>
      </c>
      <c r="G973" t="s">
        <v>1791</v>
      </c>
      <c r="H973" t="s">
        <v>2279</v>
      </c>
      <c r="I973" t="s">
        <v>2279</v>
      </c>
      <c r="J973" t="s">
        <v>2279</v>
      </c>
      <c r="K973" t="s">
        <v>2388</v>
      </c>
      <c r="L973" t="s">
        <v>2279</v>
      </c>
      <c r="M973" t="s">
        <v>2279</v>
      </c>
      <c r="N973" t="s">
        <v>2279</v>
      </c>
      <c r="O973" s="190" t="str">
        <f>"["&amp;$C973&amp;"]["&amp;$D973&amp;"]["&amp;$F973&amp;"]"</f>
        <v>[S10_InstallationsInfringementPenalties][12][OtherPenalty]</v>
      </c>
    </row>
    <row r="974" spans="1:15" x14ac:dyDescent="0.3">
      <c r="A974" t="s">
        <v>2277</v>
      </c>
      <c r="B974" t="s">
        <v>2151</v>
      </c>
      <c r="C974" t="s">
        <v>2152</v>
      </c>
      <c r="D974">
        <v>13</v>
      </c>
      <c r="E974" t="s">
        <v>1447</v>
      </c>
      <c r="F974" t="s">
        <v>2115</v>
      </c>
      <c r="G974" t="s">
        <v>1791</v>
      </c>
      <c r="H974" t="s">
        <v>2279</v>
      </c>
      <c r="I974" t="s">
        <v>2279</v>
      </c>
      <c r="J974" t="s">
        <v>2279</v>
      </c>
      <c r="K974" t="s">
        <v>2390</v>
      </c>
      <c r="L974" t="s">
        <v>2279</v>
      </c>
      <c r="M974" t="s">
        <v>2279</v>
      </c>
      <c r="N974" t="s">
        <v>2279</v>
      </c>
      <c r="O974" s="190" t="str">
        <f>"["&amp;$C974&amp;"]["&amp;$D974&amp;"]["&amp;$F974&amp;"]"</f>
        <v>[S10_InstallationsInfringementPenalties][13][OtherPenalty]</v>
      </c>
    </row>
    <row r="975" spans="1:15" x14ac:dyDescent="0.3">
      <c r="A975" t="s">
        <v>2277</v>
      </c>
      <c r="B975" t="s">
        <v>2151</v>
      </c>
      <c r="C975" t="s">
        <v>2152</v>
      </c>
      <c r="D975">
        <v>12</v>
      </c>
      <c r="E975" t="s">
        <v>1419</v>
      </c>
      <c r="F975" t="s">
        <v>2116</v>
      </c>
      <c r="G975" t="s">
        <v>1791</v>
      </c>
      <c r="H975" t="s">
        <v>2279</v>
      </c>
      <c r="I975" t="s">
        <v>2279</v>
      </c>
      <c r="J975" t="s">
        <v>2279</v>
      </c>
      <c r="K975" t="s">
        <v>2391</v>
      </c>
      <c r="L975" t="s">
        <v>2279</v>
      </c>
      <c r="M975" t="s">
        <v>2279</v>
      </c>
      <c r="N975" t="s">
        <v>2279</v>
      </c>
      <c r="O975" s="190" t="str">
        <f>"["&amp;$C975&amp;"]["&amp;$D975&amp;"]["&amp;$F975&amp;"]"</f>
        <v>[S10_InstallationsInfringementPenalties][12][InfringementOther]</v>
      </c>
    </row>
    <row r="976" spans="1:15" x14ac:dyDescent="0.3">
      <c r="A976" t="s">
        <v>2277</v>
      </c>
      <c r="B976" t="s">
        <v>2151</v>
      </c>
      <c r="C976" t="s">
        <v>2152</v>
      </c>
      <c r="D976">
        <v>13</v>
      </c>
      <c r="E976" t="s">
        <v>1419</v>
      </c>
      <c r="F976" t="s">
        <v>2116</v>
      </c>
      <c r="G976" t="s">
        <v>1791</v>
      </c>
      <c r="H976" t="s">
        <v>2279</v>
      </c>
      <c r="I976" t="s">
        <v>2279</v>
      </c>
      <c r="J976" t="s">
        <v>2279</v>
      </c>
      <c r="K976" t="s">
        <v>2392</v>
      </c>
      <c r="L976" t="s">
        <v>2279</v>
      </c>
      <c r="M976" t="s">
        <v>2279</v>
      </c>
      <c r="N976" t="s">
        <v>2279</v>
      </c>
      <c r="O976" s="190" t="str">
        <f>"["&amp;$C976&amp;"]["&amp;$D976&amp;"]["&amp;$F976&amp;"]"</f>
        <v>[S10_InstallationsInfringementPenalties][13][InfringementOther]</v>
      </c>
    </row>
    <row r="977" spans="1:15" x14ac:dyDescent="0.3">
      <c r="A977" t="s">
        <v>2277</v>
      </c>
      <c r="B977" t="s">
        <v>2151</v>
      </c>
      <c r="C977" t="s">
        <v>2153</v>
      </c>
      <c r="D977">
        <v>0</v>
      </c>
      <c r="E977" t="s">
        <v>1447</v>
      </c>
      <c r="F977" t="s">
        <v>2153</v>
      </c>
      <c r="G977" t="s">
        <v>1741</v>
      </c>
      <c r="H977" t="s">
        <v>2393</v>
      </c>
      <c r="I977" t="s">
        <v>2279</v>
      </c>
      <c r="J977" t="s">
        <v>2279</v>
      </c>
      <c r="K977" t="s">
        <v>2279</v>
      </c>
      <c r="L977" t="s">
        <v>2279</v>
      </c>
      <c r="M977" t="s">
        <v>2279</v>
      </c>
      <c r="N977" t="s">
        <v>2279</v>
      </c>
      <c r="O977" s="190" t="str">
        <f>"["&amp;$C977&amp;"]["&amp;$D977&amp;"]["&amp;$F977&amp;"]"</f>
        <v>[InstallationsNationalLaw][0][InstallationsNationalLaw]</v>
      </c>
    </row>
    <row r="978" spans="1:15" x14ac:dyDescent="0.3">
      <c r="A978" t="s">
        <v>2277</v>
      </c>
      <c r="B978" t="s">
        <v>2154</v>
      </c>
      <c r="C978" t="s">
        <v>2156</v>
      </c>
      <c r="D978">
        <v>0</v>
      </c>
      <c r="E978" t="s">
        <v>1447</v>
      </c>
      <c r="F978" t="s">
        <v>2156</v>
      </c>
      <c r="G978" t="s">
        <v>1759</v>
      </c>
      <c r="H978" t="s">
        <v>2279</v>
      </c>
      <c r="I978" t="s">
        <v>2279</v>
      </c>
      <c r="J978" t="s">
        <v>2279</v>
      </c>
      <c r="K978" t="s">
        <v>2279</v>
      </c>
      <c r="L978" t="s">
        <v>1447</v>
      </c>
      <c r="M978" t="s">
        <v>2279</v>
      </c>
      <c r="N978" t="s">
        <v>2279</v>
      </c>
      <c r="O978" s="190" t="str">
        <f>"["&amp;$C978&amp;"]["&amp;$D978&amp;"]["&amp;$F978&amp;"]"</f>
        <v>[InstallationsPriorPenaltiesEnforced][0][InstallationsPriorPenaltiesEnforced]</v>
      </c>
    </row>
    <row r="979" spans="1:15" x14ac:dyDescent="0.3">
      <c r="A979" t="s">
        <v>2277</v>
      </c>
      <c r="B979" t="s">
        <v>2160</v>
      </c>
      <c r="C979" t="s">
        <v>2161</v>
      </c>
      <c r="D979">
        <v>1</v>
      </c>
      <c r="E979" t="s">
        <v>1447</v>
      </c>
      <c r="F979" t="s">
        <v>2148</v>
      </c>
      <c r="G979" t="s">
        <v>1759</v>
      </c>
      <c r="H979" t="s">
        <v>2279</v>
      </c>
      <c r="I979" t="s">
        <v>2279</v>
      </c>
      <c r="J979" t="s">
        <v>2279</v>
      </c>
      <c r="K979" t="s">
        <v>2279</v>
      </c>
      <c r="L979" t="s">
        <v>1447</v>
      </c>
      <c r="M979" t="s">
        <v>2279</v>
      </c>
      <c r="N979" t="s">
        <v>2279</v>
      </c>
      <c r="O979" s="190" t="str">
        <f>"["&amp;$C979&amp;"]["&amp;$D979&amp;"]["&amp;$F979&amp;"]"</f>
        <v>[S10_AircraftComplianceMeasures][1][ComplianceMeasuresYesNo]</v>
      </c>
    </row>
    <row r="980" spans="1:15" x14ac:dyDescent="0.3">
      <c r="A980" t="s">
        <v>2277</v>
      </c>
      <c r="B980" t="s">
        <v>2160</v>
      </c>
      <c r="C980" t="s">
        <v>2161</v>
      </c>
      <c r="D980">
        <v>2</v>
      </c>
      <c r="E980" t="s">
        <v>1447</v>
      </c>
      <c r="F980" t="s">
        <v>2148</v>
      </c>
      <c r="G980" t="s">
        <v>1759</v>
      </c>
      <c r="H980" t="s">
        <v>2279</v>
      </c>
      <c r="I980" t="s">
        <v>2279</v>
      </c>
      <c r="J980" t="s">
        <v>2279</v>
      </c>
      <c r="K980" t="s">
        <v>2279</v>
      </c>
      <c r="L980" t="s">
        <v>1447</v>
      </c>
      <c r="M980" t="s">
        <v>2279</v>
      </c>
      <c r="N980" t="s">
        <v>2279</v>
      </c>
      <c r="O980" s="190" t="str">
        <f>"["&amp;$C980&amp;"]["&amp;$D980&amp;"]["&amp;$F980&amp;"]"</f>
        <v>[S10_AircraftComplianceMeasures][2][ComplianceMeasuresYesNo]</v>
      </c>
    </row>
    <row r="981" spans="1:15" x14ac:dyDescent="0.3">
      <c r="A981" t="s">
        <v>2277</v>
      </c>
      <c r="B981" t="s">
        <v>2160</v>
      </c>
      <c r="C981" t="s">
        <v>2161</v>
      </c>
      <c r="D981">
        <v>3</v>
      </c>
      <c r="E981" t="s">
        <v>1447</v>
      </c>
      <c r="F981" t="s">
        <v>2148</v>
      </c>
      <c r="G981" t="s">
        <v>1759</v>
      </c>
      <c r="H981" t="s">
        <v>2279</v>
      </c>
      <c r="I981" t="s">
        <v>2279</v>
      </c>
      <c r="J981" t="s">
        <v>2279</v>
      </c>
      <c r="K981" t="s">
        <v>2279</v>
      </c>
      <c r="L981" t="s">
        <v>1447</v>
      </c>
      <c r="M981" t="s">
        <v>2279</v>
      </c>
      <c r="N981" t="s">
        <v>2279</v>
      </c>
      <c r="O981" s="190" t="str">
        <f>"["&amp;$C981&amp;"]["&amp;$D981&amp;"]["&amp;$F981&amp;"]"</f>
        <v>[S10_AircraftComplianceMeasures][3][ComplianceMeasuresYesNo]</v>
      </c>
    </row>
    <row r="982" spans="1:15" x14ac:dyDescent="0.3">
      <c r="A982" t="s">
        <v>2277</v>
      </c>
      <c r="B982" t="s">
        <v>2160</v>
      </c>
      <c r="C982" t="s">
        <v>2161</v>
      </c>
      <c r="D982">
        <v>4</v>
      </c>
      <c r="E982" t="s">
        <v>1447</v>
      </c>
      <c r="F982" t="s">
        <v>2148</v>
      </c>
      <c r="G982" t="s">
        <v>1759</v>
      </c>
      <c r="H982" t="s">
        <v>2279</v>
      </c>
      <c r="I982" t="s">
        <v>2279</v>
      </c>
      <c r="J982" t="s">
        <v>2279</v>
      </c>
      <c r="K982" t="s">
        <v>2279</v>
      </c>
      <c r="L982" t="s">
        <v>1447</v>
      </c>
      <c r="M982" t="s">
        <v>2279</v>
      </c>
      <c r="N982" t="s">
        <v>2279</v>
      </c>
      <c r="O982" s="190" t="str">
        <f>"["&amp;$C982&amp;"]["&amp;$D982&amp;"]["&amp;$F982&amp;"]"</f>
        <v>[S10_AircraftComplianceMeasures][4][ComplianceMeasuresYesNo]</v>
      </c>
    </row>
    <row r="983" spans="1:15" x14ac:dyDescent="0.3">
      <c r="A983" t="s">
        <v>2277</v>
      </c>
      <c r="B983" t="s">
        <v>2162</v>
      </c>
      <c r="C983" t="s">
        <v>2163</v>
      </c>
      <c r="D983">
        <v>1</v>
      </c>
      <c r="E983" t="s">
        <v>1447</v>
      </c>
      <c r="F983" t="s">
        <v>2111</v>
      </c>
      <c r="G983" t="s">
        <v>1806</v>
      </c>
      <c r="H983" t="s">
        <v>2279</v>
      </c>
      <c r="I983" t="s">
        <v>2279</v>
      </c>
      <c r="J983">
        <v>24000</v>
      </c>
      <c r="K983" t="s">
        <v>2279</v>
      </c>
      <c r="L983" t="s">
        <v>2279</v>
      </c>
      <c r="M983" t="s">
        <v>2279</v>
      </c>
      <c r="N983" t="s">
        <v>2279</v>
      </c>
      <c r="O983" s="190" t="str">
        <f>"["&amp;$C983&amp;"]["&amp;$D983&amp;"]["&amp;$F983&amp;"]"</f>
        <v>[S10_AircraftInfringementPenalties][1][MinFine]</v>
      </c>
    </row>
    <row r="984" spans="1:15" x14ac:dyDescent="0.3">
      <c r="A984" t="s">
        <v>2277</v>
      </c>
      <c r="B984" t="s">
        <v>2162</v>
      </c>
      <c r="C984" t="s">
        <v>2163</v>
      </c>
      <c r="D984">
        <v>2</v>
      </c>
      <c r="E984" t="s">
        <v>1447</v>
      </c>
      <c r="F984" t="s">
        <v>2111</v>
      </c>
      <c r="G984" t="s">
        <v>1806</v>
      </c>
      <c r="H984" t="s">
        <v>2279</v>
      </c>
      <c r="I984" t="s">
        <v>2279</v>
      </c>
      <c r="J984">
        <v>12000</v>
      </c>
      <c r="K984" t="s">
        <v>2279</v>
      </c>
      <c r="L984" t="s">
        <v>2279</v>
      </c>
      <c r="M984" t="s">
        <v>2279</v>
      </c>
      <c r="N984" t="s">
        <v>2279</v>
      </c>
      <c r="O984" s="190" t="str">
        <f>"["&amp;$C984&amp;"]["&amp;$D984&amp;"]["&amp;$F984&amp;"]"</f>
        <v>[S10_AircraftInfringementPenalties][2][MinFine]</v>
      </c>
    </row>
    <row r="985" spans="1:15" x14ac:dyDescent="0.3">
      <c r="A985" t="s">
        <v>2277</v>
      </c>
      <c r="B985" t="s">
        <v>2162</v>
      </c>
      <c r="C985" t="s">
        <v>2163</v>
      </c>
      <c r="D985">
        <v>3</v>
      </c>
      <c r="E985" t="s">
        <v>1447</v>
      </c>
      <c r="F985" t="s">
        <v>2111</v>
      </c>
      <c r="G985" t="s">
        <v>1806</v>
      </c>
      <c r="H985" t="s">
        <v>2279</v>
      </c>
      <c r="I985" t="s">
        <v>2279</v>
      </c>
      <c r="J985">
        <v>2000</v>
      </c>
      <c r="K985" t="s">
        <v>2279</v>
      </c>
      <c r="L985" t="s">
        <v>2279</v>
      </c>
      <c r="M985" t="s">
        <v>2279</v>
      </c>
      <c r="N985" t="s">
        <v>2279</v>
      </c>
      <c r="O985" s="190" t="str">
        <f>"["&amp;$C985&amp;"]["&amp;$D985&amp;"]["&amp;$F985&amp;"]"</f>
        <v>[S10_AircraftInfringementPenalties][3][MinFine]</v>
      </c>
    </row>
    <row r="986" spans="1:15" x14ac:dyDescent="0.3">
      <c r="A986" t="s">
        <v>2277</v>
      </c>
      <c r="B986" t="s">
        <v>2162</v>
      </c>
      <c r="C986" t="s">
        <v>2163</v>
      </c>
      <c r="D986">
        <v>4</v>
      </c>
      <c r="E986" t="s">
        <v>1447</v>
      </c>
      <c r="F986" t="s">
        <v>2111</v>
      </c>
      <c r="G986" t="s">
        <v>1806</v>
      </c>
      <c r="H986" t="s">
        <v>2279</v>
      </c>
      <c r="I986" t="s">
        <v>2279</v>
      </c>
      <c r="J986">
        <v>12000</v>
      </c>
      <c r="K986" t="s">
        <v>2279</v>
      </c>
      <c r="L986" t="s">
        <v>2279</v>
      </c>
      <c r="M986" t="s">
        <v>2279</v>
      </c>
      <c r="N986" t="s">
        <v>2279</v>
      </c>
      <c r="O986" s="190" t="str">
        <f>"["&amp;$C986&amp;"]["&amp;$D986&amp;"]["&amp;$F986&amp;"]"</f>
        <v>[S10_AircraftInfringementPenalties][4][MinFine]</v>
      </c>
    </row>
    <row r="987" spans="1:15" x14ac:dyDescent="0.3">
      <c r="A987" t="s">
        <v>2277</v>
      </c>
      <c r="B987" t="s">
        <v>2162</v>
      </c>
      <c r="C987" t="s">
        <v>2163</v>
      </c>
      <c r="D987">
        <v>6</v>
      </c>
      <c r="E987" t="s">
        <v>1447</v>
      </c>
      <c r="F987" t="s">
        <v>2111</v>
      </c>
      <c r="G987" t="s">
        <v>1806</v>
      </c>
      <c r="H987" t="s">
        <v>2279</v>
      </c>
      <c r="I987" t="s">
        <v>2279</v>
      </c>
      <c r="J987">
        <v>12000</v>
      </c>
      <c r="K987" t="s">
        <v>2279</v>
      </c>
      <c r="L987" t="s">
        <v>2279</v>
      </c>
      <c r="M987" t="s">
        <v>2279</v>
      </c>
      <c r="N987" t="s">
        <v>2279</v>
      </c>
      <c r="O987" s="190" t="str">
        <f>"["&amp;$C987&amp;"]["&amp;$D987&amp;"]["&amp;$F987&amp;"]"</f>
        <v>[S10_AircraftInfringementPenalties][6][MinFine]</v>
      </c>
    </row>
    <row r="988" spans="1:15" x14ac:dyDescent="0.3">
      <c r="A988" t="s">
        <v>2277</v>
      </c>
      <c r="B988" t="s">
        <v>2162</v>
      </c>
      <c r="C988" t="s">
        <v>2163</v>
      </c>
      <c r="D988">
        <v>7</v>
      </c>
      <c r="E988" t="s">
        <v>1447</v>
      </c>
      <c r="F988" t="s">
        <v>2111</v>
      </c>
      <c r="G988" t="s">
        <v>1806</v>
      </c>
      <c r="H988" t="s">
        <v>2279</v>
      </c>
      <c r="I988" t="s">
        <v>2279</v>
      </c>
      <c r="J988">
        <v>2000</v>
      </c>
      <c r="K988" t="s">
        <v>2279</v>
      </c>
      <c r="L988" t="s">
        <v>2279</v>
      </c>
      <c r="M988" t="s">
        <v>2279</v>
      </c>
      <c r="N988" t="s">
        <v>2279</v>
      </c>
      <c r="O988" s="190" t="str">
        <f>"["&amp;$C988&amp;"]["&amp;$D988&amp;"]["&amp;$F988&amp;"]"</f>
        <v>[S10_AircraftInfringementPenalties][7][MinFine]</v>
      </c>
    </row>
    <row r="989" spans="1:15" x14ac:dyDescent="0.3">
      <c r="A989" t="s">
        <v>2277</v>
      </c>
      <c r="B989" t="s">
        <v>2162</v>
      </c>
      <c r="C989" t="s">
        <v>2163</v>
      </c>
      <c r="D989">
        <v>8</v>
      </c>
      <c r="E989" t="s">
        <v>1447</v>
      </c>
      <c r="F989" t="s">
        <v>2111</v>
      </c>
      <c r="G989" t="s">
        <v>1806</v>
      </c>
      <c r="H989" t="s">
        <v>2279</v>
      </c>
      <c r="I989" t="s">
        <v>2279</v>
      </c>
      <c r="J989">
        <v>2000</v>
      </c>
      <c r="K989" t="s">
        <v>2279</v>
      </c>
      <c r="L989" t="s">
        <v>2279</v>
      </c>
      <c r="M989" t="s">
        <v>2279</v>
      </c>
      <c r="N989" t="s">
        <v>2279</v>
      </c>
      <c r="O989" s="190" t="str">
        <f>"["&amp;$C989&amp;"]["&amp;$D989&amp;"]["&amp;$F989&amp;"]"</f>
        <v>[S10_AircraftInfringementPenalties][8][MinFine]</v>
      </c>
    </row>
    <row r="990" spans="1:15" x14ac:dyDescent="0.3">
      <c r="A990" t="s">
        <v>2277</v>
      </c>
      <c r="B990" t="s">
        <v>2162</v>
      </c>
      <c r="C990" t="s">
        <v>2163</v>
      </c>
      <c r="D990">
        <v>1</v>
      </c>
      <c r="E990" t="s">
        <v>1447</v>
      </c>
      <c r="F990" t="s">
        <v>2112</v>
      </c>
      <c r="G990" t="s">
        <v>1806</v>
      </c>
      <c r="H990" t="s">
        <v>2279</v>
      </c>
      <c r="I990" t="s">
        <v>2279</v>
      </c>
      <c r="J990">
        <v>144000</v>
      </c>
      <c r="K990" t="s">
        <v>2279</v>
      </c>
      <c r="L990" t="s">
        <v>2279</v>
      </c>
      <c r="M990" t="s">
        <v>2279</v>
      </c>
      <c r="N990" t="s">
        <v>2279</v>
      </c>
      <c r="O990" s="190" t="str">
        <f>"["&amp;$C990&amp;"]["&amp;$D990&amp;"]["&amp;$F990&amp;"]"</f>
        <v>[S10_AircraftInfringementPenalties][1][MaxFine]</v>
      </c>
    </row>
    <row r="991" spans="1:15" x14ac:dyDescent="0.3">
      <c r="A991" t="s">
        <v>2277</v>
      </c>
      <c r="B991" t="s">
        <v>2162</v>
      </c>
      <c r="C991" t="s">
        <v>2163</v>
      </c>
      <c r="D991">
        <v>2</v>
      </c>
      <c r="E991" t="s">
        <v>1447</v>
      </c>
      <c r="F991" t="s">
        <v>2112</v>
      </c>
      <c r="G991" t="s">
        <v>1806</v>
      </c>
      <c r="H991" t="s">
        <v>2279</v>
      </c>
      <c r="I991" t="s">
        <v>2279</v>
      </c>
      <c r="J991">
        <v>72000</v>
      </c>
      <c r="K991" t="s">
        <v>2279</v>
      </c>
      <c r="L991" t="s">
        <v>2279</v>
      </c>
      <c r="M991" t="s">
        <v>2279</v>
      </c>
      <c r="N991" t="s">
        <v>2279</v>
      </c>
      <c r="O991" s="190" t="str">
        <f>"["&amp;$C991&amp;"]["&amp;$D991&amp;"]["&amp;$F991&amp;"]"</f>
        <v>[S10_AircraftInfringementPenalties][2][MaxFine]</v>
      </c>
    </row>
    <row r="992" spans="1:15" x14ac:dyDescent="0.3">
      <c r="A992" t="s">
        <v>2277</v>
      </c>
      <c r="B992" t="s">
        <v>2162</v>
      </c>
      <c r="C992" t="s">
        <v>2163</v>
      </c>
      <c r="D992">
        <v>3</v>
      </c>
      <c r="E992" t="s">
        <v>1447</v>
      </c>
      <c r="F992" t="s">
        <v>2112</v>
      </c>
      <c r="G992" t="s">
        <v>1806</v>
      </c>
      <c r="H992" t="s">
        <v>2279</v>
      </c>
      <c r="I992" t="s">
        <v>2279</v>
      </c>
      <c r="J992">
        <v>18000</v>
      </c>
      <c r="K992" t="s">
        <v>2279</v>
      </c>
      <c r="L992" t="s">
        <v>2279</v>
      </c>
      <c r="M992" t="s">
        <v>2279</v>
      </c>
      <c r="N992" t="s">
        <v>2279</v>
      </c>
      <c r="O992" s="190" t="str">
        <f>"["&amp;$C992&amp;"]["&amp;$D992&amp;"]["&amp;$F992&amp;"]"</f>
        <v>[S10_AircraftInfringementPenalties][3][MaxFine]</v>
      </c>
    </row>
    <row r="993" spans="1:15" x14ac:dyDescent="0.3">
      <c r="A993" t="s">
        <v>2277</v>
      </c>
      <c r="B993" t="s">
        <v>2162</v>
      </c>
      <c r="C993" t="s">
        <v>2163</v>
      </c>
      <c r="D993">
        <v>4</v>
      </c>
      <c r="E993" t="s">
        <v>1447</v>
      </c>
      <c r="F993" t="s">
        <v>2112</v>
      </c>
      <c r="G993" t="s">
        <v>1806</v>
      </c>
      <c r="H993" t="s">
        <v>2279</v>
      </c>
      <c r="I993" t="s">
        <v>2279</v>
      </c>
      <c r="J993">
        <v>72000</v>
      </c>
      <c r="K993" t="s">
        <v>2279</v>
      </c>
      <c r="L993" t="s">
        <v>2279</v>
      </c>
      <c r="M993" t="s">
        <v>2279</v>
      </c>
      <c r="N993" t="s">
        <v>2279</v>
      </c>
      <c r="O993" s="190" t="str">
        <f>"["&amp;$C993&amp;"]["&amp;$D993&amp;"]["&amp;$F993&amp;"]"</f>
        <v>[S10_AircraftInfringementPenalties][4][MaxFine]</v>
      </c>
    </row>
    <row r="994" spans="1:15" x14ac:dyDescent="0.3">
      <c r="A994" t="s">
        <v>2277</v>
      </c>
      <c r="B994" t="s">
        <v>2162</v>
      </c>
      <c r="C994" t="s">
        <v>2163</v>
      </c>
      <c r="D994">
        <v>6</v>
      </c>
      <c r="E994" t="s">
        <v>1447</v>
      </c>
      <c r="F994" t="s">
        <v>2112</v>
      </c>
      <c r="G994" t="s">
        <v>1806</v>
      </c>
      <c r="H994" t="s">
        <v>2279</v>
      </c>
      <c r="I994" t="s">
        <v>2279</v>
      </c>
      <c r="J994">
        <v>72000</v>
      </c>
      <c r="K994" t="s">
        <v>2279</v>
      </c>
      <c r="L994" t="s">
        <v>2279</v>
      </c>
      <c r="M994" t="s">
        <v>2279</v>
      </c>
      <c r="N994" t="s">
        <v>2279</v>
      </c>
      <c r="O994" s="190" t="str">
        <f>"["&amp;$C994&amp;"]["&amp;$D994&amp;"]["&amp;$F994&amp;"]"</f>
        <v>[S10_AircraftInfringementPenalties][6][MaxFine]</v>
      </c>
    </row>
    <row r="995" spans="1:15" x14ac:dyDescent="0.3">
      <c r="A995" t="s">
        <v>2277</v>
      </c>
      <c r="B995" t="s">
        <v>2162</v>
      </c>
      <c r="C995" t="s">
        <v>2163</v>
      </c>
      <c r="D995">
        <v>7</v>
      </c>
      <c r="E995" t="s">
        <v>1447</v>
      </c>
      <c r="F995" t="s">
        <v>2112</v>
      </c>
      <c r="G995" t="s">
        <v>1806</v>
      </c>
      <c r="H995" t="s">
        <v>2279</v>
      </c>
      <c r="I995" t="s">
        <v>2279</v>
      </c>
      <c r="J995">
        <v>18000</v>
      </c>
      <c r="K995" t="s">
        <v>2279</v>
      </c>
      <c r="L995" t="s">
        <v>2279</v>
      </c>
      <c r="M995" t="s">
        <v>2279</v>
      </c>
      <c r="N995" t="s">
        <v>2279</v>
      </c>
      <c r="O995" s="190" t="str">
        <f>"["&amp;$C995&amp;"]["&amp;$D995&amp;"]["&amp;$F995&amp;"]"</f>
        <v>[S10_AircraftInfringementPenalties][7][MaxFine]</v>
      </c>
    </row>
    <row r="996" spans="1:15" x14ac:dyDescent="0.3">
      <c r="A996" t="s">
        <v>2277</v>
      </c>
      <c r="B996" t="s">
        <v>2162</v>
      </c>
      <c r="C996" t="s">
        <v>2163</v>
      </c>
      <c r="D996">
        <v>8</v>
      </c>
      <c r="E996" t="s">
        <v>1447</v>
      </c>
      <c r="F996" t="s">
        <v>2112</v>
      </c>
      <c r="G996" t="s">
        <v>1806</v>
      </c>
      <c r="H996" t="s">
        <v>2279</v>
      </c>
      <c r="I996" t="s">
        <v>2279</v>
      </c>
      <c r="J996">
        <v>18000</v>
      </c>
      <c r="K996" t="s">
        <v>2279</v>
      </c>
      <c r="L996" t="s">
        <v>2279</v>
      </c>
      <c r="M996" t="s">
        <v>2279</v>
      </c>
      <c r="N996" t="s">
        <v>2279</v>
      </c>
      <c r="O996" s="190" t="str">
        <f>"["&amp;$C996&amp;"]["&amp;$D996&amp;"]["&amp;$F996&amp;"]"</f>
        <v>[S10_AircraftInfringementPenalties][8][MaxFine]</v>
      </c>
    </row>
    <row r="997" spans="1:15" x14ac:dyDescent="0.3">
      <c r="A997" t="s">
        <v>2277</v>
      </c>
      <c r="B997" t="s">
        <v>2162</v>
      </c>
      <c r="C997" t="s">
        <v>2163</v>
      </c>
      <c r="D997">
        <v>1</v>
      </c>
      <c r="E997" t="s">
        <v>1447</v>
      </c>
      <c r="F997" t="s">
        <v>2115</v>
      </c>
      <c r="G997" t="s">
        <v>1791</v>
      </c>
      <c r="H997" t="s">
        <v>2279</v>
      </c>
      <c r="I997" t="s">
        <v>2279</v>
      </c>
      <c r="J997" t="s">
        <v>2279</v>
      </c>
      <c r="K997" t="s">
        <v>2388</v>
      </c>
      <c r="L997" t="s">
        <v>2279</v>
      </c>
      <c r="M997" t="s">
        <v>2279</v>
      </c>
      <c r="N997" t="s">
        <v>2279</v>
      </c>
      <c r="O997" s="190" t="str">
        <f>"["&amp;$C997&amp;"]["&amp;$D997&amp;"]["&amp;$F997&amp;"]"</f>
        <v>[S10_AircraftInfringementPenalties][1][OtherPenalty]</v>
      </c>
    </row>
    <row r="998" spans="1:15" x14ac:dyDescent="0.3">
      <c r="A998" t="s">
        <v>2277</v>
      </c>
      <c r="B998" t="s">
        <v>2162</v>
      </c>
      <c r="C998" t="s">
        <v>2163</v>
      </c>
      <c r="D998">
        <v>2</v>
      </c>
      <c r="E998" t="s">
        <v>1447</v>
      </c>
      <c r="F998" t="s">
        <v>2115</v>
      </c>
      <c r="G998" t="s">
        <v>1791</v>
      </c>
      <c r="H998" t="s">
        <v>2279</v>
      </c>
      <c r="I998" t="s">
        <v>2279</v>
      </c>
      <c r="J998" t="s">
        <v>2279</v>
      </c>
      <c r="K998" t="s">
        <v>2390</v>
      </c>
      <c r="L998" t="s">
        <v>2279</v>
      </c>
      <c r="M998" t="s">
        <v>2279</v>
      </c>
      <c r="N998" t="s">
        <v>2279</v>
      </c>
      <c r="O998" s="190" t="str">
        <f>"["&amp;$C998&amp;"]["&amp;$D998&amp;"]["&amp;$F998&amp;"]"</f>
        <v>[S10_AircraftInfringementPenalties][2][OtherPenalty]</v>
      </c>
    </row>
    <row r="999" spans="1:15" x14ac:dyDescent="0.3">
      <c r="A999" t="s">
        <v>2277</v>
      </c>
      <c r="B999" t="s">
        <v>2162</v>
      </c>
      <c r="C999" t="s">
        <v>2163</v>
      </c>
      <c r="D999">
        <v>3</v>
      </c>
      <c r="E999" t="s">
        <v>1447</v>
      </c>
      <c r="F999" t="s">
        <v>2115</v>
      </c>
      <c r="G999" t="s">
        <v>1791</v>
      </c>
      <c r="H999" t="s">
        <v>2279</v>
      </c>
      <c r="I999" t="s">
        <v>2279</v>
      </c>
      <c r="J999" t="s">
        <v>2279</v>
      </c>
      <c r="K999" t="s">
        <v>2389</v>
      </c>
      <c r="L999" t="s">
        <v>2279</v>
      </c>
      <c r="M999" t="s">
        <v>2279</v>
      </c>
      <c r="N999" t="s">
        <v>2279</v>
      </c>
      <c r="O999" s="190" t="str">
        <f>"["&amp;$C999&amp;"]["&amp;$D999&amp;"]["&amp;$F999&amp;"]"</f>
        <v>[S10_AircraftInfringementPenalties][3][OtherPenalty]</v>
      </c>
    </row>
    <row r="1000" spans="1:15" x14ac:dyDescent="0.3">
      <c r="A1000" t="s">
        <v>2277</v>
      </c>
      <c r="B1000" t="s">
        <v>2162</v>
      </c>
      <c r="C1000" t="s">
        <v>2163</v>
      </c>
      <c r="D1000">
        <v>4</v>
      </c>
      <c r="E1000" t="s">
        <v>1447</v>
      </c>
      <c r="F1000" t="s">
        <v>2115</v>
      </c>
      <c r="G1000" t="s">
        <v>1791</v>
      </c>
      <c r="H1000" t="s">
        <v>2279</v>
      </c>
      <c r="I1000" t="s">
        <v>2279</v>
      </c>
      <c r="J1000" t="s">
        <v>2279</v>
      </c>
      <c r="K1000" t="s">
        <v>2390</v>
      </c>
      <c r="L1000" t="s">
        <v>2279</v>
      </c>
      <c r="M1000" t="s">
        <v>2279</v>
      </c>
      <c r="N1000" t="s">
        <v>2279</v>
      </c>
      <c r="O1000" s="190" t="str">
        <f>"["&amp;$C1000&amp;"]["&amp;$D1000&amp;"]["&amp;$F1000&amp;"]"</f>
        <v>[S10_AircraftInfringementPenalties][4][OtherPenalty]</v>
      </c>
    </row>
    <row r="1001" spans="1:15" x14ac:dyDescent="0.3">
      <c r="A1001" t="s">
        <v>2277</v>
      </c>
      <c r="B1001" t="s">
        <v>2162</v>
      </c>
      <c r="C1001" t="s">
        <v>2163</v>
      </c>
      <c r="D1001">
        <v>6</v>
      </c>
      <c r="E1001" t="s">
        <v>1447</v>
      </c>
      <c r="F1001" t="s">
        <v>2115</v>
      </c>
      <c r="G1001" t="s">
        <v>1791</v>
      </c>
      <c r="H1001" t="s">
        <v>2279</v>
      </c>
      <c r="I1001" t="s">
        <v>2279</v>
      </c>
      <c r="J1001" t="s">
        <v>2279</v>
      </c>
      <c r="K1001" t="s">
        <v>2390</v>
      </c>
      <c r="L1001" t="s">
        <v>2279</v>
      </c>
      <c r="M1001" t="s">
        <v>2279</v>
      </c>
      <c r="N1001" t="s">
        <v>2279</v>
      </c>
      <c r="O1001" s="190" t="str">
        <f>"["&amp;$C1001&amp;"]["&amp;$D1001&amp;"]["&amp;$F1001&amp;"]"</f>
        <v>[S10_AircraftInfringementPenalties][6][OtherPenalty]</v>
      </c>
    </row>
    <row r="1002" spans="1:15" x14ac:dyDescent="0.3">
      <c r="A1002" t="s">
        <v>2277</v>
      </c>
      <c r="B1002" t="s">
        <v>2162</v>
      </c>
      <c r="C1002" t="s">
        <v>2163</v>
      </c>
      <c r="D1002">
        <v>7</v>
      </c>
      <c r="E1002" t="s">
        <v>1447</v>
      </c>
      <c r="F1002" t="s">
        <v>2115</v>
      </c>
      <c r="G1002" t="s">
        <v>1791</v>
      </c>
      <c r="H1002" t="s">
        <v>2279</v>
      </c>
      <c r="I1002" t="s">
        <v>2279</v>
      </c>
      <c r="J1002" t="s">
        <v>2279</v>
      </c>
      <c r="K1002" t="s">
        <v>2389</v>
      </c>
      <c r="L1002" t="s">
        <v>2279</v>
      </c>
      <c r="M1002" t="s">
        <v>2279</v>
      </c>
      <c r="N1002" t="s">
        <v>2279</v>
      </c>
      <c r="O1002" s="190" t="str">
        <f>"["&amp;$C1002&amp;"]["&amp;$D1002&amp;"]["&amp;$F1002&amp;"]"</f>
        <v>[S10_AircraftInfringementPenalties][7][OtherPenalty]</v>
      </c>
    </row>
    <row r="1003" spans="1:15" x14ac:dyDescent="0.3">
      <c r="A1003" t="s">
        <v>2277</v>
      </c>
      <c r="B1003" t="s">
        <v>2162</v>
      </c>
      <c r="C1003" t="s">
        <v>2163</v>
      </c>
      <c r="D1003">
        <v>8</v>
      </c>
      <c r="E1003" t="s">
        <v>1447</v>
      </c>
      <c r="F1003" t="s">
        <v>2115</v>
      </c>
      <c r="G1003" t="s">
        <v>1791</v>
      </c>
      <c r="H1003" t="s">
        <v>2279</v>
      </c>
      <c r="I1003" t="s">
        <v>2279</v>
      </c>
      <c r="J1003" t="s">
        <v>2279</v>
      </c>
      <c r="K1003" t="s">
        <v>2389</v>
      </c>
      <c r="L1003" t="s">
        <v>2279</v>
      </c>
      <c r="M1003" t="s">
        <v>2279</v>
      </c>
      <c r="N1003" t="s">
        <v>2279</v>
      </c>
      <c r="O1003" s="190" t="str">
        <f>"["&amp;$C1003&amp;"]["&amp;$D1003&amp;"]["&amp;$F1003&amp;"]"</f>
        <v>[S10_AircraftInfringementPenalties][8][OtherPenalty]</v>
      </c>
    </row>
    <row r="1004" spans="1:15" x14ac:dyDescent="0.3">
      <c r="A1004" t="s">
        <v>2277</v>
      </c>
      <c r="B1004" t="s">
        <v>2162</v>
      </c>
      <c r="C1004" t="s">
        <v>2164</v>
      </c>
      <c r="D1004">
        <v>0</v>
      </c>
      <c r="E1004" t="s">
        <v>1447</v>
      </c>
      <c r="F1004" t="s">
        <v>2164</v>
      </c>
      <c r="G1004" t="s">
        <v>1741</v>
      </c>
      <c r="H1004" t="s">
        <v>2394</v>
      </c>
      <c r="I1004" t="s">
        <v>2279</v>
      </c>
      <c r="J1004" t="s">
        <v>2279</v>
      </c>
      <c r="K1004" t="s">
        <v>2279</v>
      </c>
      <c r="L1004" t="s">
        <v>2279</v>
      </c>
      <c r="M1004" t="s">
        <v>2279</v>
      </c>
      <c r="N1004" t="s">
        <v>2279</v>
      </c>
      <c r="O1004" s="190" t="str">
        <f>"["&amp;$C1004&amp;"]["&amp;$D1004&amp;"]["&amp;$F1004&amp;"]"</f>
        <v>[AircraftNationalLaw][0][AircraftNationalLaw]</v>
      </c>
    </row>
    <row r="1005" spans="1:15" x14ac:dyDescent="0.3">
      <c r="A1005" t="s">
        <v>2277</v>
      </c>
      <c r="B1005" t="s">
        <v>2172</v>
      </c>
      <c r="C1005" t="s">
        <v>2173</v>
      </c>
      <c r="D1005">
        <v>0</v>
      </c>
      <c r="E1005" t="s">
        <v>1447</v>
      </c>
      <c r="F1005" t="s">
        <v>2173</v>
      </c>
      <c r="G1005" t="s">
        <v>1741</v>
      </c>
      <c r="H1005" t="s">
        <v>2395</v>
      </c>
      <c r="I1005" t="s">
        <v>2279</v>
      </c>
      <c r="J1005" t="s">
        <v>2279</v>
      </c>
      <c r="K1005" t="s">
        <v>2279</v>
      </c>
      <c r="L1005" t="s">
        <v>2279</v>
      </c>
      <c r="M1005" t="s">
        <v>2279</v>
      </c>
      <c r="N1005" t="s">
        <v>2279</v>
      </c>
      <c r="O1005" s="190" t="str">
        <f>"["&amp;$C1005&amp;"]["&amp;$D1005&amp;"]["&amp;$F1005&amp;"]"</f>
        <v>[OperatingBanRequestMeasures][0][OperatingBanRequestMeasures]</v>
      </c>
    </row>
    <row r="1006" spans="1:15" x14ac:dyDescent="0.3">
      <c r="A1006" t="s">
        <v>2277</v>
      </c>
      <c r="B1006" t="s">
        <v>2174</v>
      </c>
      <c r="C1006" t="s">
        <v>2175</v>
      </c>
      <c r="D1006">
        <v>0</v>
      </c>
      <c r="E1006" t="s">
        <v>1447</v>
      </c>
      <c r="F1006" t="s">
        <v>2175</v>
      </c>
      <c r="G1006" t="s">
        <v>1741</v>
      </c>
      <c r="H1006" t="s">
        <v>2396</v>
      </c>
      <c r="I1006" t="s">
        <v>2279</v>
      </c>
      <c r="J1006" t="s">
        <v>2279</v>
      </c>
      <c r="K1006" t="s">
        <v>2279</v>
      </c>
      <c r="L1006" t="s">
        <v>2279</v>
      </c>
      <c r="M1006" t="s">
        <v>2279</v>
      </c>
      <c r="N1006" t="s">
        <v>2279</v>
      </c>
      <c r="O1006" s="190" t="str">
        <f>"["&amp;$C1006&amp;"]["&amp;$D1006&amp;"]["&amp;$F1006&amp;"]"</f>
        <v>[LegalNatureOfEmissionAllowance][0][LegalNatureOfEmissionAllowance]</v>
      </c>
    </row>
    <row r="1007" spans="1:15" x14ac:dyDescent="0.3">
      <c r="A1007" t="s">
        <v>2277</v>
      </c>
      <c r="B1007" t="s">
        <v>2176</v>
      </c>
      <c r="C1007" t="s">
        <v>2177</v>
      </c>
      <c r="D1007">
        <v>0</v>
      </c>
      <c r="E1007" t="s">
        <v>1447</v>
      </c>
      <c r="F1007" t="s">
        <v>2177</v>
      </c>
      <c r="G1007" t="s">
        <v>1741</v>
      </c>
      <c r="H1007" t="s">
        <v>2397</v>
      </c>
      <c r="I1007" t="s">
        <v>2279</v>
      </c>
      <c r="J1007" t="s">
        <v>2279</v>
      </c>
      <c r="K1007" t="s">
        <v>2279</v>
      </c>
      <c r="L1007" t="s">
        <v>2279</v>
      </c>
      <c r="M1007" t="s">
        <v>2279</v>
      </c>
      <c r="N1007" t="s">
        <v>2279</v>
      </c>
      <c r="O1007" s="190" t="str">
        <f>"["&amp;$C1007&amp;"]["&amp;$D1007&amp;"]["&amp;$F1007&amp;"]"</f>
        <v>[AccountingTreatmentOfEmissionAllowances][0][AccountingTreatmentOfEmissionAllowances]</v>
      </c>
    </row>
    <row r="1008" spans="1:15" x14ac:dyDescent="0.3">
      <c r="A1008" t="s">
        <v>2277</v>
      </c>
      <c r="B1008" t="s">
        <v>2178</v>
      </c>
      <c r="C1008" t="s">
        <v>2179</v>
      </c>
      <c r="D1008">
        <v>0</v>
      </c>
      <c r="E1008" t="s">
        <v>1447</v>
      </c>
      <c r="F1008" t="s">
        <v>2179</v>
      </c>
      <c r="G1008" t="s">
        <v>1759</v>
      </c>
      <c r="H1008" t="s">
        <v>2279</v>
      </c>
      <c r="I1008" t="s">
        <v>2279</v>
      </c>
      <c r="J1008" t="s">
        <v>2279</v>
      </c>
      <c r="K1008" t="s">
        <v>2279</v>
      </c>
      <c r="L1008" t="s">
        <v>1419</v>
      </c>
      <c r="M1008" t="s">
        <v>2279</v>
      </c>
      <c r="N1008" t="s">
        <v>2279</v>
      </c>
      <c r="O1008" s="190" t="str">
        <f>"["&amp;$C1008&amp;"]["&amp;$D1008&amp;"]["&amp;$F1008&amp;"]"</f>
        <v>[VATdueEmissionAllowancesIssuance][0][VATdueEmissionAllowancesIssuance]</v>
      </c>
    </row>
    <row r="1009" spans="1:15" x14ac:dyDescent="0.3">
      <c r="A1009" t="s">
        <v>2277</v>
      </c>
      <c r="B1009" t="s">
        <v>2178</v>
      </c>
      <c r="C1009" t="s">
        <v>2180</v>
      </c>
      <c r="D1009">
        <v>0</v>
      </c>
      <c r="E1009" t="s">
        <v>1447</v>
      </c>
      <c r="F1009" t="s">
        <v>2180</v>
      </c>
      <c r="G1009" t="s">
        <v>1759</v>
      </c>
      <c r="H1009" t="s">
        <v>2279</v>
      </c>
      <c r="I1009" t="s">
        <v>2279</v>
      </c>
      <c r="J1009" t="s">
        <v>2279</v>
      </c>
      <c r="K1009" t="s">
        <v>2279</v>
      </c>
      <c r="L1009" t="s">
        <v>1419</v>
      </c>
      <c r="M1009" t="s">
        <v>2279</v>
      </c>
      <c r="N1009" t="s">
        <v>2279</v>
      </c>
      <c r="O1009" s="190" t="str">
        <f>"["&amp;$C1009&amp;"]["&amp;$D1009&amp;"]["&amp;$F1009&amp;"]"</f>
        <v>[ReverseChargeMechanismEmissionAllowances][0][ReverseChargeMechanismEmissionAllowances]</v>
      </c>
    </row>
    <row r="1010" spans="1:15" x14ac:dyDescent="0.3">
      <c r="A1010" t="s">
        <v>2277</v>
      </c>
      <c r="B1010" t="s">
        <v>2181</v>
      </c>
      <c r="C1010" t="s">
        <v>2182</v>
      </c>
      <c r="D1010">
        <v>0</v>
      </c>
      <c r="E1010" t="s">
        <v>1447</v>
      </c>
      <c r="F1010" t="s">
        <v>2182</v>
      </c>
      <c r="G1010" t="s">
        <v>1759</v>
      </c>
      <c r="H1010" t="s">
        <v>2279</v>
      </c>
      <c r="I1010" t="s">
        <v>2279</v>
      </c>
      <c r="J1010" t="s">
        <v>2279</v>
      </c>
      <c r="K1010" t="s">
        <v>2279</v>
      </c>
      <c r="L1010" t="s">
        <v>1419</v>
      </c>
      <c r="M1010" t="s">
        <v>2279</v>
      </c>
      <c r="N1010" t="s">
        <v>2279</v>
      </c>
      <c r="O1010" s="190" t="str">
        <f>"["&amp;$C1010&amp;"]["&amp;$D1010&amp;"]["&amp;$F1010&amp;"]"</f>
        <v>[EmissionAllowancesTaxed][0][EmissionAllowancesTaxed]</v>
      </c>
    </row>
    <row r="1011" spans="1:15" x14ac:dyDescent="0.3">
      <c r="A1011" t="s">
        <v>2277</v>
      </c>
      <c r="B1011" t="s">
        <v>2181</v>
      </c>
      <c r="C1011" t="s">
        <v>2183</v>
      </c>
      <c r="D1011">
        <v>1</v>
      </c>
      <c r="E1011" t="s">
        <v>1447</v>
      </c>
      <c r="F1011" t="s">
        <v>2184</v>
      </c>
      <c r="G1011" t="s">
        <v>1741</v>
      </c>
      <c r="H1011" t="s">
        <v>2398</v>
      </c>
      <c r="I1011" t="s">
        <v>2279</v>
      </c>
      <c r="J1011" t="s">
        <v>2279</v>
      </c>
      <c r="K1011" t="s">
        <v>2279</v>
      </c>
      <c r="L1011" t="s">
        <v>2279</v>
      </c>
      <c r="M1011" t="s">
        <v>2279</v>
      </c>
      <c r="N1011" t="s">
        <v>2279</v>
      </c>
      <c r="O1011" s="190" t="str">
        <f>"["&amp;$C1011&amp;"]["&amp;$D1011&amp;"]["&amp;$F1011&amp;"]"</f>
        <v>[S11_TypeOfTaxRatesApplied][1][TypeOfTax]</v>
      </c>
    </row>
    <row r="1012" spans="1:15" x14ac:dyDescent="0.3">
      <c r="A1012" t="s">
        <v>2277</v>
      </c>
      <c r="B1012" t="s">
        <v>2181</v>
      </c>
      <c r="C1012" t="s">
        <v>2183</v>
      </c>
      <c r="D1012">
        <v>1</v>
      </c>
      <c r="E1012" t="s">
        <v>1447</v>
      </c>
      <c r="F1012" t="s">
        <v>2185</v>
      </c>
      <c r="G1012" t="s">
        <v>1741</v>
      </c>
      <c r="H1012" t="s">
        <v>2399</v>
      </c>
      <c r="I1012" t="s">
        <v>2279</v>
      </c>
      <c r="J1012" t="s">
        <v>2279</v>
      </c>
      <c r="K1012" t="s">
        <v>2279</v>
      </c>
      <c r="L1012" t="s">
        <v>2279</v>
      </c>
      <c r="M1012" t="s">
        <v>2279</v>
      </c>
      <c r="N1012" t="s">
        <v>2279</v>
      </c>
      <c r="O1012" s="190" t="str">
        <f>"["&amp;$C1012&amp;"]["&amp;$D1012&amp;"]["&amp;$F1012&amp;"]"</f>
        <v>[S11_TypeOfTaxRatesApplied][1][TaxRateApplied]</v>
      </c>
    </row>
    <row r="1013" spans="1:15" x14ac:dyDescent="0.3">
      <c r="A1013" t="s">
        <v>2277</v>
      </c>
      <c r="B1013" t="s">
        <v>2186</v>
      </c>
      <c r="C1013" t="s">
        <v>2187</v>
      </c>
      <c r="D1013">
        <v>1</v>
      </c>
      <c r="E1013" t="s">
        <v>1447</v>
      </c>
      <c r="F1013" t="s">
        <v>2188</v>
      </c>
      <c r="G1013" t="s">
        <v>1741</v>
      </c>
      <c r="H1013" t="s">
        <v>2400</v>
      </c>
      <c r="I1013" t="s">
        <v>2279</v>
      </c>
      <c r="J1013" t="s">
        <v>2279</v>
      </c>
      <c r="K1013" t="s">
        <v>2279</v>
      </c>
      <c r="L1013" t="s">
        <v>2279</v>
      </c>
      <c r="M1013" t="s">
        <v>2279</v>
      </c>
      <c r="N1013" t="s">
        <v>2279</v>
      </c>
      <c r="O1013" s="190" t="str">
        <f>"["&amp;$C1013&amp;"]["&amp;$D1013&amp;"]["&amp;$F1013&amp;"]"</f>
        <v>[S12_FraudFreeAllocationOfAllowances][1][DetailsOfProceduresInNationalLaw]</v>
      </c>
    </row>
    <row r="1014" spans="1:15" x14ac:dyDescent="0.3">
      <c r="A1014" t="s">
        <v>2277</v>
      </c>
      <c r="B1014" t="s">
        <v>2186</v>
      </c>
      <c r="C1014" t="s">
        <v>2187</v>
      </c>
      <c r="D1014">
        <v>2</v>
      </c>
      <c r="E1014" t="s">
        <v>1447</v>
      </c>
      <c r="F1014" t="s">
        <v>2188</v>
      </c>
      <c r="G1014" t="s">
        <v>1741</v>
      </c>
      <c r="H1014" t="s">
        <v>2371</v>
      </c>
      <c r="I1014" t="s">
        <v>2279</v>
      </c>
      <c r="J1014" t="s">
        <v>2279</v>
      </c>
      <c r="K1014" t="s">
        <v>2279</v>
      </c>
      <c r="L1014" t="s">
        <v>2279</v>
      </c>
      <c r="M1014" t="s">
        <v>2279</v>
      </c>
      <c r="N1014" t="s">
        <v>2279</v>
      </c>
      <c r="O1014" s="190" t="str">
        <f>"["&amp;$C1014&amp;"]["&amp;$D1014&amp;"]["&amp;$F1014&amp;"]"</f>
        <v>[S12_FraudFreeAllocationOfAllowances][2][DetailsOfProceduresInNationalLaw]</v>
      </c>
    </row>
    <row r="1015" spans="1:15" x14ac:dyDescent="0.3">
      <c r="A1015" t="s">
        <v>2277</v>
      </c>
      <c r="B1015" t="s">
        <v>2186</v>
      </c>
      <c r="C1015" t="s">
        <v>2187</v>
      </c>
      <c r="D1015">
        <v>3</v>
      </c>
      <c r="E1015" t="s">
        <v>1447</v>
      </c>
      <c r="F1015" t="s">
        <v>2188</v>
      </c>
      <c r="G1015" t="s">
        <v>1741</v>
      </c>
      <c r="H1015" t="s">
        <v>2401</v>
      </c>
      <c r="I1015" t="s">
        <v>2279</v>
      </c>
      <c r="J1015" t="s">
        <v>2279</v>
      </c>
      <c r="K1015" t="s">
        <v>2279</v>
      </c>
      <c r="L1015" t="s">
        <v>2279</v>
      </c>
      <c r="M1015" t="s">
        <v>2279</v>
      </c>
      <c r="N1015" t="s">
        <v>2279</v>
      </c>
      <c r="O1015" s="190" t="str">
        <f>"["&amp;$C1015&amp;"]["&amp;$D1015&amp;"]["&amp;$F1015&amp;"]"</f>
        <v>[S12_FraudFreeAllocationOfAllowances][3][DetailsOfProceduresInNationalLaw]</v>
      </c>
    </row>
    <row r="1016" spans="1:15" x14ac:dyDescent="0.3">
      <c r="A1016" t="s">
        <v>2277</v>
      </c>
      <c r="B1016" t="s">
        <v>2186</v>
      </c>
      <c r="C1016" t="s">
        <v>2187</v>
      </c>
      <c r="D1016">
        <v>4</v>
      </c>
      <c r="E1016" t="s">
        <v>1447</v>
      </c>
      <c r="F1016" t="s">
        <v>2188</v>
      </c>
      <c r="G1016" t="s">
        <v>1741</v>
      </c>
      <c r="H1016" t="s">
        <v>2371</v>
      </c>
      <c r="I1016" t="s">
        <v>2279</v>
      </c>
      <c r="J1016" t="s">
        <v>2279</v>
      </c>
      <c r="K1016" t="s">
        <v>2279</v>
      </c>
      <c r="L1016" t="s">
        <v>2279</v>
      </c>
      <c r="M1016" t="s">
        <v>2279</v>
      </c>
      <c r="N1016" t="s">
        <v>2279</v>
      </c>
      <c r="O1016" s="190" t="str">
        <f>"["&amp;$C1016&amp;"]["&amp;$D1016&amp;"]["&amp;$F1016&amp;"]"</f>
        <v>[S12_FraudFreeAllocationOfAllowances][4][DetailsOfProceduresInNationalLaw]</v>
      </c>
    </row>
    <row r="1017" spans="1:15" x14ac:dyDescent="0.3">
      <c r="A1017" t="s">
        <v>2277</v>
      </c>
      <c r="B1017" t="s">
        <v>2186</v>
      </c>
      <c r="C1017" t="s">
        <v>2187</v>
      </c>
      <c r="D1017">
        <v>5</v>
      </c>
      <c r="E1017" t="s">
        <v>1447</v>
      </c>
      <c r="F1017" t="s">
        <v>2188</v>
      </c>
      <c r="G1017" t="s">
        <v>1741</v>
      </c>
      <c r="H1017" t="s">
        <v>2371</v>
      </c>
      <c r="I1017" t="s">
        <v>2279</v>
      </c>
      <c r="J1017" t="s">
        <v>2279</v>
      </c>
      <c r="K1017" t="s">
        <v>2279</v>
      </c>
      <c r="L1017" t="s">
        <v>2279</v>
      </c>
      <c r="M1017" t="s">
        <v>2279</v>
      </c>
      <c r="N1017" t="s">
        <v>2279</v>
      </c>
      <c r="O1017" s="190" t="str">
        <f>"["&amp;$C1017&amp;"]["&amp;$D1017&amp;"]["&amp;$F1017&amp;"]"</f>
        <v>[S12_FraudFreeAllocationOfAllowances][5][DetailsOfProceduresInNationalLaw]</v>
      </c>
    </row>
    <row r="1018" spans="1:15" x14ac:dyDescent="0.3">
      <c r="A1018" t="s">
        <v>2277</v>
      </c>
      <c r="B1018" t="s">
        <v>2186</v>
      </c>
      <c r="C1018" t="s">
        <v>2187</v>
      </c>
      <c r="D1018">
        <v>6</v>
      </c>
      <c r="E1018" t="s">
        <v>1447</v>
      </c>
      <c r="F1018" t="s">
        <v>2188</v>
      </c>
      <c r="G1018" t="s">
        <v>1741</v>
      </c>
      <c r="H1018" t="s">
        <v>2402</v>
      </c>
      <c r="I1018" t="s">
        <v>2279</v>
      </c>
      <c r="J1018" t="s">
        <v>2279</v>
      </c>
      <c r="K1018" t="s">
        <v>2279</v>
      </c>
      <c r="L1018" t="s">
        <v>2279</v>
      </c>
      <c r="M1018" t="s">
        <v>2279</v>
      </c>
      <c r="N1018" t="s">
        <v>2279</v>
      </c>
      <c r="O1018" s="190" t="str">
        <f>"["&amp;$C1018&amp;"]["&amp;$D1018&amp;"]["&amp;$F1018&amp;"]"</f>
        <v>[S12_FraudFreeAllocationOfAllowances][6][DetailsOfProceduresInNationalLaw]</v>
      </c>
    </row>
    <row r="1019" spans="1:15" x14ac:dyDescent="0.3">
      <c r="A1019" t="s">
        <v>2277</v>
      </c>
      <c r="B1019" t="s">
        <v>2195</v>
      </c>
      <c r="C1019" t="s">
        <v>2196</v>
      </c>
      <c r="D1019">
        <v>12</v>
      </c>
      <c r="E1019" t="s">
        <v>1447</v>
      </c>
      <c r="F1019" t="s">
        <v>2197</v>
      </c>
      <c r="G1019" t="s">
        <v>1791</v>
      </c>
      <c r="H1019" t="s">
        <v>2279</v>
      </c>
      <c r="I1019" t="s">
        <v>2279</v>
      </c>
      <c r="J1019" t="s">
        <v>2279</v>
      </c>
      <c r="K1019" t="s">
        <v>2403</v>
      </c>
      <c r="L1019" t="s">
        <v>2279</v>
      </c>
      <c r="M1019" t="s">
        <v>2279</v>
      </c>
      <c r="N1019" t="s">
        <v>2279</v>
      </c>
      <c r="O1019" s="190" t="str">
        <f>"["&amp;$C1019&amp;"]["&amp;$D1019&amp;"]["&amp;$F1019&amp;"]"</f>
        <v>[S13_AnyOtherIssues][12][OtherInformationOrIssues]</v>
      </c>
    </row>
    <row r="1020" spans="1:15" x14ac:dyDescent="0.3">
      <c r="A1020" t="s">
        <v>2277</v>
      </c>
      <c r="B1020" t="s">
        <v>2195</v>
      </c>
      <c r="C1020" t="s">
        <v>2196</v>
      </c>
      <c r="D1020">
        <v>13</v>
      </c>
      <c r="E1020" t="s">
        <v>1447</v>
      </c>
      <c r="F1020" t="s">
        <v>2197</v>
      </c>
      <c r="G1020" t="s">
        <v>1791</v>
      </c>
      <c r="H1020" t="s">
        <v>2279</v>
      </c>
      <c r="I1020" t="s">
        <v>2279</v>
      </c>
      <c r="J1020" t="s">
        <v>2279</v>
      </c>
      <c r="K1020" t="s">
        <v>2404</v>
      </c>
      <c r="L1020" t="s">
        <v>2279</v>
      </c>
      <c r="M1020" t="s">
        <v>2279</v>
      </c>
      <c r="N1020" t="s">
        <v>2279</v>
      </c>
      <c r="O1020" s="190" t="str">
        <f>"["&amp;$C1020&amp;"]["&amp;$D1020&amp;"]["&amp;$F1020&amp;"]"</f>
        <v>[S13_AnyOtherIssues][13][OtherInformationOrIssues]</v>
      </c>
    </row>
    <row r="1021" spans="1:15" x14ac:dyDescent="0.3">
      <c r="A1021" t="s">
        <v>2277</v>
      </c>
      <c r="B1021" t="s">
        <v>2195</v>
      </c>
      <c r="C1021" t="s">
        <v>2196</v>
      </c>
      <c r="D1021">
        <v>14</v>
      </c>
      <c r="E1021" t="s">
        <v>1447</v>
      </c>
      <c r="F1021" t="s">
        <v>2197</v>
      </c>
      <c r="G1021" t="s">
        <v>1791</v>
      </c>
      <c r="H1021" t="s">
        <v>2279</v>
      </c>
      <c r="I1021" t="s">
        <v>2279</v>
      </c>
      <c r="J1021" t="s">
        <v>2279</v>
      </c>
      <c r="K1021" t="s">
        <v>2405</v>
      </c>
      <c r="L1021" t="s">
        <v>2279</v>
      </c>
      <c r="M1021" t="s">
        <v>2279</v>
      </c>
      <c r="N1021" t="s">
        <v>2279</v>
      </c>
      <c r="O1021" s="190" t="str">
        <f>"["&amp;$C1021&amp;"]["&amp;$D1021&amp;"]["&amp;$F1021&amp;"]"</f>
        <v>[S13_AnyOtherIssues][14][OtherInformationOrIssues]</v>
      </c>
    </row>
    <row r="1022" spans="1:15" x14ac:dyDescent="0.3">
      <c r="A1022" t="s">
        <v>2277</v>
      </c>
      <c r="B1022" t="s">
        <v>2195</v>
      </c>
      <c r="C1022" t="s">
        <v>2196</v>
      </c>
      <c r="D1022">
        <v>35</v>
      </c>
      <c r="E1022" t="s">
        <v>1447</v>
      </c>
      <c r="F1022" t="s">
        <v>2197</v>
      </c>
      <c r="G1022" t="s">
        <v>1791</v>
      </c>
      <c r="H1022" t="s">
        <v>2279</v>
      </c>
      <c r="I1022" t="s">
        <v>2279</v>
      </c>
      <c r="J1022" t="s">
        <v>2279</v>
      </c>
      <c r="K1022" t="s">
        <v>2406</v>
      </c>
      <c r="L1022" t="s">
        <v>2279</v>
      </c>
      <c r="M1022" t="s">
        <v>2279</v>
      </c>
      <c r="N1022" t="s">
        <v>2279</v>
      </c>
      <c r="O1022" s="190" t="str">
        <f>"["&amp;$C1022&amp;"]["&amp;$D1022&amp;"]["&amp;$F1022&amp;"]"</f>
        <v>[S13_AnyOtherIssues][35][OtherInformationOrIssues]</v>
      </c>
    </row>
    <row r="1023" spans="1:15" x14ac:dyDescent="0.3">
      <c r="A1023" t="s">
        <v>2277</v>
      </c>
      <c r="B1023" t="s">
        <v>2195</v>
      </c>
      <c r="C1023" t="s">
        <v>2196</v>
      </c>
      <c r="D1023">
        <v>36</v>
      </c>
      <c r="E1023" t="s">
        <v>1447</v>
      </c>
      <c r="F1023" t="s">
        <v>2197</v>
      </c>
      <c r="G1023" t="s">
        <v>1791</v>
      </c>
      <c r="H1023" t="s">
        <v>2279</v>
      </c>
      <c r="I1023" t="s">
        <v>2279</v>
      </c>
      <c r="J1023" t="s">
        <v>2279</v>
      </c>
      <c r="K1023" t="s">
        <v>2407</v>
      </c>
      <c r="L1023" t="s">
        <v>2279</v>
      </c>
      <c r="M1023" t="s">
        <v>2279</v>
      </c>
      <c r="N1023" t="s">
        <v>2279</v>
      </c>
      <c r="O1023" s="190" t="str">
        <f>"["&amp;$C1023&amp;"]["&amp;$D1023&amp;"]["&amp;$F1023&amp;"]"</f>
        <v>[S13_AnyOtherIssues][36][OtherInformationOrIssues]</v>
      </c>
    </row>
    <row r="1024" spans="1:15" x14ac:dyDescent="0.3">
      <c r="A1024" t="s">
        <v>2277</v>
      </c>
      <c r="B1024" t="s">
        <v>2195</v>
      </c>
      <c r="C1024" t="s">
        <v>2196</v>
      </c>
      <c r="D1024">
        <v>37</v>
      </c>
      <c r="E1024" t="s">
        <v>1447</v>
      </c>
      <c r="F1024" t="s">
        <v>2197</v>
      </c>
      <c r="G1024" t="s">
        <v>1791</v>
      </c>
      <c r="H1024" t="s">
        <v>2279</v>
      </c>
      <c r="I1024" t="s">
        <v>2279</v>
      </c>
      <c r="J1024" t="s">
        <v>2279</v>
      </c>
      <c r="K1024" t="s">
        <v>2408</v>
      </c>
      <c r="L1024" t="s">
        <v>2279</v>
      </c>
      <c r="M1024" t="s">
        <v>2279</v>
      </c>
      <c r="N1024" t="s">
        <v>2279</v>
      </c>
      <c r="O1024" s="190" t="str">
        <f>"["&amp;$C1024&amp;"]["&amp;$D1024&amp;"]["&amp;$F1024&amp;"]"</f>
        <v>[S13_AnyOtherIssues][37][OtherInformationOrIssues]</v>
      </c>
    </row>
    <row r="1025" spans="1:15" x14ac:dyDescent="0.3">
      <c r="A1025" t="s">
        <v>2277</v>
      </c>
      <c r="B1025" t="s">
        <v>2195</v>
      </c>
      <c r="C1025" t="s">
        <v>2196</v>
      </c>
      <c r="D1025">
        <v>68</v>
      </c>
      <c r="E1025" t="s">
        <v>1447</v>
      </c>
      <c r="F1025" t="s">
        <v>2197</v>
      </c>
      <c r="G1025" t="s">
        <v>1791</v>
      </c>
      <c r="H1025" t="s">
        <v>2279</v>
      </c>
      <c r="I1025" t="s">
        <v>2279</v>
      </c>
      <c r="J1025" t="s">
        <v>2279</v>
      </c>
      <c r="K1025" t="s">
        <v>2409</v>
      </c>
      <c r="L1025" t="s">
        <v>2279</v>
      </c>
      <c r="M1025" t="s">
        <v>2279</v>
      </c>
      <c r="N1025" t="s">
        <v>2279</v>
      </c>
      <c r="O1025" s="190" t="str">
        <f>"["&amp;$C1025&amp;"]["&amp;$D1025&amp;"]["&amp;$F1025&amp;"]"</f>
        <v>[S13_AnyOtherIssues][68][OtherInformationOrIssues]</v>
      </c>
    </row>
    <row r="1026" spans="1:15" x14ac:dyDescent="0.3">
      <c r="A1026" t="s">
        <v>2277</v>
      </c>
      <c r="B1026" t="s">
        <v>2195</v>
      </c>
      <c r="C1026" t="s">
        <v>2196</v>
      </c>
      <c r="D1026">
        <v>69</v>
      </c>
      <c r="E1026" t="s">
        <v>1447</v>
      </c>
      <c r="F1026" t="s">
        <v>2197</v>
      </c>
      <c r="G1026" t="s">
        <v>1791</v>
      </c>
      <c r="H1026" t="s">
        <v>2279</v>
      </c>
      <c r="I1026" t="s">
        <v>2279</v>
      </c>
      <c r="J1026" t="s">
        <v>2279</v>
      </c>
      <c r="K1026" t="s">
        <v>2410</v>
      </c>
      <c r="L1026" t="s">
        <v>2279</v>
      </c>
      <c r="M1026" t="s">
        <v>2279</v>
      </c>
      <c r="N1026" t="s">
        <v>2279</v>
      </c>
      <c r="O1026" s="190" t="str">
        <f>"["&amp;$C1026&amp;"]["&amp;$D1026&amp;"]["&amp;$F1026&amp;"]"</f>
        <v>[S13_AnyOtherIssues][69][OtherInformationOrIssues]</v>
      </c>
    </row>
    <row r="1027" spans="1:15" x14ac:dyDescent="0.3">
      <c r="A1027" t="s">
        <v>2277</v>
      </c>
      <c r="B1027" t="s">
        <v>2195</v>
      </c>
      <c r="C1027" t="s">
        <v>2196</v>
      </c>
      <c r="D1027">
        <v>84</v>
      </c>
      <c r="E1027" t="s">
        <v>1447</v>
      </c>
      <c r="F1027" t="s">
        <v>2197</v>
      </c>
      <c r="G1027" t="s">
        <v>1791</v>
      </c>
      <c r="H1027" t="s">
        <v>2279</v>
      </c>
      <c r="I1027" t="s">
        <v>2279</v>
      </c>
      <c r="J1027" t="s">
        <v>2279</v>
      </c>
      <c r="K1027" t="s">
        <v>2411</v>
      </c>
      <c r="L1027" t="s">
        <v>2279</v>
      </c>
      <c r="M1027" t="s">
        <v>2279</v>
      </c>
      <c r="N1027" t="s">
        <v>2279</v>
      </c>
      <c r="O1027" s="190" t="str">
        <f>"["&amp;$C1027&amp;"]["&amp;$D1027&amp;"]["&amp;$F1027&amp;"]"</f>
        <v>[S13_AnyOtherIssues][84][OtherInformationOrIssues]</v>
      </c>
    </row>
    <row r="1028" spans="1:15" x14ac:dyDescent="0.3">
      <c r="A1028" t="s">
        <v>2277</v>
      </c>
      <c r="B1028" t="s">
        <v>2195</v>
      </c>
      <c r="C1028" t="s">
        <v>2196</v>
      </c>
      <c r="D1028">
        <v>85</v>
      </c>
      <c r="E1028" t="s">
        <v>1447</v>
      </c>
      <c r="F1028" t="s">
        <v>2197</v>
      </c>
      <c r="G1028" t="s">
        <v>1791</v>
      </c>
      <c r="H1028" t="s">
        <v>2279</v>
      </c>
      <c r="I1028" t="s">
        <v>2279</v>
      </c>
      <c r="J1028" t="s">
        <v>2279</v>
      </c>
      <c r="K1028" t="s">
        <v>2412</v>
      </c>
      <c r="L1028" t="s">
        <v>2279</v>
      </c>
      <c r="M1028" t="s">
        <v>2279</v>
      </c>
      <c r="N1028" t="s">
        <v>2279</v>
      </c>
      <c r="O1028" s="190" t="str">
        <f>"["&amp;$C1028&amp;"]["&amp;$D1028&amp;"]["&amp;$F1028&amp;"]"</f>
        <v>[S13_AnyOtherIssues][85][OtherInformationOrIssues]</v>
      </c>
    </row>
    <row r="1029" spans="1:15" x14ac:dyDescent="0.3">
      <c r="A1029" t="s">
        <v>2277</v>
      </c>
      <c r="B1029" t="s">
        <v>2195</v>
      </c>
      <c r="C1029" t="s">
        <v>2196</v>
      </c>
      <c r="D1029">
        <v>12</v>
      </c>
      <c r="E1029" t="s">
        <v>1447</v>
      </c>
      <c r="F1029" t="s">
        <v>2198</v>
      </c>
      <c r="G1029" t="s">
        <v>1737</v>
      </c>
      <c r="H1029" t="s">
        <v>2279</v>
      </c>
      <c r="I1029" t="s">
        <v>2279</v>
      </c>
      <c r="J1029" t="s">
        <v>2279</v>
      </c>
      <c r="K1029" t="s">
        <v>2279</v>
      </c>
      <c r="L1029" t="s">
        <v>1606</v>
      </c>
      <c r="M1029" t="s">
        <v>2279</v>
      </c>
      <c r="N1029" t="s">
        <v>2279</v>
      </c>
      <c r="O1029" s="190" t="str">
        <f>"["&amp;$C1029&amp;"]["&amp;$D1029&amp;"]["&amp;$F1029&amp;"]"</f>
        <v>[S13_AnyOtherIssues][12][QuestionnaireSubQuestion]</v>
      </c>
    </row>
    <row r="1030" spans="1:15" x14ac:dyDescent="0.3">
      <c r="A1030" t="s">
        <v>2277</v>
      </c>
      <c r="B1030" t="s">
        <v>2195</v>
      </c>
      <c r="C1030" t="s">
        <v>2196</v>
      </c>
      <c r="D1030">
        <v>13</v>
      </c>
      <c r="E1030" t="s">
        <v>1447</v>
      </c>
      <c r="F1030" t="s">
        <v>2198</v>
      </c>
      <c r="G1030" t="s">
        <v>1737</v>
      </c>
      <c r="H1030" t="s">
        <v>2279</v>
      </c>
      <c r="I1030" t="s">
        <v>2279</v>
      </c>
      <c r="J1030" t="s">
        <v>2279</v>
      </c>
      <c r="K1030" t="s">
        <v>2279</v>
      </c>
      <c r="L1030" t="s">
        <v>1611</v>
      </c>
      <c r="M1030" t="s">
        <v>2279</v>
      </c>
      <c r="N1030" t="s">
        <v>2279</v>
      </c>
      <c r="O1030" s="190" t="str">
        <f>"["&amp;$C1030&amp;"]["&amp;$D1030&amp;"]["&amp;$F1030&amp;"]"</f>
        <v>[S13_AnyOtherIssues][13][QuestionnaireSubQuestion]</v>
      </c>
    </row>
    <row r="1031" spans="1:15" x14ac:dyDescent="0.3">
      <c r="A1031" t="s">
        <v>2277</v>
      </c>
      <c r="B1031" t="s">
        <v>2195</v>
      </c>
      <c r="C1031" t="s">
        <v>2196</v>
      </c>
      <c r="D1031">
        <v>14</v>
      </c>
      <c r="E1031" t="s">
        <v>1447</v>
      </c>
      <c r="F1031" t="s">
        <v>2198</v>
      </c>
      <c r="G1031" t="s">
        <v>1737</v>
      </c>
      <c r="H1031" t="s">
        <v>2279</v>
      </c>
      <c r="I1031" t="s">
        <v>2279</v>
      </c>
      <c r="J1031" t="s">
        <v>2279</v>
      </c>
      <c r="K1031" t="s">
        <v>2279</v>
      </c>
      <c r="L1031" t="s">
        <v>1667</v>
      </c>
      <c r="M1031" t="s">
        <v>2279</v>
      </c>
      <c r="N1031" t="s">
        <v>2279</v>
      </c>
      <c r="O1031" s="190" t="str">
        <f>"["&amp;$C1031&amp;"]["&amp;$D1031&amp;"]["&amp;$F1031&amp;"]"</f>
        <v>[S13_AnyOtherIssues][14][QuestionnaireSubQuestion]</v>
      </c>
    </row>
    <row r="1032" spans="1:15" x14ac:dyDescent="0.3">
      <c r="A1032" t="s">
        <v>2277</v>
      </c>
      <c r="B1032" t="s">
        <v>2195</v>
      </c>
      <c r="C1032" t="s">
        <v>2196</v>
      </c>
      <c r="D1032">
        <v>35</v>
      </c>
      <c r="E1032" t="s">
        <v>1447</v>
      </c>
      <c r="F1032" t="s">
        <v>2198</v>
      </c>
      <c r="G1032" t="s">
        <v>1737</v>
      </c>
      <c r="H1032" t="s">
        <v>2279</v>
      </c>
      <c r="I1032" t="s">
        <v>2279</v>
      </c>
      <c r="J1032" t="s">
        <v>2279</v>
      </c>
      <c r="K1032" t="s">
        <v>2279</v>
      </c>
      <c r="L1032" t="s">
        <v>1677</v>
      </c>
      <c r="M1032" t="s">
        <v>2279</v>
      </c>
      <c r="N1032" t="s">
        <v>2279</v>
      </c>
      <c r="O1032" s="190" t="str">
        <f>"["&amp;$C1032&amp;"]["&amp;$D1032&amp;"]["&amp;$F1032&amp;"]"</f>
        <v>[S13_AnyOtherIssues][35][QuestionnaireSubQuestion]</v>
      </c>
    </row>
    <row r="1033" spans="1:15" x14ac:dyDescent="0.3">
      <c r="A1033" t="s">
        <v>2277</v>
      </c>
      <c r="B1033" t="s">
        <v>2195</v>
      </c>
      <c r="C1033" t="s">
        <v>2196</v>
      </c>
      <c r="D1033">
        <v>36</v>
      </c>
      <c r="E1033" t="s">
        <v>1447</v>
      </c>
      <c r="F1033" t="s">
        <v>2198</v>
      </c>
      <c r="G1033" t="s">
        <v>1737</v>
      </c>
      <c r="H1033" t="s">
        <v>2279</v>
      </c>
      <c r="I1033" t="s">
        <v>2279</v>
      </c>
      <c r="J1033" t="s">
        <v>2279</v>
      </c>
      <c r="K1033" t="s">
        <v>2279</v>
      </c>
      <c r="L1033" t="s">
        <v>1677</v>
      </c>
      <c r="M1033" t="s">
        <v>2279</v>
      </c>
      <c r="N1033" t="s">
        <v>2279</v>
      </c>
      <c r="O1033" s="190" t="str">
        <f>"["&amp;$C1033&amp;"]["&amp;$D1033&amp;"]["&amp;$F1033&amp;"]"</f>
        <v>[S13_AnyOtherIssues][36][QuestionnaireSubQuestion]</v>
      </c>
    </row>
    <row r="1034" spans="1:15" x14ac:dyDescent="0.3">
      <c r="A1034" t="s">
        <v>2277</v>
      </c>
      <c r="B1034" t="s">
        <v>2195</v>
      </c>
      <c r="C1034" t="s">
        <v>2196</v>
      </c>
      <c r="D1034">
        <v>37</v>
      </c>
      <c r="E1034" t="s">
        <v>1447</v>
      </c>
      <c r="F1034" t="s">
        <v>2198</v>
      </c>
      <c r="G1034" t="s">
        <v>1737</v>
      </c>
      <c r="H1034" t="s">
        <v>2279</v>
      </c>
      <c r="I1034" t="s">
        <v>2279</v>
      </c>
      <c r="J1034" t="s">
        <v>2279</v>
      </c>
      <c r="K1034" t="s">
        <v>2279</v>
      </c>
      <c r="L1034" t="s">
        <v>1679</v>
      </c>
      <c r="M1034" t="s">
        <v>2279</v>
      </c>
      <c r="N1034" t="s">
        <v>2279</v>
      </c>
      <c r="O1034" s="190" t="str">
        <f>"["&amp;$C1034&amp;"]["&amp;$D1034&amp;"]["&amp;$F1034&amp;"]"</f>
        <v>[S13_AnyOtherIssues][37][QuestionnaireSubQuestion]</v>
      </c>
    </row>
    <row r="1035" spans="1:15" x14ac:dyDescent="0.3">
      <c r="A1035" t="s">
        <v>2277</v>
      </c>
      <c r="B1035" t="s">
        <v>2195</v>
      </c>
      <c r="C1035" t="s">
        <v>2196</v>
      </c>
      <c r="D1035">
        <v>68</v>
      </c>
      <c r="E1035" t="s">
        <v>1447</v>
      </c>
      <c r="F1035" t="s">
        <v>2198</v>
      </c>
      <c r="G1035" t="s">
        <v>1737</v>
      </c>
      <c r="H1035" t="s">
        <v>2279</v>
      </c>
      <c r="I1035" t="s">
        <v>2279</v>
      </c>
      <c r="J1035" t="s">
        <v>2279</v>
      </c>
      <c r="K1035" t="s">
        <v>2279</v>
      </c>
      <c r="L1035" t="s">
        <v>1708</v>
      </c>
      <c r="M1035" t="s">
        <v>2279</v>
      </c>
      <c r="N1035" t="s">
        <v>2279</v>
      </c>
      <c r="O1035" s="190" t="str">
        <f>"["&amp;$C1035&amp;"]["&amp;$D1035&amp;"]["&amp;$F1035&amp;"]"</f>
        <v>[S13_AnyOtherIssues][68][QuestionnaireSubQuestion]</v>
      </c>
    </row>
    <row r="1036" spans="1:15" x14ac:dyDescent="0.3">
      <c r="A1036" t="s">
        <v>2277</v>
      </c>
      <c r="B1036" t="s">
        <v>2195</v>
      </c>
      <c r="C1036" t="s">
        <v>2196</v>
      </c>
      <c r="D1036">
        <v>69</v>
      </c>
      <c r="E1036" t="s">
        <v>1447</v>
      </c>
      <c r="F1036" t="s">
        <v>2198</v>
      </c>
      <c r="G1036" t="s">
        <v>1737</v>
      </c>
      <c r="H1036" t="s">
        <v>2279</v>
      </c>
      <c r="I1036" t="s">
        <v>2279</v>
      </c>
      <c r="J1036" t="s">
        <v>2279</v>
      </c>
      <c r="K1036" t="s">
        <v>2279</v>
      </c>
      <c r="L1036" t="s">
        <v>1709</v>
      </c>
      <c r="M1036" t="s">
        <v>2279</v>
      </c>
      <c r="N1036" t="s">
        <v>2279</v>
      </c>
      <c r="O1036" s="190" t="str">
        <f>"["&amp;$C1036&amp;"]["&amp;$D1036&amp;"]["&amp;$F1036&amp;"]"</f>
        <v>[S13_AnyOtherIssues][69][QuestionnaireSubQuestion]</v>
      </c>
    </row>
    <row r="1037" spans="1:15" x14ac:dyDescent="0.3">
      <c r="A1037" t="s">
        <v>2277</v>
      </c>
      <c r="B1037" t="s">
        <v>2195</v>
      </c>
      <c r="C1037" t="s">
        <v>2196</v>
      </c>
      <c r="D1037">
        <v>84</v>
      </c>
      <c r="E1037" t="s">
        <v>1447</v>
      </c>
      <c r="F1037" t="s">
        <v>2198</v>
      </c>
      <c r="G1037" t="s">
        <v>1737</v>
      </c>
      <c r="H1037" t="s">
        <v>2279</v>
      </c>
      <c r="I1037" t="s">
        <v>2279</v>
      </c>
      <c r="J1037" t="s">
        <v>2279</v>
      </c>
      <c r="K1037" t="s">
        <v>2279</v>
      </c>
      <c r="L1037" t="s">
        <v>1725</v>
      </c>
      <c r="M1037" t="s">
        <v>2279</v>
      </c>
      <c r="N1037" t="s">
        <v>2279</v>
      </c>
      <c r="O1037" s="190" t="str">
        <f>"["&amp;$C1037&amp;"]["&amp;$D1037&amp;"]["&amp;$F1037&amp;"]"</f>
        <v>[S13_AnyOtherIssues][84][QuestionnaireSubQuestion]</v>
      </c>
    </row>
    <row r="1038" spans="1:15" x14ac:dyDescent="0.3">
      <c r="A1038" t="s">
        <v>2277</v>
      </c>
      <c r="B1038" t="s">
        <v>2195</v>
      </c>
      <c r="C1038" t="s">
        <v>2196</v>
      </c>
      <c r="D1038">
        <v>85</v>
      </c>
      <c r="E1038" t="s">
        <v>1447</v>
      </c>
      <c r="F1038" t="s">
        <v>2198</v>
      </c>
      <c r="G1038" t="s">
        <v>1737</v>
      </c>
      <c r="H1038" t="s">
        <v>2279</v>
      </c>
      <c r="I1038" t="s">
        <v>2279</v>
      </c>
      <c r="J1038" t="s">
        <v>2279</v>
      </c>
      <c r="K1038" t="s">
        <v>2279</v>
      </c>
      <c r="L1038" t="s">
        <v>1726</v>
      </c>
      <c r="M1038" t="s">
        <v>2279</v>
      </c>
      <c r="N1038" t="s">
        <v>2279</v>
      </c>
      <c r="O1038" s="190" t="str">
        <f>"["&amp;$C1038&amp;"]["&amp;$D1038&amp;"]["&amp;$F1038&amp;"]"</f>
        <v>[S13_AnyOtherIssues][85][QuestionnaireSubQuestion]</v>
      </c>
    </row>
    <row r="1039" spans="1:15" x14ac:dyDescent="0.3">
      <c r="A1039" t="s">
        <v>2277</v>
      </c>
      <c r="B1039" t="s">
        <v>2199</v>
      </c>
      <c r="C1039" t="s">
        <v>2200</v>
      </c>
      <c r="D1039">
        <v>0</v>
      </c>
      <c r="E1039" t="s">
        <v>1447</v>
      </c>
      <c r="F1039" t="s">
        <v>2200</v>
      </c>
      <c r="G1039" t="s">
        <v>1759</v>
      </c>
      <c r="H1039" t="s">
        <v>2279</v>
      </c>
      <c r="I1039" t="s">
        <v>2279</v>
      </c>
      <c r="J1039" t="s">
        <v>2279</v>
      </c>
      <c r="K1039" t="s">
        <v>2279</v>
      </c>
      <c r="L1039" t="s">
        <v>1419</v>
      </c>
      <c r="M1039" t="s">
        <v>2279</v>
      </c>
      <c r="N1039" t="s">
        <v>2279</v>
      </c>
      <c r="O1039" s="190" t="str">
        <f>"["&amp;$C1039&amp;"]["&amp;$D1039&amp;"]["&amp;$F1039&amp;"]"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Not applicable</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Not applicable</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125</v>
      </c>
      <c r="H34" s="475"/>
      <c r="I34" s="476"/>
    </row>
    <row r="35" spans="1:9" ht="27" customHeight="1" x14ac:dyDescent="0.3">
      <c r="C35" s="314" t="s">
        <v>1157</v>
      </c>
      <c r="D35" s="333"/>
      <c r="E35" s="333"/>
      <c r="F35" s="334"/>
      <c r="G35" s="474" t="str">
        <f>_xlfn.CONCAT(_xlfn.XLOOKUP("[S08_RenunciationSuspensionAllowances][3][NumberOfInstallations]",Submission!$O:$O,Submission!$H:$N,""))</f>
        <v>0</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Yes</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1</v>
      </c>
      <c r="D40" s="472"/>
      <c r="E40" s="472"/>
      <c r="F40" s="473"/>
      <c r="G40" s="471" t="str">
        <f>_xlfn.CONCAT(_xlfn.XLOOKUP("[S08_SubInstallationBenchmark61Detail][1][HeatBenchmark]",Submission!$O:$O,Submission!$H:$N,""))</f>
        <v>2</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No</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2</v>
      </c>
      <c r="H54" s="475"/>
      <c r="I54" s="476"/>
    </row>
    <row r="55" spans="1:9" ht="29.4" customHeight="1" x14ac:dyDescent="0.3">
      <c r="C55" s="249" t="s">
        <v>1168</v>
      </c>
      <c r="D55" s="272"/>
      <c r="E55" s="272"/>
      <c r="F55" s="273"/>
      <c r="G55" s="474" t="str">
        <f>_xlfn.CONCAT(_xlfn.XLOOKUP("[S08_ScopeExclusion][2][NumberOfInstallations]",Submission!$O:$O,Submission!$H:$N,""))</f>
        <v>1</v>
      </c>
      <c r="H55" s="475"/>
      <c r="I55" s="476"/>
    </row>
    <row r="56" spans="1:9" ht="29.4" customHeight="1" x14ac:dyDescent="0.3">
      <c r="C56" s="249" t="s">
        <v>1169</v>
      </c>
      <c r="D56" s="272"/>
      <c r="E56" s="272"/>
      <c r="F56" s="273"/>
      <c r="G56" s="474" t="str">
        <f>_xlfn.CONCAT(_xlfn.XLOOKUP("[S08_ScopeExclusion][3][NumberOfInstallations]",Submission!$O:$O,Submission!$H:$N,""))</f>
        <v/>
      </c>
      <c r="H56" s="475"/>
      <c r="I56" s="476"/>
    </row>
    <row r="57" spans="1:9" ht="29.4" customHeight="1" x14ac:dyDescent="0.3">
      <c r="C57" s="249" t="s">
        <v>1170</v>
      </c>
      <c r="D57" s="272"/>
      <c r="E57" s="272"/>
      <c r="F57" s="273"/>
      <c r="G57" s="474" t="str">
        <f>_xlfn.CONCAT(_xlfn.XLOOKUP("[S08_ScopeExclusion][4][NumberOfInstallations]",Submission!$O:$O,Submission!$H:$N,""))</f>
        <v/>
      </c>
      <c r="H57" s="475"/>
      <c r="I57" s="476"/>
    </row>
    <row r="58" spans="1:9" ht="29.4" customHeight="1" x14ac:dyDescent="0.3">
      <c r="C58" s="249" t="s">
        <v>1171</v>
      </c>
      <c r="D58" s="272"/>
      <c r="E58" s="272"/>
      <c r="F58" s="273"/>
      <c r="G58" s="474" t="str">
        <f>_xlfn.CONCAT(_xlfn.XLOOKUP("[S08_ScopeExclusion][5][NumberOfInstallations]",Submission!$O:$O,Submission!$H:$N,""))</f>
        <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0</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0</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0</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0</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Yes</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30 - Production of lime or calcination of dolomite or magnesite as specified in Annex I of Directive 2003/87/ EC</v>
      </c>
      <c r="D157" s="260"/>
      <c r="E157" s="72" t="str">
        <f>_xlfn.CONCAT(_xlfn.XLOOKUP("[S08_ActivityDataIssuesDetail]["&amp;ROW(B157)-ROW($B$156)&amp;"][TypeOfIssue]",Submission!$O:$O,Submission!$H:$N,""))</f>
        <v>Non-compliance with Delegated Regulation 2019/331 and Implementing Regulation 2019/1842</v>
      </c>
      <c r="F157" s="106" t="str">
        <f>_xlfn.CONCAT(_xlfn.XLOOKUP("[S08_ActivityDataIssuesDetail]["&amp;ROW(B157)-ROW($B$156)&amp;"][NumberOfInstallations]",Submission!$O:$O,Submission!$H:$N,""))</f>
        <v>2</v>
      </c>
      <c r="G157" s="106" t="str">
        <f>_xlfn.CONCAT(_xlfn.XLOOKUP("[S08_ActivityDataIssuesDetail]["&amp;ROW(B157)-ROW($B$156)&amp;"][NumberOfIssues]",Submission!$O:$O,Submission!$H:$N,""))</f>
        <v>1</v>
      </c>
      <c r="H157" s="461" t="str">
        <f>_xlfn.CONCAT(_xlfn.XLOOKUP("[S08_ActivityDataIssuesDetail]["&amp;ROW(B157)-ROW($B$156)&amp;"][NumberOfInstallationsConEst]",Submission!$O:$O,Submission!$H:$N,""))</f>
        <v>0</v>
      </c>
      <c r="I157" s="462"/>
    </row>
    <row r="158" spans="1:9" ht="54" customHeight="1" x14ac:dyDescent="0.3">
      <c r="C158" s="258" t="str">
        <f>_xlfn.CONCAT(_xlfn.XLOOKUP("[S08_ActivityDataIssuesDetail]["&amp;ROW(B158)-ROW($B$156)&amp;"][AnnexIActivity]",Submission!$O:$O,Submission!$H:$N,""))</f>
        <v>20 - Combustion of fuels as specified in Annex I of Directive 2003/87/EC</v>
      </c>
      <c r="D158" s="260"/>
      <c r="E158" s="72" t="str">
        <f>_xlfn.CONCAT(_xlfn.XLOOKUP("[S08_ActivityDataIssuesDetail]["&amp;ROW(B158)-ROW($B$156)&amp;"][TypeOfIssue]",Submission!$O:$O,Submission!$H:$N,""))</f>
        <v>Recommendations for improvement</v>
      </c>
      <c r="F158" s="106" t="str">
        <f>_xlfn.CONCAT(_xlfn.XLOOKUP("[S08_ActivityDataIssuesDetail]["&amp;ROW(B158)-ROW($B$156)&amp;"][NumberOfInstallations]",Submission!$O:$O,Submission!$H:$N,""))</f>
        <v>3</v>
      </c>
      <c r="G158" s="106" t="str">
        <f>_xlfn.CONCAT(_xlfn.XLOOKUP("[S08_ActivityDataIssuesDetail]["&amp;ROW(B158)-ROW($B$156)&amp;"][NumberOfIssues]",Submission!$O:$O,Submission!$H:$N,""))</f>
        <v>3</v>
      </c>
      <c r="H158" s="461" t="str">
        <f>_xlfn.CONCAT(_xlfn.XLOOKUP("[S08_ActivityDataIssuesDetail]["&amp;ROW(B158)-ROW($B$156)&amp;"][NumberOfInstallationsConEst]",Submission!$O:$O,Submission!$H:$N,""))</f>
        <v>0</v>
      </c>
      <c r="I158" s="462"/>
    </row>
    <row r="159" spans="1:9" ht="54" customHeight="1" x14ac:dyDescent="0.3">
      <c r="C159" s="258" t="str">
        <f>_xlfn.CONCAT(_xlfn.XLOOKUP("[S08_ActivityDataIssuesDetail]["&amp;ROW(B159)-ROW($B$156)&amp;"][AnnexIActivity]",Submission!$O:$O,Submission!$H:$N,""))</f>
        <v>35 - Production of pulp as specified in Annex I of Directive 2003/87/EC</v>
      </c>
      <c r="D159" s="260"/>
      <c r="E159" s="72" t="str">
        <f>_xlfn.CONCAT(_xlfn.XLOOKUP("[S08_ActivityDataIssuesDetail]["&amp;ROW(B159)-ROW($B$156)&amp;"][TypeOfIssue]",Submission!$O:$O,Submission!$H:$N,""))</f>
        <v>Recommendations for improvement</v>
      </c>
      <c r="F159" s="106" t="str">
        <f>_xlfn.CONCAT(_xlfn.XLOOKUP("[S08_ActivityDataIssuesDetail]["&amp;ROW(B159)-ROW($B$156)&amp;"][NumberOfInstallations]",Submission!$O:$O,Submission!$H:$N,""))</f>
        <v>3</v>
      </c>
      <c r="G159" s="106" t="str">
        <f>_xlfn.CONCAT(_xlfn.XLOOKUP("[S08_ActivityDataIssuesDetail]["&amp;ROW(B159)-ROW($B$156)&amp;"][NumberOfIssues]",Submission!$O:$O,Submission!$H:$N,""))</f>
        <v>4</v>
      </c>
      <c r="H159" s="461" t="str">
        <f>_xlfn.CONCAT(_xlfn.XLOOKUP("[S08_ActivityDataIssuesDetail]["&amp;ROW(B159)-ROW($B$156)&amp;"][NumberOfInstallationsConEst]",Submission!$O:$O,Submission!$H:$N,""))</f>
        <v>0</v>
      </c>
      <c r="I159" s="462"/>
    </row>
    <row r="160" spans="1:9" ht="54" customHeight="1" x14ac:dyDescent="0.3">
      <c r="C160" s="258" t="str">
        <f>_xlfn.CONCAT(_xlfn.XLOOKUP("[S08_ActivityDataIssuesDetail]["&amp;ROW(B160)-ROW($B$156)&amp;"][AnnexIActivity]",Submission!$O:$O,Submission!$H:$N,""))</f>
        <v xml:space="preserve">36 - Production of paper or cardboard as specified in Annex I of Directive 2003/87/EC </v>
      </c>
      <c r="D160" s="260"/>
      <c r="E160" s="72" t="str">
        <f>_xlfn.CONCAT(_xlfn.XLOOKUP("[S08_ActivityDataIssuesDetail]["&amp;ROW(B160)-ROW($B$156)&amp;"][TypeOfIssue]",Submission!$O:$O,Submission!$H:$N,""))</f>
        <v>Recommendations for improvement</v>
      </c>
      <c r="F160" s="106" t="str">
        <f>_xlfn.CONCAT(_xlfn.XLOOKUP("[S08_ActivityDataIssuesDetail]["&amp;ROW(B160)-ROW($B$156)&amp;"][NumberOfInstallations]",Submission!$O:$O,Submission!$H:$N,""))</f>
        <v>3</v>
      </c>
      <c r="G160" s="106" t="str">
        <f>_xlfn.CONCAT(_xlfn.XLOOKUP("[S08_ActivityDataIssuesDetail]["&amp;ROW(B160)-ROW($B$156)&amp;"][NumberOfIssues]",Submission!$O:$O,Submission!$H:$N,""))</f>
        <v>3</v>
      </c>
      <c r="H160" s="461" t="str">
        <f>_xlfn.CONCAT(_xlfn.XLOOKUP("[S08_ActivityDataIssuesDetail]["&amp;ROW(B160)-ROW($B$156)&amp;"][NumberOfInstallationsConEst]",Submission!$O:$O,Submission!$H:$N,""))</f>
        <v>0</v>
      </c>
      <c r="I160" s="462"/>
    </row>
    <row r="161" spans="3:9" ht="54" customHeight="1" x14ac:dyDescent="0.3">
      <c r="C161" s="258" t="str">
        <f>_xlfn.CONCAT(_xlfn.XLOOKUP("[S08_ActivityDataIssuesDetail]["&amp;ROW(B161)-ROW($B$156)&amp;"][AnnexIActivity]",Submission!$O:$O,Submission!$H:$N,""))</f>
        <v>32 - Manufacture of ceramic products as specified in Annex I of Directive 2003/87/EC</v>
      </c>
      <c r="D161" s="260"/>
      <c r="E161" s="72" t="str">
        <f>_xlfn.CONCAT(_xlfn.XLOOKUP("[S08_ActivityDataIssuesDetail]["&amp;ROW(B161)-ROW($B$156)&amp;"][TypeOfIssue]",Submission!$O:$O,Submission!$H:$N,""))</f>
        <v>Non-conformities not leading to a negative verification opinion statement</v>
      </c>
      <c r="F161" s="106" t="str">
        <f>_xlfn.CONCAT(_xlfn.XLOOKUP("[S08_ActivityDataIssuesDetail]["&amp;ROW(B161)-ROW($B$156)&amp;"][NumberOfInstallations]",Submission!$O:$O,Submission!$H:$N,""))</f>
        <v>1</v>
      </c>
      <c r="G161" s="106" t="str">
        <f>_xlfn.CONCAT(_xlfn.XLOOKUP("[S08_ActivityDataIssuesDetail]["&amp;ROW(B161)-ROW($B$156)&amp;"][NumberOfIssues]",Submission!$O:$O,Submission!$H:$N,""))</f>
        <v>1</v>
      </c>
      <c r="H161" s="461" t="str">
        <f>_xlfn.CONCAT(_xlfn.XLOOKUP("[S08_ActivityDataIssuesDetail]["&amp;ROW(B161)-ROW($B$156)&amp;"][NumberOfInstallationsConEst]",Submission!$O:$O,Submission!$H:$N,""))</f>
        <v>0</v>
      </c>
      <c r="I161" s="462"/>
    </row>
    <row r="162" spans="3:9" ht="54" customHeight="1" x14ac:dyDescent="0.3">
      <c r="C162" s="258" t="str">
        <f>_xlfn.CONCAT(_xlfn.XLOOKUP("[S08_ActivityDataIssuesDetail]["&amp;ROW(B162)-ROW($B$156)&amp;"][AnnexIActivity]",Submission!$O:$O,Submission!$H:$N,""))</f>
        <v>31 - Manufacture of glass as specified in Annex I of Directive 2003/87/EC</v>
      </c>
      <c r="D162" s="260"/>
      <c r="E162" s="72" t="str">
        <f>_xlfn.CONCAT(_xlfn.XLOOKUP("[S08_ActivityDataIssuesDetail]["&amp;ROW(B162)-ROW($B$156)&amp;"][TypeOfIssue]",Submission!$O:$O,Submission!$H:$N,""))</f>
        <v>Recommendations for improvement</v>
      </c>
      <c r="F162" s="106" t="str">
        <f>_xlfn.CONCAT(_xlfn.XLOOKUP("[S08_ActivityDataIssuesDetail]["&amp;ROW(B162)-ROW($B$156)&amp;"][NumberOfInstallations]",Submission!$O:$O,Submission!$H:$N,""))</f>
        <v>1</v>
      </c>
      <c r="G162" s="106" t="str">
        <f>_xlfn.CONCAT(_xlfn.XLOOKUP("[S08_ActivityDataIssuesDetail]["&amp;ROW(B162)-ROW($B$156)&amp;"][NumberOfIssues]",Submission!$O:$O,Submission!$H:$N,""))</f>
        <v>1</v>
      </c>
      <c r="H162" s="461" t="str">
        <f>_xlfn.CONCAT(_xlfn.XLOOKUP("[S08_ActivityDataIssuesDetail]["&amp;ROW(B162)-ROW($B$156)&amp;"][NumberOfInstallationsConEst]",Submission!$O:$O,Submission!$H:$N,""))</f>
        <v>0</v>
      </c>
      <c r="I162" s="462"/>
    </row>
    <row r="163" spans="3:9" ht="54" customHeight="1" x14ac:dyDescent="0.3">
      <c r="C163" s="258" t="str">
        <f>_xlfn.CONCAT(_xlfn.XLOOKUP("[S08_ActivityDataIssuesDetail]["&amp;ROW(B163)-ROW($B$156)&amp;"][AnnexIActivity]",Submission!$O:$O,Submission!$H:$N,""))</f>
        <v xml:space="preserve">42 - Production of bulk organic chemicals as specified in Annex I of Directive 2003/87/EC </v>
      </c>
      <c r="D163" s="260"/>
      <c r="E163" s="72" t="str">
        <f>_xlfn.CONCAT(_xlfn.XLOOKUP("[S08_ActivityDataIssuesDetail]["&amp;ROW(B163)-ROW($B$156)&amp;"][TypeOfIssue]",Submission!$O:$O,Submission!$H:$N,""))</f>
        <v>Recommendations for improvement</v>
      </c>
      <c r="F163" s="106" t="str">
        <f>_xlfn.CONCAT(_xlfn.XLOOKUP("[S08_ActivityDataIssuesDetail]["&amp;ROW(B163)-ROW($B$156)&amp;"][NumberOfInstallations]",Submission!$O:$O,Submission!$H:$N,""))</f>
        <v>1</v>
      </c>
      <c r="G163" s="106" t="str">
        <f>_xlfn.CONCAT(_xlfn.XLOOKUP("[S08_ActivityDataIssuesDetail]["&amp;ROW(B163)-ROW($B$156)&amp;"][NumberOfIssues]",Submission!$O:$O,Submission!$H:$N,""))</f>
        <v>1</v>
      </c>
      <c r="H163" s="461" t="str">
        <f>_xlfn.CONCAT(_xlfn.XLOOKUP("[S08_ActivityDataIssuesDetail]["&amp;ROW(B163)-ROW($B$156)&amp;"][NumberOfInstallationsConEst]",Submission!$O:$O,Submission!$H:$N,""))</f>
        <v>0</v>
      </c>
      <c r="I163" s="462"/>
    </row>
    <row r="164" spans="3:9" ht="54" customHeight="1" x14ac:dyDescent="0.3">
      <c r="C164" s="258" t="str">
        <f>_xlfn.CONCAT(_xlfn.XLOOKUP("[S08_ActivityDataIssuesDetail]["&amp;ROW(B164)-ROW($B$156)&amp;"][AnnexIActivity]",Submission!$O:$O,Submission!$H:$N,""))</f>
        <v xml:space="preserve">42 - Production of bulk organic chemicals as specified in Annex I of Directive 2003/87/EC </v>
      </c>
      <c r="D164" s="260"/>
      <c r="E164" s="72" t="str">
        <f>_xlfn.CONCAT(_xlfn.XLOOKUP("[S08_ActivityDataIssuesDetail]["&amp;ROW(B164)-ROW($B$156)&amp;"][TypeOfIssue]",Submission!$O:$O,Submission!$H:$N,""))</f>
        <v>Non-compliance with Delegated Regulation 2019/331 and Implementing Regulation 2019/1842</v>
      </c>
      <c r="F164" s="106" t="str">
        <f>_xlfn.CONCAT(_xlfn.XLOOKUP("[S08_ActivityDataIssuesDetail]["&amp;ROW(B164)-ROW($B$156)&amp;"][NumberOfInstallations]",Submission!$O:$O,Submission!$H:$N,""))</f>
        <v>1</v>
      </c>
      <c r="G164" s="106" t="str">
        <f>_xlfn.CONCAT(_xlfn.XLOOKUP("[S08_ActivityDataIssuesDetail]["&amp;ROW(B164)-ROW($B$156)&amp;"][NumberOfIssues]",Submission!$O:$O,Submission!$H:$N,""))</f>
        <v>1</v>
      </c>
      <c r="H164" s="461" t="str">
        <f>_xlfn.CONCAT(_xlfn.XLOOKUP("[S08_ActivityDataIssuesDetail]["&amp;ROW(B164)-ROW($B$156)&amp;"][NumberOfInstallationsConEst]",Submission!$O:$O,Submission!$H:$N,""))</f>
        <v>0</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Yes</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5</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40</v>
      </c>
      <c r="G244" s="361"/>
      <c r="H244" s="351" t="str">
        <f>_xlfn.CONCAT(_xlfn.XLOOKUP("[S08_ActivityReportRejectedDetail][2][ReasonForRejection]",Submission!$O:$O,Submission!$H:$N,""))</f>
        <v>Mostly issues related to the integrity tool, such as formula changes or differences in the values reported in the last ALC. But also other details such as errors in the values shown in the distribution of energy by uses (sheet E) among other small details.</v>
      </c>
      <c r="I244" s="361"/>
    </row>
    <row r="245" spans="1:9" s="58" customFormat="1" ht="48" customHeight="1" x14ac:dyDescent="0.3">
      <c r="A245" s="75"/>
      <c r="C245" s="249" t="s">
        <v>1210</v>
      </c>
      <c r="D245" s="272"/>
      <c r="E245" s="273"/>
      <c r="F245" s="258" t="str">
        <f>_xlfn.CONCAT(_xlfn.XLOOKUP("[S08_ActivityReportRejectedDetail][3][ActionsTaken]",Submission!$O:$O,Submission!$H:$N,""))</f>
        <v>Operators were informed about the problems identified. The error has been explained in detail using as basis the relevant documentation (regulations, guidance documents, faqs) so that the mistake will not be repeated. The ETS auditor is always included in the information exchanges with the operator. Subsequent issues usually arise from these first interactions with the operator and meetings may be held to further clarify the situation. This leads to a resubmission of an updated annual activity level report by the operator and reassessment by the CA.</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No</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Yes</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Pandemic situation</v>
      </c>
      <c r="D264" s="335" t="str">
        <f>_xlfn.CONCAT(_xlfn.XLOOKUP("[S08_VirtualVisitsActivityLevelDetail][1][NumberOfInstallationsVV]",Submission!$O:$O,Submission!$H:$N,""))</f>
        <v>13</v>
      </c>
      <c r="E264" s="337"/>
      <c r="F264" s="419" t="str">
        <f>_xlfn.CONCAT(_xlfn.XLOOKUP("[S08_VirtualVisitsActivityLevelDetail][1][AuthorityApproval]",Submission!$O:$O,Submission!$H:$N,""))</f>
        <v>Approval by competent authority</v>
      </c>
      <c r="G264" s="421"/>
      <c r="H264" s="419" t="str">
        <f>_xlfn.CONCAT(_xlfn.XLOOKUP("[S08_VirtualVisitsActivityLevelDetail][1][ConfirmationConditionsMet]",Submission!$O:$O,Submission!$H:$N,""))</f>
        <v>Yes</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12000</v>
      </c>
      <c r="F283" s="105" t="str">
        <f>_xlfn.CONCAT(_xlfn.XLOOKUP("[S08_PenaltiesAllocation][1][MaxFine]",Submission!$O:$O,Submission!$H:$N,""))</f>
        <v>72000</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These fines are for negligence. For fraud the fines are:Min=36 000  euros and Max=216 000 euros.</v>
      </c>
    </row>
    <row r="284" spans="1:10" ht="58.2" customHeight="1" x14ac:dyDescent="0.3">
      <c r="C284" s="249" t="s">
        <v>1231</v>
      </c>
      <c r="D284" s="273"/>
      <c r="E284" s="105" t="str">
        <f>_xlfn.CONCAT(_xlfn.XLOOKUP("[S08_PenaltiesAllocation][2][MinFine]",Submission!$O:$O,Submission!$H:$N,""))</f>
        <v>12000</v>
      </c>
      <c r="F284" s="105" t="str">
        <f>_xlfn.CONCAT(_xlfn.XLOOKUP("[S08_PenaltiesAllocation][2][MaxFine]",Submission!$O:$O,Submission!$H:$N,""))</f>
        <v>72000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These fines are for negligence. For fraud the fines are:Min=36 000  euros and Max=216 000 euros.</v>
      </c>
    </row>
    <row r="285" spans="1:10" ht="58.2" customHeight="1" x14ac:dyDescent="0.3">
      <c r="C285" s="249" t="s">
        <v>1232</v>
      </c>
      <c r="D285" s="273"/>
      <c r="E285" s="105" t="str">
        <f>_xlfn.CONCAT(_xlfn.XLOOKUP("[S08_PenaltiesAllocation][3][MinFine]",Submission!$O:$O,Submission!$H:$N,""))</f>
        <v>12000</v>
      </c>
      <c r="F285" s="105" t="str">
        <f>_xlfn.CONCAT(_xlfn.XLOOKUP("[S08_PenaltiesAllocation][3][MaxFine]",Submission!$O:$O,Submission!$H:$N,""))</f>
        <v>72000</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These fines are for negligence. For fraud the fines are:Min=36 000  euros and Max=216 000 euros.</v>
      </c>
    </row>
    <row r="286" spans="1:10" ht="36" customHeight="1" x14ac:dyDescent="0.3">
      <c r="C286" s="486" t="s">
        <v>1233</v>
      </c>
      <c r="D286" s="487"/>
      <c r="E286" s="105" t="str">
        <f>_xlfn.CONCAT(_xlfn.XLOOKUP("[S08_PenaltiesAllocation][4][MinFine]",Submission!$O:$O,Submission!$H:$N,""))</f>
        <v>12000</v>
      </c>
      <c r="F286" s="105" t="str">
        <f>_xlfn.CONCAT(_xlfn.XLOOKUP("[S08_PenaltiesAllocation][4][MaxFine]",Submission!$O:$O,Submission!$H:$N,""))</f>
        <v>72000</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These fines are for negligence. For fraud the fines are:Min=36 000  euros and Max=216 000 euros.</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Yes</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207.96</v>
      </c>
      <c r="H9" s="465"/>
      <c r="I9" s="462"/>
    </row>
    <row r="10" spans="1:9" x14ac:dyDescent="0.3">
      <c r="C10" s="468" t="s">
        <v>1253</v>
      </c>
      <c r="D10" s="469"/>
      <c r="E10" s="469"/>
      <c r="F10" s="470"/>
      <c r="G10" s="461" t="str">
        <f>_xlfn.CONCAT(_xlfn.XLOOKUP("[S09_InstallationOperatorFeesPermits][2][FeesAmount]",Submission!$O:$O,Submission!$H:$N,""))</f>
        <v>103.97</v>
      </c>
      <c r="H10" s="465"/>
      <c r="I10" s="462"/>
    </row>
    <row r="11" spans="1:9" x14ac:dyDescent="0.3">
      <c r="C11" s="468" t="s">
        <v>1254</v>
      </c>
      <c r="D11" s="469"/>
      <c r="E11" s="469"/>
      <c r="F11" s="470"/>
      <c r="G11" s="461" t="str">
        <f>_xlfn.CONCAT(_xlfn.XLOOKUP("[S09_InstallationOperatorFeesPermits][3][FeesAmount]",Submission!$O:$O,Submission!$H:$N,""))</f>
        <v/>
      </c>
      <c r="H11" s="465"/>
      <c r="I11" s="462"/>
    </row>
    <row r="12" spans="1:9" x14ac:dyDescent="0.3">
      <c r="C12" s="468" t="s">
        <v>1255</v>
      </c>
      <c r="D12" s="469"/>
      <c r="E12" s="469"/>
      <c r="F12" s="470"/>
      <c r="G12" s="461" t="str">
        <f>_xlfn.CONCAT(_xlfn.XLOOKUP("[S09_InstallationOperatorFeesPermits][4][FeesAmount]",Submission!$O:$O,Submission!$H:$N,""))</f>
        <v/>
      </c>
      <c r="H12" s="465"/>
      <c r="I12" s="462"/>
    </row>
    <row r="13" spans="1:9" x14ac:dyDescent="0.3">
      <c r="C13" s="468" t="s">
        <v>1256</v>
      </c>
      <c r="D13" s="469"/>
      <c r="E13" s="469"/>
      <c r="F13" s="470"/>
      <c r="G13" s="461" t="str">
        <f>_xlfn.CONCAT(_xlfn.XLOOKUP("[S09_InstallationOperatorFeesPermits][5][FeesAmount]",Submission!$O:$O,Submission!$H:$N,""))</f>
        <v>1455.69</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Yes</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279.14</v>
      </c>
      <c r="H34" s="465"/>
      <c r="I34" s="462"/>
    </row>
    <row r="35" spans="2:9" x14ac:dyDescent="0.3">
      <c r="C35" s="468" t="s">
        <v>1266</v>
      </c>
      <c r="D35" s="469"/>
      <c r="E35" s="469"/>
      <c r="F35" s="470"/>
      <c r="G35" s="461" t="str">
        <f>_xlfn.CONCAT(_xlfn.XLOOKUP("[S09_AircraftOperatorFeesMonitoringPlans][2][FeesAmount]",Submission!$O:$O,Submission!$H:$N,""))</f>
        <v>139.57</v>
      </c>
      <c r="H35" s="465"/>
      <c r="I35" s="462"/>
    </row>
    <row r="36" spans="2:9" x14ac:dyDescent="0.3">
      <c r="C36" s="468" t="s">
        <v>1267</v>
      </c>
      <c r="D36" s="469"/>
      <c r="E36" s="469"/>
      <c r="F36" s="470"/>
      <c r="G36" s="461" t="str">
        <f>_xlfn.CONCAT(_xlfn.XLOOKUP("[S09_AircraftOperatorFeesMonitoringPlans][3][FeesAmount]",Submission!$O:$O,Submission!$H:$N,""))</f>
        <v>279.14</v>
      </c>
      <c r="H36" s="465"/>
      <c r="I36" s="462"/>
    </row>
    <row r="37" spans="2:9" x14ac:dyDescent="0.3">
      <c r="C37" s="468" t="s">
        <v>1268</v>
      </c>
      <c r="D37" s="469"/>
      <c r="E37" s="469"/>
      <c r="F37" s="470"/>
      <c r="G37" s="461" t="str">
        <f>_xlfn.CONCAT(_xlfn.XLOOKUP("[S09_AircraftOperatorFeesMonitoringPlans][4][FeesAmount]",Submission!$O:$O,Submission!$H:$N,""))</f>
        <v>139.57</v>
      </c>
      <c r="H37" s="465"/>
      <c r="I37" s="462"/>
    </row>
    <row r="38" spans="2:9" x14ac:dyDescent="0.3">
      <c r="C38" s="468" t="s">
        <v>1269</v>
      </c>
      <c r="D38" s="469"/>
      <c r="E38" s="469"/>
      <c r="F38" s="470"/>
      <c r="G38" s="461" t="str">
        <f>_xlfn.CONCAT(_xlfn.XLOOKUP("[S09_AircraftOperatorFeesMonitoringPlans][5][FeesAmount]",Submission!$O:$O,Submission!$H:$N,""))</f>
        <v/>
      </c>
      <c r="H38" s="465"/>
      <c r="I38" s="462"/>
    </row>
    <row r="39" spans="2:9" x14ac:dyDescent="0.3">
      <c r="C39" s="468" t="s">
        <v>1270</v>
      </c>
      <c r="D39" s="469"/>
      <c r="E39" s="469"/>
      <c r="F39" s="470"/>
      <c r="G39" s="461" t="str">
        <f>_xlfn.CONCAT(_xlfn.XLOOKUP("[S09_AircraftOperatorFeesMonitoringPlans][6][FeesAmount]",Submission!$O:$O,Submission!$H:$N,""))</f>
        <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Opening operator's account fee &lt; 25,000 tCO2</v>
      </c>
      <c r="D60" s="460"/>
      <c r="E60" s="460"/>
      <c r="F60" s="256"/>
      <c r="G60" s="461" t="str">
        <f>_xlfn.CONCAT(_xlfn.XLOOKUP("[S09_RegistryAccountOneOffFees][1][OneOffFeeAmount]",Submission!$O:$O,Submission!$H:$N,""))</f>
        <v>375.34</v>
      </c>
      <c r="H60" s="465"/>
      <c r="I60" s="462"/>
    </row>
    <row r="61" spans="1:9" x14ac:dyDescent="0.3">
      <c r="C61" s="255" t="str">
        <f>_xlfn.CONCAT(_xlfn.XLOOKUP("[S09_RegistryAccountOneOffFees][2][OneOffFeeReason]",Submission!$O:$O,Submission!$H:$N,""))</f>
        <v>Opening operator's account fee &gt; 25,000 tCO2</v>
      </c>
      <c r="D61" s="460"/>
      <c r="E61" s="460"/>
      <c r="F61" s="256"/>
      <c r="G61" s="461" t="str">
        <f>_xlfn.CONCAT(_xlfn.XLOOKUP("[S09_RegistryAccountOneOffFees][2][OneOffFeeAmount]",Submission!$O:$O,Submission!$H:$N,""))</f>
        <v>750.68</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Maintenance operator's account fee &lt; 25,000 tCO2</v>
      </c>
      <c r="D74" s="460"/>
      <c r="E74" s="460"/>
      <c r="F74" s="256"/>
      <c r="G74" s="461" t="str">
        <f>_xlfn.CONCAT(_xlfn.XLOOKUP("[S09_RegistryAccountAnnualFees][1][AnnualFeeAmount]",Submission!$O:$O,Submission!$H:$N,""))</f>
        <v>107.24</v>
      </c>
      <c r="H74" s="465"/>
      <c r="I74" s="462"/>
    </row>
    <row r="75" spans="2:9" x14ac:dyDescent="0.3">
      <c r="C75" s="255" t="str">
        <f>_xlfn.CONCAT(_xlfn.XLOOKUP("[S09_RegistryAccountAnnualFees][2][AnnualFeeReason]",Submission!$O:$O,Submission!$H:$N,""))</f>
        <v>Maintenance operator's account fee &gt; 25,000 tCO2</v>
      </c>
      <c r="D75" s="460"/>
      <c r="E75" s="460"/>
      <c r="F75" s="256"/>
      <c r="G75" s="461" t="str">
        <f>_xlfn.CONCAT(_xlfn.XLOOKUP("[S09_RegistryAccountAnnualFees][2][AnnualFeeAmount]",Submission!$O:$O,Submission!$H:$N,""))</f>
        <v>214.48</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No</v>
      </c>
      <c r="I8" s="72" t="str">
        <f>_xlfn.CONCAT(_xlfn.XLOOKUP("[S10_InstallationsComplianceMeasures][2][ComplianceMeasuresComment]",Submission!$O:$O,Submission!$H:$N,""))</f>
        <v>no irregularities detected</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24000</v>
      </c>
      <c r="F21" s="105" t="str">
        <f>_xlfn.CONCAT(_xlfn.XLOOKUP("[S10_InstallationsInfringementPenalties]["&amp;ROW(B21)-ROW($B$20)&amp;"][MaxFine]",Submission!$O:$O,Submission!$H:$N,""))</f>
        <v>144000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These fines are for neglicence. For fraud the fines are: Min=240 000 euros and Max=5 000 000 euros.</v>
      </c>
    </row>
    <row r="22" spans="1:9" ht="33" customHeight="1" x14ac:dyDescent="0.3">
      <c r="A22" s="13"/>
      <c r="C22" s="249" t="s">
        <v>1288</v>
      </c>
      <c r="D22" s="250"/>
      <c r="E22" s="105" t="str">
        <f>_xlfn.CONCAT(_xlfn.XLOOKUP("[S10_InstallationsInfringementPenalties]["&amp;ROW(B22)-ROW($B$20)&amp;"][MinFine]",Submission!$O:$O,Submission!$H:$N,""))</f>
        <v>24000</v>
      </c>
      <c r="F22" s="105" t="str">
        <f>_xlfn.CONCAT(_xlfn.XLOOKUP("[S10_InstallationsInfringementPenalties]["&amp;ROW(B22)-ROW($B$20)&amp;"][MaxFine]",Submission!$O:$O,Submission!$H:$N,""))</f>
        <v>144000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These fines are for neglicence. For fraud the fines are: Min=240 000 euros and Max=5 000 000 euros.</v>
      </c>
    </row>
    <row r="23" spans="1:9" ht="33" customHeight="1" x14ac:dyDescent="0.3">
      <c r="A23" s="13"/>
      <c r="C23" s="249" t="s">
        <v>1289</v>
      </c>
      <c r="D23" s="250"/>
      <c r="E23" s="105" t="str">
        <f>_xlfn.CONCAT(_xlfn.XLOOKUP("[S10_InstallationsInfringementPenalties]["&amp;ROW(B23)-ROW($B$20)&amp;"][MinFine]",Submission!$O:$O,Submission!$H:$N,""))</f>
        <v>24000</v>
      </c>
      <c r="F23" s="105" t="str">
        <f>_xlfn.CONCAT(_xlfn.XLOOKUP("[S10_InstallationsInfringementPenalties]["&amp;ROW(B23)-ROW($B$20)&amp;"][MaxFine]",Submission!$O:$O,Submission!$H:$N,""))</f>
        <v>144000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These fines are for neglicence. For fraud the fines are: Min=240 000 euros and Max=5 000 000 euros.</v>
      </c>
    </row>
    <row r="24" spans="1:9" ht="41.4" customHeight="1" x14ac:dyDescent="0.3">
      <c r="A24" s="13"/>
      <c r="C24" s="249" t="s">
        <v>1290</v>
      </c>
      <c r="D24" s="250"/>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9" t="s">
        <v>1291</v>
      </c>
      <c r="D25" s="250"/>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9" t="s">
        <v>1292</v>
      </c>
      <c r="D26" s="250"/>
      <c r="E26" s="105" t="str">
        <f>_xlfn.CONCAT(_xlfn.XLOOKUP("[S10_InstallationsInfringementPenalties]["&amp;ROW(B26)-ROW($B$20)&amp;"][MinFine]",Submission!$O:$O,Submission!$H:$N,""))</f>
        <v>2000</v>
      </c>
      <c r="F26" s="105" t="str">
        <f>_xlfn.CONCAT(_xlfn.XLOOKUP("[S10_InstallationsInfringementPenalties]["&amp;ROW(B26)-ROW($B$20)&amp;"][MaxFine]",Submission!$O:$O,Submission!$H:$N,""))</f>
        <v>18000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These fines are for neglicence. For fraud the fines are: Min=6 000 euros and Max=36 000 euros.</v>
      </c>
    </row>
    <row r="27" spans="1:9" ht="41.4" customHeight="1" x14ac:dyDescent="0.3">
      <c r="C27" s="249" t="s">
        <v>1293</v>
      </c>
      <c r="D27" s="250"/>
      <c r="E27" s="105" t="str">
        <f>_xlfn.CONCAT(_xlfn.XLOOKUP("[S10_InstallationsInfringementPenalties]["&amp;ROW(B27)-ROW($B$20)&amp;"][MinFine]",Submission!$O:$O,Submission!$H:$N,""))</f>
        <v>12000</v>
      </c>
      <c r="F27" s="105" t="str">
        <f>_xlfn.CONCAT(_xlfn.XLOOKUP("[S10_InstallationsInfringementPenalties]["&amp;ROW(B27)-ROW($B$20)&amp;"][MaxFine]",Submission!$O:$O,Submission!$H:$N,""))</f>
        <v>72000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These fines are for neglicence. For fraud the fines are: Min=36 000 euros and Max=216 000 euros.</v>
      </c>
    </row>
    <row r="28" spans="1:9" ht="33" customHeight="1" x14ac:dyDescent="0.3">
      <c r="C28" s="249" t="s">
        <v>1294</v>
      </c>
      <c r="D28" s="250"/>
      <c r="E28" s="105" t="str">
        <f>_xlfn.CONCAT(_xlfn.XLOOKUP("[S10_InstallationsInfringementPenalties]["&amp;ROW(B28)-ROW($B$20)&amp;"][MinFine]",Submission!$O:$O,Submission!$H:$N,""))</f>
        <v>12000</v>
      </c>
      <c r="F28" s="105" t="str">
        <f>_xlfn.CONCAT(_xlfn.XLOOKUP("[S10_InstallationsInfringementPenalties]["&amp;ROW(B28)-ROW($B$20)&amp;"][MaxFine]",Submission!$O:$O,Submission!$H:$N,""))</f>
        <v>72000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These fines are for neglicence. For fraud the fines are: Min=36 000 euros and Max=216 000 euros.</v>
      </c>
    </row>
    <row r="29" spans="1:9" ht="33" customHeight="1" x14ac:dyDescent="0.3">
      <c r="C29" s="249" t="s">
        <v>1295</v>
      </c>
      <c r="D29" s="250"/>
      <c r="E29" s="105" t="str">
        <f>_xlfn.CONCAT(_xlfn.XLOOKUP("[S10_InstallationsInfringementPenalties]["&amp;ROW(B29)-ROW($B$20)&amp;"][MinFine]",Submission!$O:$O,Submission!$H:$N,""))</f>
        <v>2000</v>
      </c>
      <c r="F29" s="105" t="str">
        <f>_xlfn.CONCAT(_xlfn.XLOOKUP("[S10_InstallationsInfringementPenalties]["&amp;ROW(B29)-ROW($B$20)&amp;"][MaxFine]",Submission!$O:$O,Submission!$H:$N,""))</f>
        <v>18000</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These fines are for neglicence. For fraud the fines are: Min=6 000 euros and Max=36 000 euros.</v>
      </c>
    </row>
    <row r="30" spans="1:9" ht="33" customHeight="1" x14ac:dyDescent="0.3">
      <c r="C30" s="249" t="s">
        <v>1296</v>
      </c>
      <c r="D30" s="250"/>
      <c r="E30" s="105" t="str">
        <f>_xlfn.CONCAT(_xlfn.XLOOKUP("[S10_InstallationsInfringementPenalties]["&amp;ROW(B30)-ROW($B$20)&amp;"][MinFine]",Submission!$O:$O,Submission!$H:$N,""))</f>
        <v>2000</v>
      </c>
      <c r="F30" s="105" t="str">
        <f>_xlfn.CONCAT(_xlfn.XLOOKUP("[S10_InstallationsInfringementPenalties]["&amp;ROW(B30)-ROW($B$20)&amp;"][MaxFine]",Submission!$O:$O,Submission!$H:$N,""))</f>
        <v>18000</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These fines are for neglicence. For fraud the fines are: Min=6 000 euros and Max=36 000 euros.</v>
      </c>
    </row>
    <row r="31" spans="1:9" ht="33" customHeight="1" x14ac:dyDescent="0.3">
      <c r="C31" s="249" t="s">
        <v>1297</v>
      </c>
      <c r="D31" s="250"/>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Absence of na account in the Portuguese ETS Registry</v>
      </c>
      <c r="E32" s="105" t="str">
        <f>_xlfn.CONCAT(_xlfn.XLOOKUP("[S10_InstallationsInfringementPenalties]["&amp;ROW(B32)-ROW($B$20)&amp;"][MinFine]",Submission!$O:$O,Submission!$H:$N,""))</f>
        <v>24000</v>
      </c>
      <c r="F32" s="105" t="str">
        <f>_xlfn.CONCAT(_xlfn.XLOOKUP("[S10_InstallationsInfringementPenalties]["&amp;ROW(B32)-ROW($B$20)&amp;"][MaxFine]",Submission!$O:$O,Submission!$H:$N,""))</f>
        <v>144000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These fines are for neglicence. For fraud the fines are: Min=240 000 euros and Max=5 000 000 euros.</v>
      </c>
    </row>
    <row r="33" spans="3:9" ht="33" hidden="1" customHeight="1" outlineLevel="1" x14ac:dyDescent="0.3">
      <c r="C33" s="93" t="s">
        <v>1234</v>
      </c>
      <c r="D33" s="72" t="str">
        <f>_xlfn.CONCAT(_xlfn.XLOOKUP("[S10_InstallationsInfringementPenalties]["&amp;ROW(B33)-ROW($B$20)&amp;"][InfringementOther]",Submission!$O:$O,Submission!$H:$N,""))</f>
        <v>Failure to submit the annual activity level report by 31 March</v>
      </c>
      <c r="E33" s="105" t="str">
        <f>_xlfn.CONCAT(_xlfn.XLOOKUP("[S10_InstallationsInfringementPenalties]["&amp;ROW(B33)-ROW($B$20)&amp;"][MinFine]",Submission!$O:$O,Submission!$H:$N,""))</f>
        <v>12000</v>
      </c>
      <c r="F33" s="105" t="str">
        <f>_xlfn.CONCAT(_xlfn.XLOOKUP("[S10_InstallationsInfringementPenalties]["&amp;ROW(B33)-ROW($B$20)&amp;"][MaxFine]",Submission!$O:$O,Submission!$H:$N,""))</f>
        <v>72000</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These fines are for neglicence. For fraud the fines are: Min=36 000 euros and Max=216 000 euros.</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Decree-Law No. 12/2020 of 06 April 2020</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24000</v>
      </c>
      <c r="F147" s="105" t="str">
        <f>_xlfn.CONCAT(_xlfn.XLOOKUP("[S10_AircraftInfringementPenalties][1][MaxFine]",Submission!$O:$O,Submission!$H:$N,""))</f>
        <v>144000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These fines are for neglicence. For fraud the fines are: Min=240 000 euros and Max=5 000 000 euros.</v>
      </c>
    </row>
    <row r="148" spans="1:9" ht="40.200000000000003" customHeight="1" x14ac:dyDescent="0.3">
      <c r="A148" s="13"/>
      <c r="C148" s="249" t="s">
        <v>1290</v>
      </c>
      <c r="D148" s="273"/>
      <c r="E148" s="105" t="str">
        <f>_xlfn.CONCAT(_xlfn.XLOOKUP("[S10_AircraftInfringementPenalties][2][MinFine]",Submission!$O:$O,Submission!$H:$N,""))</f>
        <v>12000</v>
      </c>
      <c r="F148" s="105" t="str">
        <f>_xlfn.CONCAT(_xlfn.XLOOKUP("[S10_AircraftInfringementPenalties][2][MaxFine]",Submission!$O:$O,Submission!$H:$N,""))</f>
        <v>72000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These fines are for neglicence. For fraud the fines are: Min=36 000 euros and Max=216 000 euros.</v>
      </c>
    </row>
    <row r="149" spans="1:9" ht="40.200000000000003" customHeight="1" x14ac:dyDescent="0.3">
      <c r="A149" s="13"/>
      <c r="C149" s="249" t="s">
        <v>1312</v>
      </c>
      <c r="D149" s="273"/>
      <c r="E149" s="105" t="str">
        <f>_xlfn.CONCAT(_xlfn.XLOOKUP("[S10_AircraftInfringementPenalties][3][MinFine]",Submission!$O:$O,Submission!$H:$N,""))</f>
        <v>2000</v>
      </c>
      <c r="F149" s="105" t="str">
        <f>_xlfn.CONCAT(_xlfn.XLOOKUP("[S10_AircraftInfringementPenalties][3][MaxFine]",Submission!$O:$O,Submission!$H:$N,""))</f>
        <v>18000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These fines are for neglicence. For fraud the fines are: Min=6 000 euros and Max=36 000 euros.</v>
      </c>
    </row>
    <row r="150" spans="1:9" ht="40.200000000000003" customHeight="1" x14ac:dyDescent="0.3">
      <c r="C150" s="249" t="s">
        <v>1293</v>
      </c>
      <c r="D150" s="273"/>
      <c r="E150" s="105" t="str">
        <f>_xlfn.CONCAT(_xlfn.XLOOKUP("[S10_AircraftInfringementPenalties][4][MinFine]",Submission!$O:$O,Submission!$H:$N,""))</f>
        <v>12000</v>
      </c>
      <c r="F150" s="105" t="str">
        <f>_xlfn.CONCAT(_xlfn.XLOOKUP("[S10_AircraftInfringementPenalties][4][MaxFine]",Submission!$O:$O,Submission!$H:$N,""))</f>
        <v>72000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These fines are for neglicence. For fraud the fines are: Min=36 000 euros and Max=216 000 euros.</v>
      </c>
    </row>
    <row r="151" spans="1:9" ht="37.200000000000003" customHeight="1" x14ac:dyDescent="0.3">
      <c r="C151" s="249" t="s">
        <v>1313</v>
      </c>
      <c r="D151" s="273"/>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12000</v>
      </c>
      <c r="F152" s="105" t="str">
        <f>_xlfn.CONCAT(_xlfn.XLOOKUP("[S10_AircraftInfringementPenalties][6][MaxFine]",Submission!$O:$O,Submission!$H:$N,""))</f>
        <v>72000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These fines are for neglicence. For fraud the fines are: Min=36 000 euros and Max=216 000 euros.</v>
      </c>
    </row>
    <row r="153" spans="1:9" ht="37.200000000000003" customHeight="1" x14ac:dyDescent="0.3">
      <c r="C153" s="249" t="s">
        <v>1295</v>
      </c>
      <c r="D153" s="273"/>
      <c r="E153" s="105" t="str">
        <f>_xlfn.CONCAT(_xlfn.XLOOKUP("[S10_AircraftInfringementPenalties][7][MinFine]",Submission!$O:$O,Submission!$H:$N,""))</f>
        <v>2000</v>
      </c>
      <c r="F153" s="105" t="str">
        <f>_xlfn.CONCAT(_xlfn.XLOOKUP("[S10_AircraftInfringementPenalties][7][MaxFine]",Submission!$O:$O,Submission!$H:$N,""))</f>
        <v>18000</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These fines are for neglicence. For fraud the fines are: Min=6 000 euros and Max=36 000 euros.</v>
      </c>
    </row>
    <row r="154" spans="1:9" ht="37.200000000000003" customHeight="1" x14ac:dyDescent="0.3">
      <c r="C154" s="249" t="s">
        <v>1296</v>
      </c>
      <c r="D154" s="273"/>
      <c r="E154" s="105" t="str">
        <f>_xlfn.CONCAT(_xlfn.XLOOKUP("[S10_AircraftInfringementPenalties][8][MinFine]",Submission!$O:$O,Submission!$H:$N,""))</f>
        <v>2000</v>
      </c>
      <c r="F154" s="105" t="str">
        <f>_xlfn.CONCAT(_xlfn.XLOOKUP("[S10_AircraftInfringementPenalties][8][MaxFine]",Submission!$O:$O,Submission!$H:$N,""))</f>
        <v>18000</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These fines are for neglicence. For fraud the fines are: Min=6 000 euros and Max=36 000 euros.</v>
      </c>
    </row>
    <row r="155" spans="1:9" ht="37.200000000000003" customHeight="1" x14ac:dyDescent="0.3">
      <c r="C155" s="249" t="s">
        <v>1297</v>
      </c>
      <c r="D155" s="273"/>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Decree-Law No. 93/2010, of 27 July amended and republished by Decree-Law No. 195/2015 of 14 September</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1 - Whenever the seriousness of the infraction justifies it, the competent authority may, simultaneously with the fine, determine the application of the accessory sanctions that prove to be appropriate, under the terms provided for in Law no. 50/2006, of 29 August, in its current wording.
2 - The competent authority may also, whenever necessary, determine the provisional seizure of goods and documents, under the terms provided for in article 42 of Law No. 50/2006, of 29 August, in its current wording.</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An allowance constitutes an intangible asset.</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The accounting treatment of emission allowances is regulated by the National Standard NCRF 26 – Matérias Ambientais published
in national legislation Aviso n.º 8256/2015 29th July 2015, particularly in paragraphs 5-12 that are transcribed below: “5 - An
entity shall recognize as intangible assets licenses emission of greenhouse effect whether they have been assigned free or they
were acquired in the market. 6 – In counterpart for recognition of licenses assigned free a grant will be recognized. 7 - The
emission of greenhouse effect should be recognized as an expense. 8 - In counterpart for recognition of emissions of greenhouse
gases the respective amortization of intangible assets must be recognized. 9 - Emissions of greenhouse gas effect above the
licenses held should be recognized as a liability under NCRF 21. 10 - On initial recognition, the gas emission allowances
greenhouse or allocated free of charge or acquired for consideration must be measured at fair value, which is presumed to
coincide with the acquisition cost when acquired for consideration as recommended in paragraph 42 of NCRF 6 and in paragraph
22 of NCRF 22. 11 - The emission of greenhouse effect should be measured at cost of licenses held, according to the FIFO cost
formula. If the entity issues greenhouse gas effect without holding the related licenses, the measurement should be made by the
best estimate of the price for their production. 12 - Given the particular issue of greenhouse gas effect, the disclosures to be
made should be compiled in a note in the Annex.”</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VAT</v>
      </c>
      <c r="D18" s="353"/>
      <c r="E18" s="353"/>
      <c r="F18" s="260"/>
      <c r="G18" s="258" t="str">
        <f>_xlfn.CONCAT(_xlfn.XLOOKUP("[S11_TypeOfTaxRatesApplied][1][TaxRateApplied]",Submission!$O:$O,Submission!$H:$N,""))</f>
        <v>0.23</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EU regulation 1193/2011 of the Commission of 18 November, provides in Article 72 that the national administrator, directors and employees must cooperate with the FIU, including informing the FIU when they know or suspect activities related to ML / FT.</v>
      </c>
      <c r="H7" s="353"/>
      <c r="I7" s="260"/>
    </row>
    <row r="8" spans="1:9" ht="45" customHeight="1" x14ac:dyDescent="0.3">
      <c r="C8" s="249" t="s">
        <v>1337</v>
      </c>
      <c r="D8" s="257"/>
      <c r="E8" s="257"/>
      <c r="F8" s="250"/>
      <c r="G8" s="258" t="str">
        <f>_xlfn.CONCAT(_xlfn.XLOOKUP("[S12_FraudFreeAllocationOfAllowances][2][DetailsOfProceduresInNationalLaw]",Submission!$O:$O,Submission!$H:$N,""))</f>
        <v>yes</v>
      </c>
      <c r="H8" s="353"/>
      <c r="I8" s="260"/>
    </row>
    <row r="9" spans="1:9" ht="45" customHeight="1" x14ac:dyDescent="0.3">
      <c r="C9" s="249" t="s">
        <v>1338</v>
      </c>
      <c r="D9" s="257"/>
      <c r="E9" s="257"/>
      <c r="F9" s="250"/>
      <c r="G9" s="258" t="str">
        <f>_xlfn.CONCAT(_xlfn.XLOOKUP("[S12_FraudFreeAllocationOfAllowances][3][DetailsOfProceduresInNationalLaw]",Submission!$O:$O,Submission!$H:$N,""))</f>
        <v>Portuguese Judicial Police</v>
      </c>
      <c r="H9" s="353"/>
      <c r="I9" s="260"/>
    </row>
    <row r="10" spans="1:9" ht="45" customHeight="1" x14ac:dyDescent="0.3">
      <c r="C10" s="249" t="s">
        <v>1339</v>
      </c>
      <c r="D10" s="257"/>
      <c r="E10" s="257"/>
      <c r="F10" s="250"/>
      <c r="G10" s="258" t="str">
        <f>_xlfn.CONCAT(_xlfn.XLOOKUP("[S12_FraudFreeAllocationOfAllowances][4][DetailsOfProceduresInNationalLaw]",Submission!$O:$O,Submission!$H:$N,""))</f>
        <v>yes</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yes</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 xml:space="preserve">In the case of the commitment of ML offences the sanctions are between 2 and 12 years of imprisonment. Crimes of fraud related crimes between 2 and 8 years of imprisonment and crimes related to pollution up to 5 years of imprisonment. Non criminal sanctions are also applicable in Decree-Law 12/2020, fines up to 250 000 00 euros, accompanied by seizures and imposture of prohibitions. </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
      </c>
      <c r="I28" s="352"/>
    </row>
    <row r="29" spans="1:9" ht="20.399999999999999" customHeight="1" x14ac:dyDescent="0.3">
      <c r="C29" s="249" t="s">
        <v>1357</v>
      </c>
      <c r="D29" s="257"/>
      <c r="E29" s="257"/>
      <c r="F29" s="257"/>
      <c r="G29" s="250"/>
      <c r="H29" s="351" t="str">
        <f>_xlfn.CONCAT(_xlfn.XLOOKUP("[S12_InformationOnFraudActivities][2][NumberOfActivities]",Submission!$O:$O,Submission!$H:$N,""))</f>
        <v/>
      </c>
      <c r="I29" s="352"/>
    </row>
    <row r="30" spans="1:9" ht="20.399999999999999" customHeight="1" x14ac:dyDescent="0.3">
      <c r="C30" s="249" t="s">
        <v>1358</v>
      </c>
      <c r="D30" s="257"/>
      <c r="E30" s="257"/>
      <c r="F30" s="257"/>
      <c r="G30" s="250"/>
      <c r="H30" s="351" t="str">
        <f>_xlfn.CONCAT(_xlfn.XLOOKUP("[S12_InformationOnFraudActivities][3][NumberOfActivities]",Submission!$O:$O,Submission!$H:$N,""))</f>
        <v/>
      </c>
      <c r="I30" s="352"/>
    </row>
    <row r="31" spans="1:9" ht="20.399999999999999" customHeight="1" x14ac:dyDescent="0.3">
      <c r="C31" s="249" t="s">
        <v>1359</v>
      </c>
      <c r="D31" s="257"/>
      <c r="E31" s="257"/>
      <c r="F31" s="257"/>
      <c r="G31" s="250"/>
      <c r="H31" s="351" t="str">
        <f>_xlfn.CONCAT(_xlfn.XLOOKUP("[S12_InformationOnFraudActivities][4][NumberOfActivities]",Submission!$O:$O,Submission!$H:$N,""))</f>
        <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Question 5.6</v>
      </c>
      <c r="E18" s="353" t="str">
        <f>_xlfn.CONCAT(_xlfn.XLOOKUP("[S13_AnyOtherIssues][12][OtherInformationOrIssues]",Submission!$O:$O,Submission!$H:$N,""))</f>
        <v>In CRF Category 1=1A2d and Category 2=2H1, This exercise does not account for the emissions associated with transferred CO2, so the total emissions accounted for here will be higher than the total value reported at the national level</v>
      </c>
      <c r="F18" s="353"/>
      <c r="G18" s="353"/>
      <c r="H18" s="353"/>
      <c r="I18" s="260"/>
      <c r="K18" s="192"/>
    </row>
    <row r="19" spans="3:11" ht="27" customHeight="1" x14ac:dyDescent="0.3">
      <c r="C19" s="566"/>
      <c r="D19" s="161" t="str">
        <f>_xlfn.CONCAT(_xlfn.XLOOKUP("[S13_AnyOtherIssues][13][QuestionnaireSubQuestion]",Submission!$O:$O,Submission!$H:$N,""))</f>
        <v>Question 5.7</v>
      </c>
      <c r="E19" s="353" t="str">
        <f>_xlfn.CONCAT(_xlfn.XLOOKUP("[S13_AnyOtherIssues][13][OtherInformationOrIssues]",Submission!$O:$O,Submission!$H:$N,""))</f>
        <v>Waste Tyres - The default values used were obtained from two separate studies conducted at national level on the basis of laboratory analyses carried out on representative batches received in 2018/2019 (first study) and 2020 (second study). The competent authority intervened in the working group created for this purpose, validating the sampling and analysis methodology. The results of this study will be reviewed for the second period of phase IV.</v>
      </c>
      <c r="F19" s="353"/>
      <c r="G19" s="353"/>
      <c r="H19" s="353"/>
      <c r="I19" s="260"/>
    </row>
    <row r="20" spans="3:11" ht="27" hidden="1" customHeight="1" outlineLevel="1" x14ac:dyDescent="0.3">
      <c r="C20" s="566"/>
      <c r="D20" s="161" t="str">
        <f>_xlfn.CONCAT(_xlfn.XLOOKUP("[S13_AnyOtherIssues][14][QuestionnaireSubQuestion]",Submission!$O:$O,Submission!$H:$N,""))</f>
        <v>Question 5.19</v>
      </c>
      <c r="E20" s="353" t="str">
        <f>_xlfn.CONCAT(_xlfn.XLOOKUP("[S13_AnyOtherIssues][14][OtherInformationOrIssues]",Submission!$O:$O,Submission!$H:$N,""))</f>
        <v>Estimated values based on the annual emissions reports</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Question 6.1</v>
      </c>
      <c r="E41" s="353" t="str">
        <f>_xlfn.CONCAT(_xlfn.XLOOKUP("[S13_AnyOtherIssues][35][OtherInformationOrIssues]",Submission!$O:$O,Submission!$H:$N,""))</f>
        <v>Number of verifiers accredited by a national accreditation body in another Member State that carried out verification in your Member State -1 and the Member State of accreditation - ES</v>
      </c>
      <c r="F41" s="353"/>
      <c r="G41" s="353"/>
      <c r="H41" s="353"/>
      <c r="I41" s="260"/>
    </row>
    <row r="42" spans="3:9" ht="27" customHeight="1" x14ac:dyDescent="0.3">
      <c r="C42" s="566"/>
      <c r="D42" s="161" t="str">
        <f>_xlfn.CONCAT(_xlfn.XLOOKUP("[S13_AnyOtherIssues][36][QuestionnaireSubQuestion]",Submission!$O:$O,Submission!$H:$N,""))</f>
        <v>Question 6.1</v>
      </c>
      <c r="E42" s="353" t="str">
        <f>_xlfn.CONCAT(_xlfn.XLOOKUP("[S13_AnyOtherIssues][36][OtherInformationOrIssues]",Submission!$O:$O,Submission!$H:$N,""))</f>
        <v>Number of verifiers accredited by a national accreditation body in another Member State that carried out verification in your Member State -1 and the Member State of accreditation - NL</v>
      </c>
      <c r="F42" s="353"/>
      <c r="G42" s="353"/>
      <c r="H42" s="353"/>
      <c r="I42" s="260"/>
    </row>
    <row r="43" spans="3:9" ht="27" hidden="1" customHeight="1" outlineLevel="1" x14ac:dyDescent="0.3">
      <c r="C43" s="566"/>
      <c r="D43" s="161" t="str">
        <f>_xlfn.CONCAT(_xlfn.XLOOKUP("[S13_AnyOtherIssues][37][QuestionnaireSubQuestion]",Submission!$O:$O,Submission!$H:$N,""))</f>
        <v>Question 6.3</v>
      </c>
      <c r="E43" s="353" t="str">
        <f>_xlfn.CONCAT(_xlfn.XLOOKUP("[S13_AnyOtherIssues][37][OtherInformationOrIssues]",Submission!$O:$O,Submission!$H:$N,""))</f>
        <v>Still to be confirmed if the installation was in operation during the reporting period.</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Question 9.1</v>
      </c>
      <c r="E74" s="353" t="str">
        <f>_xlfn.CONCAT(_xlfn.XLOOKUP("[S13_AnyOtherIssues][68][OtherInformationOrIssues]",Submission!$O:$O,Submission!$H:$N,""))</f>
        <v>Permit issuance/ monitoring plan approval:
&lt;25 kt CO2 - 207,96 €
≥25 kt CO2 and &lt;50 kt CO2 - 363,92 €
&gt;50 kt CO2 and ≤500 kt CO2 - 727,85 €
&gt;500 kt CO2 - 1455,69 €
Permit update:
&lt;25 kt CO2 - 103,97 €
≥25 kt CO2 and &lt;50 kt CO2 - 207,96 €
&gt;50 kt CO2 and ≤500 kt CO2 - 415,91 €
&gt;500 kt CO2 - 987,79 €</v>
      </c>
      <c r="F74" s="353"/>
      <c r="G74" s="353"/>
      <c r="H74" s="353"/>
      <c r="I74" s="260"/>
    </row>
    <row r="75" spans="3:9" ht="27" customHeight="1" x14ac:dyDescent="0.3">
      <c r="C75" s="566"/>
      <c r="D75" s="161" t="str">
        <f>_xlfn.CONCAT(_xlfn.XLOOKUP("[S13_AnyOtherIssues][69][QuestionnaireSubQuestion]",Submission!$O:$O,Submission!$H:$N,""))</f>
        <v>Question 9.2</v>
      </c>
      <c r="E75" s="353" t="str">
        <f>_xlfn.CONCAT(_xlfn.XLOOKUP("[S13_AnyOtherIssues][69][OtherInformationOrIssues]",Submission!$O:$O,Submission!$H:$N,""))</f>
        <v xml:space="preserve">Approval of monitoring plan for emissions and Approval of monitoring plan for tonne-kilometre data:
&lt;25 kt CO2 - 279,14 €
≥25 kt CO2 - 1954,00 €
Approval of change to monitoring plan for emissions and Approval of change to monitoring plan for tonne-kilometre data:
&lt;25 kt CO2 - 139,57 €
≥25 kt CO2 - 1320,56 €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Question 12.2</v>
      </c>
      <c r="E90" s="353" t="str">
        <f>_xlfn.CONCAT(_xlfn.XLOOKUP("[S13_AnyOtherIssues][84][OtherInformationOrIssues]",Submission!$O:$O,Submission!$H:$N,""))</f>
        <v>There are no specific arrangements in place to ensure that the competent authorities involved in the implementation of EU ETS are made aware of fraudulent activities.</v>
      </c>
      <c r="F90" s="353"/>
      <c r="G90" s="353"/>
      <c r="H90" s="353"/>
      <c r="I90" s="260"/>
    </row>
    <row r="91" spans="1:9" ht="27" customHeight="1" x14ac:dyDescent="0.3">
      <c r="C91" s="382"/>
      <c r="D91" s="161" t="str">
        <f>_xlfn.CONCAT(_xlfn.XLOOKUP("[S13_AnyOtherIssues][85][QuestionnaireSubQuestion]",Submission!$O:$O,Submission!$H:$N,""))</f>
        <v>Question 12.3</v>
      </c>
      <c r="E91" s="353" t="str">
        <f>_xlfn.CONCAT(_xlfn.XLOOKUP("[S13_AnyOtherIssues][85][OtherInformationOrIssues]",Submission!$O:$O,Submission!$H:$N,""))</f>
        <v>This Agency is not aware of any ongoing investigation, cases brought to court, or any convictions that have occurred.</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Yes</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14</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APA, I.P.</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DRAAC-Az</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DRAAC</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IGAMAOT</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Absence of na account in the Portuguese ETS Registry</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Failure to submit the annual activity level report by 31 March</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Portuguese Environment Agency, Climate Change Department</v>
      </c>
    </row>
    <row r="3" spans="1:21" x14ac:dyDescent="0.3">
      <c r="A3" t="s">
        <v>1738</v>
      </c>
      <c r="B3" t="s">
        <v>1739</v>
      </c>
      <c r="C3">
        <v>0</v>
      </c>
      <c r="D3" t="s">
        <v>1447</v>
      </c>
      <c r="E3" t="s">
        <v>1742</v>
      </c>
      <c r="F3" t="s">
        <v>1741</v>
      </c>
      <c r="G3" t="str">
        <f>IF(ISBLANK('Q 1'!E6),"",IF('Q 1'!E6="&lt;please select&gt;","",'Q 1'!E6))</f>
        <v>Joana Veloso</v>
      </c>
    </row>
    <row r="4" spans="1:21" x14ac:dyDescent="0.3">
      <c r="A4" t="s">
        <v>1738</v>
      </c>
      <c r="B4" t="s">
        <v>1739</v>
      </c>
      <c r="C4">
        <v>0</v>
      </c>
      <c r="D4" t="s">
        <v>1447</v>
      </c>
      <c r="E4" t="s">
        <v>1743</v>
      </c>
      <c r="F4" t="s">
        <v>1741</v>
      </c>
      <c r="G4" t="str">
        <f>IF(ISBLANK('Q 1'!E7),"",IF('Q 1'!E7="&lt;please select&gt;","",'Q 1'!E7))</f>
        <v>Head of Mitigation and Carbon Markets Unit</v>
      </c>
    </row>
    <row r="5" spans="1:21" x14ac:dyDescent="0.3">
      <c r="A5" t="s">
        <v>1738</v>
      </c>
      <c r="B5" t="s">
        <v>1739</v>
      </c>
      <c r="C5">
        <v>0</v>
      </c>
      <c r="D5" t="s">
        <v>1447</v>
      </c>
      <c r="E5" t="s">
        <v>1744</v>
      </c>
      <c r="F5" t="s">
        <v>1741</v>
      </c>
      <c r="G5" t="str">
        <f>IF(ISBLANK('Q 1'!E8),"",IF('Q 1'!E8="&lt;please select&gt;","",'Q 1'!E8))</f>
        <v>Rua da Murgueira, 9/9A Zambujal Ap.7585 | 2610-124 Amadora | Portugal</v>
      </c>
    </row>
    <row r="6" spans="1:21" x14ac:dyDescent="0.3">
      <c r="A6" t="s">
        <v>1738</v>
      </c>
      <c r="B6" t="s">
        <v>1739</v>
      </c>
      <c r="C6">
        <v>0</v>
      </c>
      <c r="D6" t="s">
        <v>1447</v>
      </c>
      <c r="E6" t="s">
        <v>1745</v>
      </c>
      <c r="F6" t="s">
        <v>1741</v>
      </c>
      <c r="G6" t="str">
        <f>IF(ISBLANK('Q 1'!E9),"",IF('Q 1'!E9="&lt;please select&gt;","",'Q 1'!E9))</f>
        <v xml:space="preserve"> +351 93 789 10 88</v>
      </c>
    </row>
    <row r="7" spans="1:21" x14ac:dyDescent="0.3">
      <c r="A7" t="s">
        <v>1738</v>
      </c>
      <c r="B7" t="s">
        <v>1739</v>
      </c>
      <c r="C7">
        <v>0</v>
      </c>
      <c r="D7" t="s">
        <v>1447</v>
      </c>
      <c r="E7" t="s">
        <v>1746</v>
      </c>
      <c r="F7" t="s">
        <v>1741</v>
      </c>
      <c r="G7" t="str">
        <f>IF(ISBLANK('Q 1'!E10),"",IF('Q 1'!E10="&lt;please select&gt;","",'Q 1'!E10))</f>
        <v>joana.veloso@apambiente.pt</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Portuguese Environment Agency, Public Institute</v>
      </c>
    </row>
    <row r="10" spans="1:21" x14ac:dyDescent="0.3">
      <c r="A10" t="s">
        <v>1749</v>
      </c>
      <c r="B10" t="s">
        <v>1750</v>
      </c>
      <c r="C10">
        <v>2</v>
      </c>
      <c r="D10" t="s">
        <v>1447</v>
      </c>
      <c r="E10" t="s">
        <v>1751</v>
      </c>
      <c r="F10" t="s">
        <v>1741</v>
      </c>
      <c r="G10" t="str">
        <f>IF(ISBLANK('Q 2'!C8),"",IF('Q 2'!C8="&lt;please select&gt;","",'Q 2'!C8))</f>
        <v>Regional Directorate of Environment and Climate Change - Azores</v>
      </c>
    </row>
    <row r="11" spans="1:21" x14ac:dyDescent="0.3">
      <c r="A11" t="s">
        <v>1749</v>
      </c>
      <c r="B11" t="s">
        <v>1750</v>
      </c>
      <c r="C11">
        <v>3</v>
      </c>
      <c r="D11" t="s">
        <v>1447</v>
      </c>
      <c r="E11" t="s">
        <v>1751</v>
      </c>
      <c r="F11" t="s">
        <v>1741</v>
      </c>
      <c r="G11" t="str">
        <f>IF(ISBLANK('Q 2'!C9),"",IF('Q 2'!C9="&lt;please select&gt;","",'Q 2'!C9))</f>
        <v>Regional Directorate of Environment and Climate Change - Madeira</v>
      </c>
    </row>
    <row r="12" spans="1:21" x14ac:dyDescent="0.3">
      <c r="A12" t="s">
        <v>1749</v>
      </c>
      <c r="B12" t="s">
        <v>1750</v>
      </c>
      <c r="C12">
        <v>4</v>
      </c>
      <c r="D12" t="s">
        <v>1447</v>
      </c>
      <c r="E12" t="s">
        <v>1751</v>
      </c>
      <c r="F12" t="s">
        <v>1741</v>
      </c>
      <c r="G12" t="str">
        <f>IF(ISBLANK('Q 2'!C10),"",IF('Q 2'!C10="&lt;please select&gt;","",'Q 2'!C10))</f>
        <v>Inspectorate-General of agriculture, of Sea, of Environment and Territorial Planning</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APA, I.P.</v>
      </c>
    </row>
    <row r="32" spans="1:7" x14ac:dyDescent="0.3">
      <c r="A32" t="s">
        <v>1749</v>
      </c>
      <c r="B32" t="s">
        <v>1750</v>
      </c>
      <c r="C32">
        <v>2</v>
      </c>
      <c r="D32" t="s">
        <v>1447</v>
      </c>
      <c r="E32" t="s">
        <v>1752</v>
      </c>
      <c r="F32" t="s">
        <v>1741</v>
      </c>
      <c r="G32" t="str">
        <f>IF(ISBLANK('Q 2'!D8),"",IF('Q 2'!D8="&lt;please select&gt;","",'Q 2'!D8))</f>
        <v>DRAAC-Az</v>
      </c>
    </row>
    <row r="33" spans="1:7" x14ac:dyDescent="0.3">
      <c r="A33" t="s">
        <v>1749</v>
      </c>
      <c r="B33" t="s">
        <v>1750</v>
      </c>
      <c r="C33">
        <v>3</v>
      </c>
      <c r="D33" t="s">
        <v>1447</v>
      </c>
      <c r="E33" t="s">
        <v>1752</v>
      </c>
      <c r="F33" t="s">
        <v>1741</v>
      </c>
      <c r="G33" t="str">
        <f>IF(ISBLANK('Q 2'!D9),"",IF('Q 2'!D9="&lt;please select&gt;","",'Q 2'!D9))</f>
        <v>DRAAC</v>
      </c>
    </row>
    <row r="34" spans="1:7" x14ac:dyDescent="0.3">
      <c r="A34" t="s">
        <v>1749</v>
      </c>
      <c r="B34" t="s">
        <v>1750</v>
      </c>
      <c r="C34">
        <v>4</v>
      </c>
      <c r="D34" t="s">
        <v>1447</v>
      </c>
      <c r="E34" t="s">
        <v>1752</v>
      </c>
      <c r="F34" t="s">
        <v>1741</v>
      </c>
      <c r="G34" t="str">
        <f>IF(ISBLANK('Q 2'!D10),"",IF('Q 2'!D10="&lt;please select&gt;","",'Q 2'!D10))</f>
        <v>IGAMAOT</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Regional competent authority</v>
      </c>
    </row>
    <row r="55" spans="1:7" x14ac:dyDescent="0.3">
      <c r="A55" t="s">
        <v>1749</v>
      </c>
      <c r="B55" t="s">
        <v>1750</v>
      </c>
      <c r="C55">
        <v>3</v>
      </c>
      <c r="D55" t="s">
        <v>1447</v>
      </c>
      <c r="E55" t="s">
        <v>1753</v>
      </c>
      <c r="F55" t="s">
        <v>1741</v>
      </c>
      <c r="G55" t="str">
        <f>IF(ISBLANK('Q 2'!E9),"",IF('Q 2'!E9="&lt;please select&gt;","",'Q 2'!E9))</f>
        <v>Regional competent authority</v>
      </c>
    </row>
    <row r="56" spans="1:7" x14ac:dyDescent="0.3">
      <c r="A56" t="s">
        <v>1749</v>
      </c>
      <c r="B56" t="s">
        <v>1750</v>
      </c>
      <c r="C56">
        <v>4</v>
      </c>
      <c r="D56" t="s">
        <v>1447</v>
      </c>
      <c r="E56" t="s">
        <v>1753</v>
      </c>
      <c r="F56" t="s">
        <v>1741</v>
      </c>
      <c r="G56" t="str">
        <f>IF(ISBLANK('Q 2'!E10),"",IF('Q 2'!E10="&lt;please select&gt;","",'Q 2'!E10))</f>
        <v>Other</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1</v>
      </c>
    </row>
    <row r="77" spans="1:7" x14ac:dyDescent="0.3">
      <c r="A77" t="s">
        <v>1749</v>
      </c>
      <c r="B77" t="s">
        <v>1750</v>
      </c>
      <c r="C77">
        <v>3</v>
      </c>
      <c r="D77" t="s">
        <v>1447</v>
      </c>
      <c r="E77" t="s">
        <v>1754</v>
      </c>
      <c r="F77" t="s">
        <v>1741</v>
      </c>
      <c r="G77" s="165" t="str">
        <f>IF(ISBLANK('Q 2'!F9),"",IF('Q 2'!F9="&lt;please select&gt;","",'Q 2'!F9))</f>
        <v>1</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351937891088</v>
      </c>
    </row>
    <row r="98" spans="1:7" x14ac:dyDescent="0.3">
      <c r="A98" t="s">
        <v>1749</v>
      </c>
      <c r="B98" t="s">
        <v>1750</v>
      </c>
      <c r="C98">
        <v>2</v>
      </c>
      <c r="D98" t="s">
        <v>1447</v>
      </c>
      <c r="E98" t="s">
        <v>1755</v>
      </c>
      <c r="F98" t="s">
        <v>1741</v>
      </c>
      <c r="G98" t="str">
        <f>IF(ISBLANK('Q 2'!G8),"",IF('Q 2'!G8="&lt;please select&gt;","",'Q 2'!G8))</f>
        <v>351292207300</v>
      </c>
    </row>
    <row r="99" spans="1:7" x14ac:dyDescent="0.3">
      <c r="A99" t="s">
        <v>1749</v>
      </c>
      <c r="B99" t="s">
        <v>1750</v>
      </c>
      <c r="C99">
        <v>3</v>
      </c>
      <c r="D99" t="s">
        <v>1447</v>
      </c>
      <c r="E99" t="s">
        <v>1755</v>
      </c>
      <c r="F99" t="s">
        <v>1741</v>
      </c>
      <c r="G99" t="str">
        <f>IF(ISBLANK('Q 2'!G9),"",IF('Q 2'!G9="&lt;please select&gt;","",'Q 2'!G9))</f>
        <v>351291207350</v>
      </c>
    </row>
    <row r="100" spans="1:7" x14ac:dyDescent="0.3">
      <c r="A100" t="s">
        <v>1749</v>
      </c>
      <c r="B100" t="s">
        <v>1750</v>
      </c>
      <c r="C100">
        <v>4</v>
      </c>
      <c r="D100" t="s">
        <v>1447</v>
      </c>
      <c r="E100" t="s">
        <v>1755</v>
      </c>
      <c r="F100" t="s">
        <v>1741</v>
      </c>
      <c r="G100" t="str">
        <f>IF(ISBLANK('Q 2'!G10),"",IF('Q 2'!G10="&lt;please select&gt;","",'Q 2'!G10))</f>
        <v>351213215500</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cele@apambiente.pt; joana.veloso@apambiente.pt</v>
      </c>
    </row>
    <row r="120" spans="1:7" x14ac:dyDescent="0.3">
      <c r="A120" t="s">
        <v>1749</v>
      </c>
      <c r="B120" t="s">
        <v>1750</v>
      </c>
      <c r="C120">
        <v>2</v>
      </c>
      <c r="D120" t="s">
        <v>1447</v>
      </c>
      <c r="E120" t="s">
        <v>1756</v>
      </c>
      <c r="F120" t="s">
        <v>1741</v>
      </c>
      <c r="G120" t="str">
        <f>IF(ISBLANK('Q 2'!H8),"",IF('Q 2'!H8="&lt;please select&gt;","",'Q 2'!H8))</f>
        <v>info.draac@azores.gov.pt</v>
      </c>
    </row>
    <row r="121" spans="1:7" x14ac:dyDescent="0.3">
      <c r="A121" t="s">
        <v>1749</v>
      </c>
      <c r="B121" t="s">
        <v>1750</v>
      </c>
      <c r="C121">
        <v>3</v>
      </c>
      <c r="D121" t="s">
        <v>1447</v>
      </c>
      <c r="E121" t="s">
        <v>1756</v>
      </c>
      <c r="F121" t="s">
        <v>1741</v>
      </c>
      <c r="G121" t="str">
        <f>IF(ISBLANK('Q 2'!H9),"",IF('Q 2'!H9="&lt;please select&gt;","",'Q 2'!H9))</f>
        <v>draac@madeira.gov.pt</v>
      </c>
    </row>
    <row r="122" spans="1:7" x14ac:dyDescent="0.3">
      <c r="A122" t="s">
        <v>1749</v>
      </c>
      <c r="B122" t="s">
        <v>1750</v>
      </c>
      <c r="C122">
        <v>4</v>
      </c>
      <c r="D122" t="s">
        <v>1447</v>
      </c>
      <c r="E122" t="s">
        <v>1756</v>
      </c>
      <c r="F122" t="s">
        <v>1741</v>
      </c>
      <c r="G122" t="str">
        <f>IF(ISBLANK('Q 2'!H10),"",IF('Q 2'!H10="&lt;please select&gt;","",'Q 2'!H10))</f>
        <v>igamaot@igamaot.gov.pt</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http://www.apambiente.pt</v>
      </c>
    </row>
    <row r="142" spans="1:7" x14ac:dyDescent="0.3">
      <c r="A142" t="s">
        <v>1749</v>
      </c>
      <c r="B142" t="s">
        <v>1750</v>
      </c>
      <c r="C142">
        <v>2</v>
      </c>
      <c r="D142" t="s">
        <v>1447</v>
      </c>
      <c r="E142" t="s">
        <v>1757</v>
      </c>
      <c r="F142" t="s">
        <v>1741</v>
      </c>
      <c r="G142" t="str">
        <f>IF(ISBLANK('Q 2'!I8),"",IF('Q 2'!I8="&lt;please select&gt;","",'Q 2'!I8))</f>
        <v>https://portal.azores.gov.pt/web/draac</v>
      </c>
    </row>
    <row r="143" spans="1:7" x14ac:dyDescent="0.3">
      <c r="A143" t="s">
        <v>1749</v>
      </c>
      <c r="B143" t="s">
        <v>1750</v>
      </c>
      <c r="C143">
        <v>3</v>
      </c>
      <c r="D143" t="s">
        <v>1447</v>
      </c>
      <c r="E143" t="s">
        <v>1757</v>
      </c>
      <c r="F143" t="s">
        <v>1741</v>
      </c>
      <c r="G143" t="str">
        <f>IF(ISBLANK('Q 2'!I9),"",IF('Q 2'!I9="&lt;please select&gt;","",'Q 2'!I9))</f>
        <v>http://www.madeira.gov.pt/draac</v>
      </c>
    </row>
    <row r="144" spans="1:7" x14ac:dyDescent="0.3">
      <c r="A144" t="s">
        <v>1749</v>
      </c>
      <c r="B144" t="s">
        <v>1750</v>
      </c>
      <c r="C144">
        <v>4</v>
      </c>
      <c r="D144" t="s">
        <v>1447</v>
      </c>
      <c r="E144" t="s">
        <v>1757</v>
      </c>
      <c r="F144" t="s">
        <v>1741</v>
      </c>
      <c r="G144" t="str">
        <f>IF(ISBLANK('Q 2'!I10),"",IF('Q 2'!I10="&lt;please select&gt;","",'Q 2'!I10))</f>
        <v>http://www.igamaot.gov.pt</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Instituto Português de Acreditação, I.P.</v>
      </c>
    </row>
    <row r="165" spans="1:11" x14ac:dyDescent="0.3">
      <c r="A165" t="s">
        <v>1749</v>
      </c>
      <c r="B165" t="s">
        <v>1760</v>
      </c>
      <c r="C165">
        <v>1</v>
      </c>
      <c r="D165" t="s">
        <v>1447</v>
      </c>
      <c r="E165" t="s">
        <v>1762</v>
      </c>
      <c r="F165" t="s">
        <v>1741</v>
      </c>
      <c r="G165" t="str">
        <f>IF(ISBLANK('Q 2'!E39),"",IF('Q 2'!E39="&lt;please select&gt;","",'Q 2'!E39))</f>
        <v>IPAC I.P.</v>
      </c>
    </row>
    <row r="166" spans="1:11" x14ac:dyDescent="0.3">
      <c r="A166" t="s">
        <v>1749</v>
      </c>
      <c r="B166" t="s">
        <v>1760</v>
      </c>
      <c r="C166">
        <v>1</v>
      </c>
      <c r="D166" t="s">
        <v>1447</v>
      </c>
      <c r="E166" t="s">
        <v>1763</v>
      </c>
      <c r="F166" t="s">
        <v>1741</v>
      </c>
      <c r="G166" t="str">
        <f>IF(ISBLANK('Q 2'!F39),"",IF('Q 2'!F39="&lt;please select&gt;","",'Q 2'!F39))</f>
        <v>351212948201</v>
      </c>
    </row>
    <row r="167" spans="1:11" x14ac:dyDescent="0.3">
      <c r="A167" t="s">
        <v>1749</v>
      </c>
      <c r="B167" t="s">
        <v>1760</v>
      </c>
      <c r="C167">
        <v>1</v>
      </c>
      <c r="D167" t="s">
        <v>1447</v>
      </c>
      <c r="E167" t="s">
        <v>1764</v>
      </c>
      <c r="F167" t="s">
        <v>1741</v>
      </c>
      <c r="G167" t="str">
        <f>IF(ISBLANK('Q 2'!G39),"",IF('Q 2'!G39="&lt;please select&gt;","",'Q 2'!G39))</f>
        <v>acredita@ipac.pt</v>
      </c>
    </row>
    <row r="168" spans="1:11" x14ac:dyDescent="0.3">
      <c r="A168" t="s">
        <v>1749</v>
      </c>
      <c r="B168" t="s">
        <v>1760</v>
      </c>
      <c r="C168">
        <v>1</v>
      </c>
      <c r="D168" t="s">
        <v>1447</v>
      </c>
      <c r="E168" t="s">
        <v>1765</v>
      </c>
      <c r="F168" t="s">
        <v>1741</v>
      </c>
      <c r="G168" t="str">
        <f>IF(ISBLANK('Q 2'!H39),"",IF('Q 2'!H39="&lt;please select&gt;","",'Q 2'!H39))</f>
        <v>www.ipac.pt</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Portuguese Environment Agency, Public Institute</v>
      </c>
    </row>
    <row r="176" spans="1:11" x14ac:dyDescent="0.3">
      <c r="A176" t="s">
        <v>1749</v>
      </c>
      <c r="B176" t="s">
        <v>1773</v>
      </c>
      <c r="C176">
        <v>1</v>
      </c>
      <c r="D176" t="s">
        <v>1447</v>
      </c>
      <c r="E176" t="s">
        <v>1775</v>
      </c>
      <c r="F176" t="s">
        <v>1741</v>
      </c>
      <c r="G176" t="str">
        <f>IF(ISBLANK('Q 2'!E49),"",IF('Q 2'!E49="&lt;please select&gt;","",'Q 2'!E49))</f>
        <v>APA I.P.</v>
      </c>
    </row>
    <row r="177" spans="1:7" x14ac:dyDescent="0.3">
      <c r="A177" t="s">
        <v>1749</v>
      </c>
      <c r="B177" t="s">
        <v>1773</v>
      </c>
      <c r="C177">
        <v>1</v>
      </c>
      <c r="D177" t="s">
        <v>1447</v>
      </c>
      <c r="E177" t="s">
        <v>1776</v>
      </c>
      <c r="F177" t="s">
        <v>1741</v>
      </c>
      <c r="G177" t="str">
        <f>IF(ISBLANK('Q 2'!F49),"",IF('Q 2'!F49="&lt;please select&gt;","",'Q 2'!F49))</f>
        <v>351214728293</v>
      </c>
    </row>
    <row r="178" spans="1:7" x14ac:dyDescent="0.3">
      <c r="A178" t="s">
        <v>1749</v>
      </c>
      <c r="B178" t="s">
        <v>1773</v>
      </c>
      <c r="C178">
        <v>1</v>
      </c>
      <c r="D178" t="s">
        <v>1447</v>
      </c>
      <c r="E178" t="s">
        <v>1777</v>
      </c>
      <c r="F178" t="s">
        <v>1741</v>
      </c>
      <c r="G178" t="str">
        <f>IF(ISBLANK('Q 2'!G49),"",IF('Q 2'!G49="&lt;please select&gt;","",'Q 2'!G49))</f>
        <v>admin@rple.pt</v>
      </c>
    </row>
    <row r="179" spans="1:7" x14ac:dyDescent="0.3">
      <c r="A179" t="s">
        <v>1749</v>
      </c>
      <c r="B179" t="s">
        <v>1773</v>
      </c>
      <c r="C179">
        <v>1</v>
      </c>
      <c r="D179" t="s">
        <v>1447</v>
      </c>
      <c r="E179" t="s">
        <v>1778</v>
      </c>
      <c r="F179" t="s">
        <v>1741</v>
      </c>
      <c r="G179" t="str">
        <f>IF(ISBLANK('Q 2'!H49),"",IF('Q 2'!H49="&lt;please select&gt;","",'Q 2'!H49))</f>
        <v>https://ets-registry.webgate.ec.europa.eu/euregistry/PT/index.xhtml</v>
      </c>
    </row>
    <row r="180" spans="1:7" x14ac:dyDescent="0.3">
      <c r="A180" t="s">
        <v>1779</v>
      </c>
      <c r="B180" t="s">
        <v>1780</v>
      </c>
      <c r="C180">
        <v>1</v>
      </c>
      <c r="D180" t="s">
        <v>1447</v>
      </c>
      <c r="E180" t="s">
        <v>1781</v>
      </c>
      <c r="F180" t="s">
        <v>1741</v>
      </c>
      <c r="G180" t="str">
        <f>IF(ISBLANK('Q 2'!F54),"",IF('Q 2'!F54="&lt;please select&gt;","",'Q 2'!F54))</f>
        <v>APA, DRAAC-Az , DRAAC</v>
      </c>
    </row>
    <row r="181" spans="1:7" x14ac:dyDescent="0.3">
      <c r="A181" t="s">
        <v>1779</v>
      </c>
      <c r="B181" t="s">
        <v>1780</v>
      </c>
      <c r="C181">
        <v>2</v>
      </c>
      <c r="D181" t="s">
        <v>1447</v>
      </c>
      <c r="E181" t="s">
        <v>1781</v>
      </c>
      <c r="F181" t="s">
        <v>1741</v>
      </c>
      <c r="G181" t="str">
        <f>IF(ISBLANK('Q 2'!F55),"",IF('Q 2'!F55="&lt;please select&gt;","",'Q 2'!F55))</f>
        <v>APA, DRAAC-Az , DRAAC</v>
      </c>
    </row>
    <row r="182" spans="1:7" x14ac:dyDescent="0.3">
      <c r="A182" t="s">
        <v>1779</v>
      </c>
      <c r="B182" t="s">
        <v>1780</v>
      </c>
      <c r="C182">
        <v>3</v>
      </c>
      <c r="D182" t="s">
        <v>1447</v>
      </c>
      <c r="E182" t="s">
        <v>1781</v>
      </c>
      <c r="F182" t="s">
        <v>1741</v>
      </c>
      <c r="G182" t="str">
        <f>IF(ISBLANK('Q 2'!F56),"",IF('Q 2'!F56="&lt;please select&gt;","",'Q 2'!F56))</f>
        <v>APA</v>
      </c>
    </row>
    <row r="183" spans="1:7" x14ac:dyDescent="0.3">
      <c r="A183" t="s">
        <v>1779</v>
      </c>
      <c r="B183" t="s">
        <v>1780</v>
      </c>
      <c r="C183">
        <v>4</v>
      </c>
      <c r="D183" t="s">
        <v>1447</v>
      </c>
      <c r="E183" t="s">
        <v>1781</v>
      </c>
      <c r="F183" t="s">
        <v>1741</v>
      </c>
      <c r="G183" t="str">
        <f>IF(ISBLANK('Q 2'!F57),"",IF('Q 2'!F57="&lt;please select&gt;","",'Q 2'!F57))</f>
        <v>APA</v>
      </c>
    </row>
    <row r="184" spans="1:7" x14ac:dyDescent="0.3">
      <c r="A184" t="s">
        <v>1779</v>
      </c>
      <c r="B184" t="s">
        <v>1780</v>
      </c>
      <c r="C184">
        <v>6</v>
      </c>
      <c r="D184" t="s">
        <v>1447</v>
      </c>
      <c r="E184" t="s">
        <v>1781</v>
      </c>
      <c r="F184" t="s">
        <v>1741</v>
      </c>
      <c r="G184" t="str">
        <f>IF(ISBLANK('Q 2'!F59),"",IF('Q 2'!F59="&lt;please select&gt;","",'Q 2'!F59))</f>
        <v>APA</v>
      </c>
    </row>
    <row r="185" spans="1:7" x14ac:dyDescent="0.3">
      <c r="A185" t="s">
        <v>1779</v>
      </c>
      <c r="B185" t="s">
        <v>1780</v>
      </c>
      <c r="C185">
        <v>7</v>
      </c>
      <c r="D185" t="s">
        <v>1447</v>
      </c>
      <c r="E185" t="s">
        <v>1781</v>
      </c>
      <c r="F185" t="s">
        <v>1741</v>
      </c>
      <c r="G185" t="str">
        <f>IF(ISBLANK('Q 2'!F60),"",IF('Q 2'!F60="&lt;please select&gt;","",'Q 2'!F60))</f>
        <v>APA</v>
      </c>
    </row>
    <row r="186" spans="1:7" x14ac:dyDescent="0.3">
      <c r="A186" t="s">
        <v>1779</v>
      </c>
      <c r="B186" t="s">
        <v>1780</v>
      </c>
      <c r="C186">
        <v>8</v>
      </c>
      <c r="D186" t="s">
        <v>1447</v>
      </c>
      <c r="E186" t="s">
        <v>1781</v>
      </c>
      <c r="F186" t="s">
        <v>1741</v>
      </c>
      <c r="G186" t="str">
        <f>IF(ISBLANK('Q 2'!F61),"",IF('Q 2'!F61="&lt;please select&gt;","",'Q 2'!F61))</f>
        <v>APA,DRAAC-Az , DRAAC</v>
      </c>
    </row>
    <row r="187" spans="1:7" x14ac:dyDescent="0.3">
      <c r="A187" t="s">
        <v>1779</v>
      </c>
      <c r="B187" t="s">
        <v>1780</v>
      </c>
      <c r="C187">
        <v>9</v>
      </c>
      <c r="D187" t="s">
        <v>1447</v>
      </c>
      <c r="E187" t="s">
        <v>1781</v>
      </c>
      <c r="F187" t="s">
        <v>1741</v>
      </c>
      <c r="G187" t="str">
        <f>IF(ISBLANK('Q 2'!F62),"",IF('Q 2'!F62="&lt;please select&gt;","",'Q 2'!F62))</f>
        <v>APA, DRAAC-Az , DRAAC</v>
      </c>
    </row>
    <row r="188" spans="1:7" x14ac:dyDescent="0.3">
      <c r="A188" t="s">
        <v>1779</v>
      </c>
      <c r="B188" t="s">
        <v>1780</v>
      </c>
      <c r="C188">
        <v>10</v>
      </c>
      <c r="D188" t="s">
        <v>1447</v>
      </c>
      <c r="E188" t="s">
        <v>1781</v>
      </c>
      <c r="F188" t="s">
        <v>1741</v>
      </c>
      <c r="G188" t="str">
        <f>IF(ISBLANK('Q 2'!F63),"",IF('Q 2'!F63="&lt;please select&gt;","",'Q 2'!F63))</f>
        <v>APA, DRAAC-Az , DRAAC</v>
      </c>
    </row>
    <row r="189" spans="1:7" x14ac:dyDescent="0.3">
      <c r="A189" t="s">
        <v>1779</v>
      </c>
      <c r="B189" t="s">
        <v>1780</v>
      </c>
      <c r="C189">
        <v>11</v>
      </c>
      <c r="D189" t="s">
        <v>1447</v>
      </c>
      <c r="E189" t="s">
        <v>1781</v>
      </c>
      <c r="F189" t="s">
        <v>1741</v>
      </c>
      <c r="G189" t="str">
        <f>IF(ISBLANK('Q 2'!F64),"",IF('Q 2'!F64="&lt;please select&gt;","",'Q 2'!F64))</f>
        <v>IGAMAOT</v>
      </c>
    </row>
    <row r="190" spans="1:7" x14ac:dyDescent="0.3">
      <c r="A190" t="s">
        <v>1779</v>
      </c>
      <c r="B190" t="s">
        <v>1780</v>
      </c>
      <c r="C190">
        <v>12</v>
      </c>
      <c r="D190" t="s">
        <v>1447</v>
      </c>
      <c r="E190" t="s">
        <v>1781</v>
      </c>
      <c r="F190" t="s">
        <v>1741</v>
      </c>
      <c r="G190" t="str">
        <f>IF(ISBLANK('Q 2'!F65),"",IF('Q 2'!F65="&lt;please select&gt;","",'Q 2'!F65))</f>
        <v>APA</v>
      </c>
    </row>
    <row r="191" spans="1:7" x14ac:dyDescent="0.3">
      <c r="A191" t="s">
        <v>1779</v>
      </c>
      <c r="B191" t="s">
        <v>1780</v>
      </c>
      <c r="C191">
        <v>13</v>
      </c>
      <c r="D191" t="s">
        <v>1447</v>
      </c>
      <c r="E191" t="s">
        <v>1781</v>
      </c>
      <c r="F191" t="s">
        <v>1741</v>
      </c>
      <c r="G191" t="str">
        <f>IF(ISBLANK('Q 2'!F66),"",IF('Q 2'!F66="&lt;please select&gt;","",'Q 2'!F66))</f>
        <v xml:space="preserve">APA, DRAAC-Az </v>
      </c>
    </row>
    <row r="192" spans="1:7" x14ac:dyDescent="0.3">
      <c r="A192" t="s">
        <v>1779</v>
      </c>
      <c r="B192" t="s">
        <v>1780</v>
      </c>
      <c r="C192">
        <v>14</v>
      </c>
      <c r="D192" t="s">
        <v>1419</v>
      </c>
      <c r="E192" t="s">
        <v>1781</v>
      </c>
      <c r="F192" t="s">
        <v>1741</v>
      </c>
      <c r="G192" t="str">
        <f>IF(ISBLANK('Q 2'!F67),"",IF('Q 2'!F67="&lt;please select&gt;","",'Q 2'!F67))</f>
        <v>APA</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APA</v>
      </c>
    </row>
    <row r="197" spans="1:7" x14ac:dyDescent="0.3">
      <c r="A197" t="s">
        <v>1779</v>
      </c>
      <c r="B197" t="s">
        <v>1780</v>
      </c>
      <c r="C197">
        <v>6</v>
      </c>
      <c r="D197" t="s">
        <v>1447</v>
      </c>
      <c r="E197" t="s">
        <v>1782</v>
      </c>
      <c r="F197" t="s">
        <v>1741</v>
      </c>
      <c r="G197" t="str">
        <f>IF(ISBLANK('Q 2'!H59),"",IF('Q 2'!H59="&lt;please select&gt;","",'Q 2'!H59))</f>
        <v>APA</v>
      </c>
    </row>
    <row r="198" spans="1:7" x14ac:dyDescent="0.3">
      <c r="A198" t="s">
        <v>1779</v>
      </c>
      <c r="B198" t="s">
        <v>1780</v>
      </c>
      <c r="C198">
        <v>7</v>
      </c>
      <c r="D198" t="s">
        <v>1447</v>
      </c>
      <c r="E198" t="s">
        <v>1782</v>
      </c>
      <c r="F198" t="s">
        <v>1741</v>
      </c>
      <c r="G198" t="str">
        <f>IF(ISBLANK('Q 2'!H60),"",IF('Q 2'!H60="&lt;please select&gt;","",'Q 2'!H60))</f>
        <v>APA</v>
      </c>
    </row>
    <row r="199" spans="1:7" x14ac:dyDescent="0.3">
      <c r="A199" t="s">
        <v>1779</v>
      </c>
      <c r="B199" t="s">
        <v>1780</v>
      </c>
      <c r="C199">
        <v>8</v>
      </c>
      <c r="D199" t="s">
        <v>1447</v>
      </c>
      <c r="E199" t="s">
        <v>1782</v>
      </c>
      <c r="F199" t="s">
        <v>1741</v>
      </c>
      <c r="G199" t="str">
        <f>IF(ISBLANK('Q 2'!H61),"",IF('Q 2'!H61="&lt;please select&gt;","",'Q 2'!H61))</f>
        <v>APA</v>
      </c>
    </row>
    <row r="200" spans="1:7" x14ac:dyDescent="0.3">
      <c r="A200" t="s">
        <v>1779</v>
      </c>
      <c r="B200" t="s">
        <v>1780</v>
      </c>
      <c r="C200">
        <v>9</v>
      </c>
      <c r="D200" t="s">
        <v>1447</v>
      </c>
      <c r="E200" t="s">
        <v>1782</v>
      </c>
      <c r="F200" t="s">
        <v>1741</v>
      </c>
      <c r="G200" t="str">
        <f>IF(ISBLANK('Q 2'!H62),"",IF('Q 2'!H62="&lt;please select&gt;","",'Q 2'!H62))</f>
        <v>APA</v>
      </c>
    </row>
    <row r="201" spans="1:7" x14ac:dyDescent="0.3">
      <c r="A201" t="s">
        <v>1779</v>
      </c>
      <c r="B201" t="s">
        <v>1780</v>
      </c>
      <c r="C201">
        <v>10</v>
      </c>
      <c r="D201" t="s">
        <v>1447</v>
      </c>
      <c r="E201" t="s">
        <v>1782</v>
      </c>
      <c r="F201" t="s">
        <v>1741</v>
      </c>
      <c r="G201" t="str">
        <f>IF(ISBLANK('Q 2'!H63),"",IF('Q 2'!H63="&lt;please select&gt;","",'Q 2'!H63))</f>
        <v>APA</v>
      </c>
    </row>
    <row r="202" spans="1:7" x14ac:dyDescent="0.3">
      <c r="A202" t="s">
        <v>1779</v>
      </c>
      <c r="B202" t="s">
        <v>1780</v>
      </c>
      <c r="C202">
        <v>11</v>
      </c>
      <c r="D202" t="s">
        <v>1447</v>
      </c>
      <c r="E202" t="s">
        <v>1782</v>
      </c>
      <c r="F202" t="s">
        <v>1741</v>
      </c>
      <c r="G202" t="str">
        <f>IF(ISBLANK('Q 2'!H64),"",IF('Q 2'!H64="&lt;please select&gt;","",'Q 2'!H64))</f>
        <v>IGAMAOT</v>
      </c>
    </row>
    <row r="203" spans="1:7" x14ac:dyDescent="0.3">
      <c r="A203" t="s">
        <v>1779</v>
      </c>
      <c r="B203" t="s">
        <v>1780</v>
      </c>
      <c r="C203">
        <v>14</v>
      </c>
      <c r="D203" t="s">
        <v>1419</v>
      </c>
      <c r="E203" t="s">
        <v>1782</v>
      </c>
      <c r="F203" t="s">
        <v>1741</v>
      </c>
      <c r="G203" t="str">
        <f>IF(ISBLANK('Q 2'!H67),"",IF('Q 2'!H67="&lt;please select&gt;","",'Q 2'!H67))</f>
        <v>APA</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Information to the public</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Portuguese Environment Agency, Public Institut</v>
      </c>
    </row>
    <row r="212" spans="1:11" x14ac:dyDescent="0.3">
      <c r="A212" t="s">
        <v>1784</v>
      </c>
      <c r="B212" t="s">
        <v>1785</v>
      </c>
      <c r="C212">
        <v>0</v>
      </c>
      <c r="D212" t="s">
        <v>1447</v>
      </c>
      <c r="E212" t="s">
        <v>1787</v>
      </c>
      <c r="F212" t="s">
        <v>1741</v>
      </c>
      <c r="G212" t="str">
        <f>IF(ISBLANK('Q 2'!$G$82),"",IF('Q 2'!$G$82="&lt;please select&gt;","",'Q 2'!$G$82))</f>
        <v>APA I.P.</v>
      </c>
    </row>
    <row r="213" spans="1:11" x14ac:dyDescent="0.3">
      <c r="A213" t="s">
        <v>1784</v>
      </c>
      <c r="B213" t="s">
        <v>1788</v>
      </c>
      <c r="C213">
        <v>1</v>
      </c>
      <c r="D213" t="s">
        <v>1447</v>
      </c>
      <c r="E213" t="s">
        <v>1789</v>
      </c>
      <c r="F213" t="s">
        <v>1759</v>
      </c>
      <c r="K213" t="str">
        <f>IF(ISBLANK('Q 2'!G86),"",IF('Q 2'!G86="&lt;please select&gt;","",'Q 2'!G86))</f>
        <v>No</v>
      </c>
    </row>
    <row r="214" spans="1:11" x14ac:dyDescent="0.3">
      <c r="A214" t="s">
        <v>1784</v>
      </c>
      <c r="B214" t="s">
        <v>1788</v>
      </c>
      <c r="C214">
        <v>2</v>
      </c>
      <c r="D214" t="s">
        <v>1447</v>
      </c>
      <c r="E214" t="s">
        <v>1789</v>
      </c>
      <c r="F214" t="s">
        <v>1759</v>
      </c>
      <c r="K214" t="str">
        <f>IF(ISBLANK('Q 2'!G87),"",IF('Q 2'!G87="&lt;please select&gt;","",'Q 2'!G87))</f>
        <v>Yes</v>
      </c>
    </row>
    <row r="215" spans="1:11" x14ac:dyDescent="0.3">
      <c r="A215" t="s">
        <v>1784</v>
      </c>
      <c r="B215" t="s">
        <v>1788</v>
      </c>
      <c r="C215">
        <v>3</v>
      </c>
      <c r="D215" t="s">
        <v>1447</v>
      </c>
      <c r="E215" t="s">
        <v>1789</v>
      </c>
      <c r="F215" t="s">
        <v>1759</v>
      </c>
      <c r="K215" t="str">
        <f>IF(ISBLANK('Q 2'!G88),"",IF('Q 2'!G88="&lt;please select&gt;","",'Q 2'!G88))</f>
        <v>No</v>
      </c>
    </row>
    <row r="216" spans="1:11" x14ac:dyDescent="0.3">
      <c r="A216" t="s">
        <v>1784</v>
      </c>
      <c r="B216" t="s">
        <v>1788</v>
      </c>
      <c r="C216">
        <v>4</v>
      </c>
      <c r="D216" t="s">
        <v>1447</v>
      </c>
      <c r="E216" t="s">
        <v>1789</v>
      </c>
      <c r="F216" t="s">
        <v>1759</v>
      </c>
      <c r="K216" t="str">
        <f>IF(ISBLANK('Q 2'!G89),"",IF('Q 2'!G89="&lt;please select&gt;","",'Q 2'!G89))</f>
        <v>Yes</v>
      </c>
    </row>
    <row r="217" spans="1:11" x14ac:dyDescent="0.3">
      <c r="A217" t="s">
        <v>1784</v>
      </c>
      <c r="B217" t="s">
        <v>1788</v>
      </c>
      <c r="C217">
        <v>5</v>
      </c>
      <c r="D217" t="s">
        <v>1447</v>
      </c>
      <c r="E217" t="s">
        <v>1789</v>
      </c>
      <c r="F217" t="s">
        <v>1759</v>
      </c>
      <c r="K217" t="str">
        <f>IF(ISBLANK('Q 2'!G90),"",IF('Q 2'!G90="&lt;please select&gt;","",'Q 2'!G90))</f>
        <v>Yes</v>
      </c>
    </row>
    <row r="218" spans="1:11" x14ac:dyDescent="0.3">
      <c r="A218" t="s">
        <v>1784</v>
      </c>
      <c r="B218" t="s">
        <v>1788</v>
      </c>
      <c r="C218">
        <v>6</v>
      </c>
      <c r="D218" t="s">
        <v>1447</v>
      </c>
      <c r="E218" t="s">
        <v>1789</v>
      </c>
      <c r="F218" t="s">
        <v>1759</v>
      </c>
      <c r="K218" t="str">
        <f>IF(ISBLANK('Q 2'!G91),"",IF('Q 2'!G91="&lt;please select&gt;","",'Q 2'!G91))</f>
        <v>Yes</v>
      </c>
    </row>
    <row r="219" spans="1:11" x14ac:dyDescent="0.3">
      <c r="A219" t="s">
        <v>1784</v>
      </c>
      <c r="B219" t="s">
        <v>1788</v>
      </c>
      <c r="C219">
        <v>7</v>
      </c>
      <c r="D219" t="s">
        <v>1419</v>
      </c>
      <c r="E219" t="s">
        <v>1783</v>
      </c>
      <c r="F219" t="s">
        <v>1741</v>
      </c>
      <c r="G219" t="str">
        <f>IF(ISBLANK('Q 2'!F92),"",IF('Q 2'!F92="&lt;please select&gt;","",'Q 2'!F92))</f>
        <v>Yes</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When necessary there are meetings with the regional authorities to clarify new rules and procedures.</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xml:space="preserve">When necessary </v>
      </c>
    </row>
    <row r="228" spans="1:11" x14ac:dyDescent="0.3">
      <c r="A228" t="s">
        <v>1784</v>
      </c>
      <c r="B228" t="s">
        <v>1788</v>
      </c>
      <c r="C228">
        <v>6</v>
      </c>
      <c r="D228" t="s">
        <v>1447</v>
      </c>
      <c r="E228" t="s">
        <v>1790</v>
      </c>
      <c r="F228" t="s">
        <v>1791</v>
      </c>
      <c r="J228" t="str">
        <f>IF(ISBLANK('Q 2'!H91),"",IF('Q 2'!H91="&lt;please select&gt;","",'Q 2'!H91))</f>
        <v>The CA carries out internal coordination and has harmonized internal procedures with respect to permiting, monitoring rules aplication, review of the diferent reports</v>
      </c>
    </row>
    <row r="229" spans="1:11" x14ac:dyDescent="0.3">
      <c r="A229" t="s">
        <v>1784</v>
      </c>
      <c r="B229" t="s">
        <v>1788</v>
      </c>
      <c r="C229">
        <v>7</v>
      </c>
      <c r="D229" t="s">
        <v>1419</v>
      </c>
      <c r="E229" t="s">
        <v>1790</v>
      </c>
      <c r="F229" t="s">
        <v>1791</v>
      </c>
      <c r="J229" t="str">
        <f>IF(ISBLANK('Q 2'!H92),"",IF('Q 2'!H92="&lt;please select&gt;","",'Q 2'!H92))</f>
        <v>In relation to the ETS permit procedure the CA also carries out coordination activities with the CA responsable for the permit under the integrated pollution prevention and control Directive.</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Yes</v>
      </c>
    </row>
    <row r="234" spans="1:11" x14ac:dyDescent="0.3">
      <c r="A234" t="s">
        <v>1792</v>
      </c>
      <c r="B234" t="s">
        <v>1793</v>
      </c>
      <c r="C234">
        <v>2</v>
      </c>
      <c r="D234" t="s">
        <v>1447</v>
      </c>
      <c r="E234" t="s">
        <v>1794</v>
      </c>
      <c r="F234" t="s">
        <v>1759</v>
      </c>
      <c r="K234" t="str">
        <f>IF(ISBLANK('Q 2'!G101),"",IF('Q 2'!G101="&lt;please select&gt;","",'Q 2'!G101))</f>
        <v>Yes</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No</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IPAC has established a Technical Comittee (CTaC) with regular meetings, with the presence of all accredited verifiers and the Competent Authority.
Where there are relevant issues for EU ETS verifiers they are discussed in these meetings.</v>
      </c>
    </row>
    <row r="241" spans="1:11" x14ac:dyDescent="0.3">
      <c r="A241" t="s">
        <v>1792</v>
      </c>
      <c r="B241" t="s">
        <v>1793</v>
      </c>
      <c r="C241">
        <v>2</v>
      </c>
      <c r="D241" t="s">
        <v>1447</v>
      </c>
      <c r="E241" t="s">
        <v>1795</v>
      </c>
      <c r="F241" t="s">
        <v>1791</v>
      </c>
      <c r="J241" t="str">
        <f>IF(ISBLANK('Q 2'!H101),"",IF('Q 2'!H101="&lt;please select&gt;","",'Q 2'!H101))</f>
        <v>IPAC has established a Technical Comittee (CTaC) with regular meetings, with the presence of all accredited verifiers and the Competent Authority.
Where there are relevant issues for EU ETS verifiers they are discussed in these meetings.</v>
      </c>
    </row>
    <row r="242" spans="1:11" x14ac:dyDescent="0.3">
      <c r="A242" t="s">
        <v>1792</v>
      </c>
      <c r="B242" t="s">
        <v>1793</v>
      </c>
      <c r="C242">
        <v>3</v>
      </c>
      <c r="D242" t="s">
        <v>1447</v>
      </c>
      <c r="E242" t="s">
        <v>1795</v>
      </c>
      <c r="F242" t="s">
        <v>1791</v>
      </c>
      <c r="J242" t="str">
        <f>IF(ISBLANK('Q 2'!H102),"",IF('Q 2'!H102="&lt;please select&gt;","",'Q 2'!H102))</f>
        <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142</v>
      </c>
    </row>
    <row r="248" spans="1:11" x14ac:dyDescent="0.3">
      <c r="A248" t="s">
        <v>1796</v>
      </c>
      <c r="B248" t="s">
        <v>1797</v>
      </c>
      <c r="C248">
        <v>2</v>
      </c>
      <c r="D248" t="s">
        <v>1447</v>
      </c>
      <c r="E248" t="s">
        <v>1798</v>
      </c>
      <c r="F248" t="s">
        <v>1748</v>
      </c>
      <c r="H248" s="165" t="str">
        <f>IF(ISBLANK('Q 3'!G8),"",IF('Q 3'!G8="&lt;please select&gt;","",'Q 3'!G8))</f>
        <v>100</v>
      </c>
    </row>
    <row r="249" spans="1:11" x14ac:dyDescent="0.3">
      <c r="A249" t="s">
        <v>1796</v>
      </c>
      <c r="B249" t="s">
        <v>1797</v>
      </c>
      <c r="C249">
        <v>3</v>
      </c>
      <c r="D249" t="s">
        <v>1447</v>
      </c>
      <c r="E249" t="s">
        <v>1798</v>
      </c>
      <c r="F249" t="s">
        <v>1748</v>
      </c>
      <c r="H249" s="165" t="str">
        <f>IF(ISBLANK('Q 3'!G9),"",IF('Q 3'!G9="&lt;please select&gt;","",'Q 3'!G9))</f>
        <v>30</v>
      </c>
    </row>
    <row r="250" spans="1:11" x14ac:dyDescent="0.3">
      <c r="A250" t="s">
        <v>1796</v>
      </c>
      <c r="B250" t="s">
        <v>1797</v>
      </c>
      <c r="C250">
        <v>4</v>
      </c>
      <c r="D250" t="s">
        <v>1447</v>
      </c>
      <c r="E250" t="s">
        <v>1798</v>
      </c>
      <c r="F250" t="s">
        <v>1748</v>
      </c>
      <c r="H250" s="165" t="str">
        <f>IF(ISBLANK('Q 3'!G10),"",IF('Q 3'!G10="&lt;please select&gt;","",'Q 3'!G10))</f>
        <v>12</v>
      </c>
    </row>
    <row r="251" spans="1:11" x14ac:dyDescent="0.3">
      <c r="A251" t="s">
        <v>1796</v>
      </c>
      <c r="B251" t="s">
        <v>1797</v>
      </c>
      <c r="C251">
        <v>5</v>
      </c>
      <c r="D251" t="s">
        <v>1447</v>
      </c>
      <c r="E251" t="s">
        <v>1798</v>
      </c>
      <c r="F251" t="s">
        <v>1748</v>
      </c>
      <c r="H251" s="165" t="str">
        <f>IF(ISBLANK('Q 3'!G11),"",IF('Q 3'!G11="&lt;please select&gt;","",'Q 3'!G11))</f>
        <v>73</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No</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No</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Yes</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Yes</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Yes</v>
      </c>
    </row>
    <row r="281" spans="1:11" x14ac:dyDescent="0.3">
      <c r="A281" t="s">
        <v>1801</v>
      </c>
      <c r="B281" t="s">
        <v>1803</v>
      </c>
      <c r="C281">
        <v>1</v>
      </c>
      <c r="D281" t="s">
        <v>1447</v>
      </c>
      <c r="E281" t="s">
        <v>1804</v>
      </c>
      <c r="F281" t="s">
        <v>1737</v>
      </c>
      <c r="K281" t="str">
        <f>IF(ISBLANK('Q 3'!C51),"",IF('Q 3'!C51="&lt;please select&gt;","",'Q 3'!C51))</f>
        <v>Article 27</v>
      </c>
    </row>
    <row r="282" spans="1:11" x14ac:dyDescent="0.3">
      <c r="A282" t="s">
        <v>1801</v>
      </c>
      <c r="B282" t="s">
        <v>1803</v>
      </c>
      <c r="C282">
        <v>2</v>
      </c>
      <c r="D282" t="s">
        <v>1447</v>
      </c>
      <c r="E282" t="s">
        <v>1804</v>
      </c>
      <c r="F282" t="s">
        <v>1737</v>
      </c>
      <c r="K282" t="str">
        <f>IF(ISBLANK('Q 3'!C52),"",IF('Q 3'!C52="&lt;please select&gt;","",'Q 3'!C52))</f>
        <v>Article 27a (1)</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96399</v>
      </c>
    </row>
    <row r="285" spans="1:11" x14ac:dyDescent="0.3">
      <c r="A285" t="s">
        <v>1801</v>
      </c>
      <c r="B285" t="s">
        <v>1803</v>
      </c>
      <c r="C285">
        <v>2</v>
      </c>
      <c r="D285" t="s">
        <v>1447</v>
      </c>
      <c r="E285" t="s">
        <v>1805</v>
      </c>
      <c r="F285" t="s">
        <v>1806</v>
      </c>
      <c r="I285" s="165" t="str">
        <f>IF(ISBLANK('Q 3'!F52),"",IF('Q 3'!F52="&lt;please select&gt;","",'Q 3'!F52))</f>
        <v>1839</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0</v>
      </c>
    </row>
    <row r="288" spans="1:11" x14ac:dyDescent="0.3">
      <c r="A288" t="s">
        <v>1801</v>
      </c>
      <c r="B288" t="s">
        <v>1803</v>
      </c>
      <c r="C288">
        <v>2</v>
      </c>
      <c r="D288" t="s">
        <v>1447</v>
      </c>
      <c r="E288" t="s">
        <v>1807</v>
      </c>
      <c r="F288" t="s">
        <v>1748</v>
      </c>
      <c r="H288" s="165" t="str">
        <f>IF(ISBLANK('Q 3'!H52),"",IF('Q 3'!H52="&lt;please select&gt;","",'Q 3'!H52))</f>
        <v>0</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1</v>
      </c>
    </row>
    <row r="291" spans="1:11" x14ac:dyDescent="0.3">
      <c r="A291" t="s">
        <v>1801</v>
      </c>
      <c r="B291" t="s">
        <v>1808</v>
      </c>
      <c r="C291">
        <v>0</v>
      </c>
      <c r="D291" t="s">
        <v>1447</v>
      </c>
      <c r="E291" t="s">
        <v>1810</v>
      </c>
      <c r="F291" t="s">
        <v>1748</v>
      </c>
      <c r="H291" s="165" t="str">
        <f>IF(ISBLANK('Q 3'!$F$59),"",IF('Q 3'!$F$59="&lt;please select&gt;","",'Q 3'!$F$59))</f>
        <v>0</v>
      </c>
    </row>
    <row r="292" spans="1:11" x14ac:dyDescent="0.3">
      <c r="A292" t="s">
        <v>1811</v>
      </c>
      <c r="B292" t="s">
        <v>1812</v>
      </c>
      <c r="C292">
        <v>1</v>
      </c>
      <c r="D292" t="s">
        <v>1447</v>
      </c>
      <c r="E292" t="s">
        <v>1813</v>
      </c>
      <c r="F292" t="s">
        <v>1748</v>
      </c>
      <c r="H292" s="165" t="str">
        <f>IF(ISBLANK('Q 3'!G64),"",IF('Q 3'!G64="&lt;please select&gt;","",'Q 3'!G64))</f>
        <v>3</v>
      </c>
    </row>
    <row r="293" spans="1:11" x14ac:dyDescent="0.3">
      <c r="A293" t="s">
        <v>1811</v>
      </c>
      <c r="B293" t="s">
        <v>1812</v>
      </c>
      <c r="C293">
        <v>2</v>
      </c>
      <c r="D293" t="s">
        <v>1447</v>
      </c>
      <c r="E293" t="s">
        <v>1813</v>
      </c>
      <c r="F293" t="s">
        <v>1748</v>
      </c>
      <c r="H293" s="165" t="str">
        <f>IF(ISBLANK('Q 3'!G65),"",IF('Q 3'!G65="&lt;please select&gt;","",'Q 3'!G65))</f>
        <v>0</v>
      </c>
    </row>
    <row r="294" spans="1:11" x14ac:dyDescent="0.3">
      <c r="A294" t="s">
        <v>1811</v>
      </c>
      <c r="B294" t="s">
        <v>1812</v>
      </c>
      <c r="C294">
        <v>3</v>
      </c>
      <c r="D294" t="s">
        <v>1447</v>
      </c>
      <c r="E294" t="s">
        <v>1813</v>
      </c>
      <c r="F294" t="s">
        <v>1748</v>
      </c>
      <c r="H294" s="165" t="str">
        <f>IF(ISBLANK('Q 3'!G66),"",IF('Q 3'!G66="&lt;please select&gt;","",'Q 3'!G66))</f>
        <v>3</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1</v>
      </c>
    </row>
    <row r="297" spans="1:11" x14ac:dyDescent="0.3">
      <c r="A297" t="s">
        <v>1811</v>
      </c>
      <c r="B297" t="s">
        <v>1812</v>
      </c>
      <c r="C297">
        <v>3</v>
      </c>
      <c r="D297" t="s">
        <v>1447</v>
      </c>
      <c r="E297" t="s">
        <v>1814</v>
      </c>
      <c r="F297" t="s">
        <v>1748</v>
      </c>
      <c r="H297" s="165" t="str">
        <f>IF(ISBLANK('Q 3'!H66),"",IF('Q 3'!H66="&lt;please select&gt;","",'Q 3'!H66))</f>
        <v>1</v>
      </c>
    </row>
    <row r="298" spans="1:11" x14ac:dyDescent="0.3">
      <c r="A298" t="s">
        <v>1811</v>
      </c>
      <c r="B298" t="s">
        <v>1812</v>
      </c>
      <c r="C298">
        <v>1</v>
      </c>
      <c r="D298" t="s">
        <v>1447</v>
      </c>
      <c r="E298" t="s">
        <v>1815</v>
      </c>
      <c r="F298" t="s">
        <v>1748</v>
      </c>
      <c r="H298" s="165" t="str">
        <f>IF(ISBLANK('Q 3'!I64),"",IF('Q 3'!I64="&lt;please select&gt;","",'Q 3'!I64))</f>
        <v>3</v>
      </c>
    </row>
    <row r="299" spans="1:11" x14ac:dyDescent="0.3">
      <c r="A299" t="s">
        <v>1811</v>
      </c>
      <c r="B299" t="s">
        <v>1812</v>
      </c>
      <c r="C299">
        <v>2</v>
      </c>
      <c r="D299" t="s">
        <v>1447</v>
      </c>
      <c r="E299" t="s">
        <v>1815</v>
      </c>
      <c r="F299" t="s">
        <v>1748</v>
      </c>
      <c r="H299" s="165" t="str">
        <f>IF(ISBLANK('Q 3'!I65),"",IF('Q 3'!I65="&lt;please select&gt;","",'Q 3'!I65))</f>
        <v>1</v>
      </c>
    </row>
    <row r="300" spans="1:11" x14ac:dyDescent="0.3">
      <c r="A300" t="s">
        <v>1811</v>
      </c>
      <c r="B300" t="s">
        <v>1812</v>
      </c>
      <c r="C300">
        <v>3</v>
      </c>
      <c r="D300" t="s">
        <v>1447</v>
      </c>
      <c r="E300" t="s">
        <v>1815</v>
      </c>
      <c r="F300" t="s">
        <v>1748</v>
      </c>
      <c r="H300" s="165" t="str">
        <f>IF(ISBLANK('Q 3'!I66),"",IF('Q 3'!I66="&lt;please select&gt;","",'Q 3'!I66))</f>
        <v>4</v>
      </c>
    </row>
    <row r="301" spans="1:11" x14ac:dyDescent="0.3">
      <c r="A301" t="s">
        <v>1816</v>
      </c>
      <c r="B301" t="s">
        <v>1817</v>
      </c>
      <c r="C301">
        <v>1</v>
      </c>
      <c r="D301" t="s">
        <v>1447</v>
      </c>
      <c r="E301" t="s">
        <v>1818</v>
      </c>
      <c r="F301" t="s">
        <v>1737</v>
      </c>
      <c r="K301" t="str">
        <f>IF(ISBLANK('Q 4'!$G8),"",IF('Q 4'!$G8="&lt;please select&gt;","",'Q 4'!$G8))</f>
        <v>Yes</v>
      </c>
    </row>
    <row r="302" spans="1:11" x14ac:dyDescent="0.3">
      <c r="A302" t="s">
        <v>1816</v>
      </c>
      <c r="B302" t="s">
        <v>1817</v>
      </c>
      <c r="C302">
        <v>2</v>
      </c>
      <c r="D302" t="s">
        <v>1447</v>
      </c>
      <c r="E302" t="s">
        <v>1818</v>
      </c>
      <c r="F302" t="s">
        <v>1737</v>
      </c>
      <c r="K302" t="str">
        <f>IF(ISBLANK('Q 4'!$G9),"",IF('Q 4'!$G9="&lt;please select&gt;","",'Q 4'!$G9))</f>
        <v/>
      </c>
    </row>
    <row r="303" spans="1:11" x14ac:dyDescent="0.3">
      <c r="A303" t="s">
        <v>1816</v>
      </c>
      <c r="B303" t="s">
        <v>1817</v>
      </c>
      <c r="C303">
        <v>3</v>
      </c>
      <c r="D303" t="s">
        <v>1447</v>
      </c>
      <c r="E303" t="s">
        <v>1818</v>
      </c>
      <c r="F303" t="s">
        <v>1737</v>
      </c>
      <c r="K303" t="str">
        <f>IF(ISBLANK('Q 4'!$G10),"",IF('Q 4'!$G10="&lt;please select&gt;","",'Q 4'!$G10))</f>
        <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
      </c>
    </row>
    <row r="308" spans="1:11" x14ac:dyDescent="0.3">
      <c r="A308" t="s">
        <v>1816</v>
      </c>
      <c r="B308" t="s">
        <v>1817</v>
      </c>
      <c r="C308">
        <v>8</v>
      </c>
      <c r="D308" t="s">
        <v>1447</v>
      </c>
      <c r="E308" t="s">
        <v>1818</v>
      </c>
      <c r="F308" t="s">
        <v>1737</v>
      </c>
      <c r="K308" t="str">
        <f>IF(ISBLANK('Q 4'!$G15),"",IF('Q 4'!$G15="&lt;please select&gt;","",'Q 4'!$G15))</f>
        <v>No</v>
      </c>
    </row>
    <row r="309" spans="1:11" x14ac:dyDescent="0.3">
      <c r="A309" t="s">
        <v>1816</v>
      </c>
      <c r="B309" t="s">
        <v>1817</v>
      </c>
      <c r="C309">
        <v>1</v>
      </c>
      <c r="D309" t="s">
        <v>1447</v>
      </c>
      <c r="E309" t="s">
        <v>1819</v>
      </c>
      <c r="F309" t="s">
        <v>1791</v>
      </c>
      <c r="J309" t="str">
        <f>IF(ISBLANK('Q 4'!H8),"",IF('Q 4'!H8="&lt;please select&gt;","",'Q 4'!H8))</f>
        <v>The EU ETS permit is an annex of the IED permit. However, the issuing of these documents is performed by different departments, both within APA.</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The approval of monitoring plans and assessment of emissions reports are carried by the Climate Change department. Information on the emission data reported under the ETS, after being aproved and reviewed by the ETS team is aldo shared with the colleagues responsable for the Pollutant Release and Transfer Register (PRTR).</v>
      </c>
    </row>
    <row r="313" spans="1:11" x14ac:dyDescent="0.3">
      <c r="A313" t="s">
        <v>1816</v>
      </c>
      <c r="B313" t="s">
        <v>1817</v>
      </c>
      <c r="C313">
        <v>5</v>
      </c>
      <c r="D313" t="s">
        <v>1447</v>
      </c>
      <c r="E313" t="s">
        <v>1819</v>
      </c>
      <c r="F313" t="s">
        <v>1791</v>
      </c>
      <c r="J313" t="str">
        <f>IF(ISBLANK('Q 4'!H12),"",IF('Q 4'!H12="&lt;please select&gt;","",'Q 4'!H12))</f>
        <v>The inspection of the EU ETS activities is carried by a different entity: General Inspection of Agriculture, Sea, Environment and Territorial Planning (IGAMAOT).</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Under the national law the permit is withdrawn (Under article 9 (1) (2) of Decree-Law 12/2020, 06 April) when: the installation ceased operation, the industrial permit expired or was revoked, the installation went out of scope of the EU ETS or when the request for a permit under EID Directive was rejected, or the permit expired or was revoked.</v>
      </c>
    </row>
    <row r="318" spans="1:11" x14ac:dyDescent="0.3">
      <c r="A318" t="s">
        <v>1820</v>
      </c>
      <c r="B318" t="s">
        <v>1821</v>
      </c>
      <c r="C318">
        <v>2</v>
      </c>
      <c r="D318" t="s">
        <v>1447</v>
      </c>
      <c r="E318" t="s">
        <v>1822</v>
      </c>
      <c r="F318" t="s">
        <v>1741</v>
      </c>
      <c r="G318" t="str">
        <f>IF(ISBLANK('Q 4'!G20),"",IF('Q 4'!G20="&lt;please select&gt;","",'Q 4'!G20))</f>
        <v>No</v>
      </c>
    </row>
    <row r="319" spans="1:11" x14ac:dyDescent="0.3">
      <c r="A319" t="s">
        <v>1820</v>
      </c>
      <c r="B319" t="s">
        <v>1821</v>
      </c>
      <c r="C319">
        <v>3</v>
      </c>
      <c r="D319" t="s">
        <v>1447</v>
      </c>
      <c r="E319" t="s">
        <v>1822</v>
      </c>
      <c r="F319" t="s">
        <v>1741</v>
      </c>
      <c r="G319" t="str">
        <f>IF(ISBLANK('Q 4'!G21),"",IF('Q 4'!G21="&lt;please select&gt;","",'Q 4'!G21))</f>
        <v>The permit is updated when the increase of capacity is associated with significant modifications of the monitoring plan according to the Commission Implementing Regulation (EU) 2018/2066 of 19 December 2018, amended and corrected by Commission Implementing Regulation (EU) 2020/2085 of 14 December 2020. For example the introduction of new source streams or emission sources.</v>
      </c>
    </row>
    <row r="320" spans="1:11" x14ac:dyDescent="0.3">
      <c r="A320" t="s">
        <v>1820</v>
      </c>
      <c r="B320" t="s">
        <v>1821</v>
      </c>
      <c r="C320">
        <v>4</v>
      </c>
      <c r="D320" t="s">
        <v>1447</v>
      </c>
      <c r="E320" t="s">
        <v>1822</v>
      </c>
      <c r="F320" t="s">
        <v>1741</v>
      </c>
      <c r="G320" t="str">
        <f>IF(ISBLANK('Q 4'!G22),"",IF('Q 4'!G22="&lt;please select&gt;","",'Q 4'!G22))</f>
        <v>The permit is updated when the decrease of capacity is associated with significant modifications of the monitoring plan according to the Commission Implementing Regulation (EU) 2018/2066 of 19 December 2018, amended and corrected by Commission Implementing Regulation (EU) 2020/2085 of 14 December 2020. For example the removal of emission sources.</v>
      </c>
    </row>
    <row r="321" spans="1:11" x14ac:dyDescent="0.3">
      <c r="A321" t="s">
        <v>1820</v>
      </c>
      <c r="B321" t="s">
        <v>1821</v>
      </c>
      <c r="C321">
        <v>5</v>
      </c>
      <c r="D321" t="s">
        <v>1447</v>
      </c>
      <c r="E321" t="s">
        <v>1822</v>
      </c>
      <c r="F321" t="s">
        <v>1741</v>
      </c>
      <c r="G321" t="str">
        <f>IF(ISBLANK('Q 4'!G23),"",IF('Q 4'!G23="&lt;please select&gt;","",'Q 4'!G23))</f>
        <v>The permit is updated when there are significant modifications of the monitoring plan according to the Commission Implementing Regulation (EU) 2018/2066 of 19 December 2018, amended and corrected by Commission Implementing Regulation (EU) 2020/2085 of 14 December 2020.</v>
      </c>
    </row>
    <row r="322" spans="1:11" x14ac:dyDescent="0.3">
      <c r="A322" t="s">
        <v>1820</v>
      </c>
      <c r="B322" t="s">
        <v>1821</v>
      </c>
      <c r="C322">
        <v>6</v>
      </c>
      <c r="D322" t="s">
        <v>1447</v>
      </c>
      <c r="E322" t="s">
        <v>1822</v>
      </c>
      <c r="F322" t="s">
        <v>1741</v>
      </c>
      <c r="G322" t="str">
        <f>IF(ISBLANK('Q 4'!G24),"",IF('Q 4'!G24="&lt;please select&gt;","",'Q 4'!G24))</f>
        <v>Yes. Changes of the Tax number leads to permit update.</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18</v>
      </c>
    </row>
    <row r="327" spans="1:11" x14ac:dyDescent="0.3">
      <c r="A327" t="s">
        <v>1824</v>
      </c>
      <c r="B327" t="s">
        <v>1825</v>
      </c>
      <c r="C327">
        <v>0</v>
      </c>
      <c r="D327" t="s">
        <v>1447</v>
      </c>
      <c r="E327" t="s">
        <v>1825</v>
      </c>
      <c r="F327" t="s">
        <v>1759</v>
      </c>
      <c r="K327" t="str">
        <f>IF(ISBLANK('Q 5'!$I$6),"",IF('Q 5'!$I$6="&lt;please select&gt;","",'Q 5'!$I$6))</f>
        <v>No</v>
      </c>
    </row>
    <row r="328" spans="1:11" x14ac:dyDescent="0.3">
      <c r="A328" t="s">
        <v>1824</v>
      </c>
      <c r="B328" t="s">
        <v>1826</v>
      </c>
      <c r="C328">
        <v>0</v>
      </c>
      <c r="D328" t="s">
        <v>1447</v>
      </c>
      <c r="E328" t="s">
        <v>1826</v>
      </c>
      <c r="F328" t="s">
        <v>1741</v>
      </c>
      <c r="G328" t="str">
        <f>IF(ISBLANK('Q 5'!$C$8),"",IF('Q 5'!$C$8="&lt;please select&gt;","",'Q 5'!$C$8))</f>
        <v/>
      </c>
    </row>
    <row r="329" spans="1:11" x14ac:dyDescent="0.3">
      <c r="A329" t="s">
        <v>1824</v>
      </c>
      <c r="B329" t="s">
        <v>1827</v>
      </c>
      <c r="C329">
        <v>0</v>
      </c>
      <c r="D329" t="s">
        <v>1447</v>
      </c>
      <c r="E329" t="s">
        <v>1827</v>
      </c>
      <c r="F329" t="s">
        <v>1759</v>
      </c>
      <c r="K329" t="str">
        <f>IF(ISBLANK('Q 5'!$I$10),"",IF('Q 5'!$I$10="&lt;please select&gt;","",'Q 5'!$I$10))</f>
        <v>No</v>
      </c>
    </row>
    <row r="330" spans="1:11" x14ac:dyDescent="0.3">
      <c r="A330" t="s">
        <v>1824</v>
      </c>
      <c r="B330" t="s">
        <v>1828</v>
      </c>
      <c r="C330">
        <v>0</v>
      </c>
      <c r="D330" t="s">
        <v>1447</v>
      </c>
      <c r="E330" t="s">
        <v>1828</v>
      </c>
      <c r="F330" t="s">
        <v>1741</v>
      </c>
      <c r="G330" t="str">
        <f>IF(ISBLANK('Q 5'!$C$12),"",IF('Q 5'!$C$12="&lt;please select&gt;","",'Q 5'!$C$12))</f>
        <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Yes</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Yes</v>
      </c>
    </row>
    <row r="336" spans="1:11" x14ac:dyDescent="0.3">
      <c r="A336" t="s">
        <v>1829</v>
      </c>
      <c r="B336" t="s">
        <v>1830</v>
      </c>
      <c r="C336">
        <v>6</v>
      </c>
      <c r="D336" t="s">
        <v>1447</v>
      </c>
      <c r="E336" t="s">
        <v>1831</v>
      </c>
      <c r="F336" t="s">
        <v>1759</v>
      </c>
      <c r="K336" t="str">
        <f>IF(ISBLANK('Q 5'!G21),"",IF('Q 5'!G21="&lt;please select&gt;","",'Q 5'!G21))</f>
        <v>Yes</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xml:space="preserve">Information reported is shared between the diferent regimes and there is good colaboration between the diferent teams (all belongin to APA)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
      </c>
    </row>
    <row r="363" spans="1:11" x14ac:dyDescent="0.3">
      <c r="A363" t="s">
        <v>1840</v>
      </c>
      <c r="B363" t="s">
        <v>1841</v>
      </c>
      <c r="C363">
        <v>0</v>
      </c>
      <c r="D363" t="s">
        <v>1447</v>
      </c>
      <c r="E363" t="s">
        <v>1841</v>
      </c>
      <c r="F363" t="s">
        <v>1759</v>
      </c>
      <c r="K363" t="str">
        <f>IF(ISBLANK('Q 5'!$I$45),"",IF('Q 5'!$I$45="&lt;please select&gt;","",'Q 5'!$I$45))</f>
        <v>Yes</v>
      </c>
    </row>
    <row r="364" spans="1:11" x14ac:dyDescent="0.3">
      <c r="A364" t="s">
        <v>1840</v>
      </c>
      <c r="B364" t="s">
        <v>1842</v>
      </c>
      <c r="C364">
        <v>0</v>
      </c>
      <c r="D364" t="s">
        <v>1447</v>
      </c>
      <c r="E364" t="s">
        <v>1842</v>
      </c>
      <c r="F364" t="s">
        <v>1741</v>
      </c>
      <c r="G364" t="str">
        <f>IF(ISBLANK('Q 5'!$C$47),"",IF('Q 5'!$C$47="&lt;please select&gt;","",'Q 5'!$C$47))</f>
        <v>A few years ago it was created an IT platform that allows the submission of all the reports from stationary installation and aircraft operators through this system.</v>
      </c>
    </row>
    <row r="365" spans="1:11" x14ac:dyDescent="0.3">
      <c r="A365" t="s">
        <v>1843</v>
      </c>
      <c r="B365" t="s">
        <v>1844</v>
      </c>
      <c r="C365">
        <v>1</v>
      </c>
      <c r="D365" t="s">
        <v>1447</v>
      </c>
      <c r="E365" t="s">
        <v>1845</v>
      </c>
      <c r="F365" t="s">
        <v>1806</v>
      </c>
      <c r="I365" t="str">
        <f>IF(ISBLANK('Q 5'!F53),"",IF('Q 5'!F53="&lt;please select&gt;","",'Q 5'!F53))</f>
        <v>8014.89</v>
      </c>
    </row>
    <row r="366" spans="1:11" x14ac:dyDescent="0.3">
      <c r="A366" t="s">
        <v>1843</v>
      </c>
      <c r="B366" t="s">
        <v>1844</v>
      </c>
      <c r="C366">
        <v>2</v>
      </c>
      <c r="D366" t="s">
        <v>1447</v>
      </c>
      <c r="E366" t="s">
        <v>1845</v>
      </c>
      <c r="F366" t="s">
        <v>1806</v>
      </c>
      <c r="I366" t="str">
        <f>IF(ISBLANK('Q 5'!F54),"",IF('Q 5'!F54="&lt;please select&gt;","",'Q 5'!F54))</f>
        <v>0</v>
      </c>
    </row>
    <row r="367" spans="1:11" x14ac:dyDescent="0.3">
      <c r="A367" t="s">
        <v>1843</v>
      </c>
      <c r="B367" t="s">
        <v>1844</v>
      </c>
      <c r="C367">
        <v>3</v>
      </c>
      <c r="D367" t="s">
        <v>1447</v>
      </c>
      <c r="E367" t="s">
        <v>1845</v>
      </c>
      <c r="F367" t="s">
        <v>1806</v>
      </c>
      <c r="I367" t="str">
        <f>IF(ISBLANK('Q 5'!F55),"",IF('Q 5'!F55="&lt;please select&gt;","",'Q 5'!F55))</f>
        <v>0</v>
      </c>
    </row>
    <row r="368" spans="1:11" x14ac:dyDescent="0.3">
      <c r="A368" t="s">
        <v>1843</v>
      </c>
      <c r="B368" t="s">
        <v>1844</v>
      </c>
      <c r="C368">
        <v>4</v>
      </c>
      <c r="D368" t="s">
        <v>1447</v>
      </c>
      <c r="E368" t="s">
        <v>1845</v>
      </c>
      <c r="F368" t="s">
        <v>1806</v>
      </c>
      <c r="I368" t="str">
        <f>IF(ISBLANK('Q 5'!F56),"",IF('Q 5'!F56="&lt;please select&gt;","",'Q 5'!F56))</f>
        <v>0</v>
      </c>
    </row>
    <row r="369" spans="1:9" x14ac:dyDescent="0.3">
      <c r="A369" t="s">
        <v>1843</v>
      </c>
      <c r="B369" t="s">
        <v>1844</v>
      </c>
      <c r="C369">
        <v>5</v>
      </c>
      <c r="D369" t="s">
        <v>1447</v>
      </c>
      <c r="E369" t="s">
        <v>1845</v>
      </c>
      <c r="F369" t="s">
        <v>1806</v>
      </c>
      <c r="I369" t="str">
        <f>IF(ISBLANK('Q 5'!F57),"",IF('Q 5'!F57="&lt;please select&gt;","",'Q 5'!F57))</f>
        <v>138850.94</v>
      </c>
    </row>
    <row r="370" spans="1:9" x14ac:dyDescent="0.3">
      <c r="A370" t="s">
        <v>1843</v>
      </c>
      <c r="B370" t="s">
        <v>1844</v>
      </c>
      <c r="C370">
        <v>6</v>
      </c>
      <c r="D370" t="s">
        <v>1447</v>
      </c>
      <c r="E370" t="s">
        <v>1845</v>
      </c>
      <c r="F370" t="s">
        <v>1806</v>
      </c>
      <c r="I370" t="str">
        <f>IF(ISBLANK('Q 5'!F58),"",IF('Q 5'!F58="&lt;please select&gt;","",'Q 5'!F58))</f>
        <v>0</v>
      </c>
    </row>
    <row r="371" spans="1:9" x14ac:dyDescent="0.3">
      <c r="A371" t="s">
        <v>1843</v>
      </c>
      <c r="B371" t="s">
        <v>1844</v>
      </c>
      <c r="C371">
        <v>7</v>
      </c>
      <c r="D371" t="s">
        <v>1447</v>
      </c>
      <c r="E371" t="s">
        <v>1845</v>
      </c>
      <c r="F371" t="s">
        <v>1806</v>
      </c>
      <c r="I371" t="str">
        <f>IF(ISBLANK('Q 5'!F59),"",IF('Q 5'!F59="&lt;please select&gt;","",'Q 5'!F59))</f>
        <v>0</v>
      </c>
    </row>
    <row r="372" spans="1:9" x14ac:dyDescent="0.3">
      <c r="A372" t="s">
        <v>1843</v>
      </c>
      <c r="B372" t="s">
        <v>1844</v>
      </c>
      <c r="C372">
        <v>8</v>
      </c>
      <c r="D372" t="s">
        <v>1447</v>
      </c>
      <c r="E372" t="s">
        <v>1845</v>
      </c>
      <c r="F372" t="s">
        <v>1806</v>
      </c>
      <c r="I372" t="str">
        <f>IF(ISBLANK('Q 5'!F60),"",IF('Q 5'!F60="&lt;please select&gt;","",'Q 5'!F60))</f>
        <v>29071.28</v>
      </c>
    </row>
    <row r="373" spans="1:9" x14ac:dyDescent="0.3">
      <c r="A373" t="s">
        <v>1843</v>
      </c>
      <c r="B373" t="s">
        <v>1844</v>
      </c>
      <c r="C373">
        <v>9</v>
      </c>
      <c r="D373" t="s">
        <v>1447</v>
      </c>
      <c r="E373" t="s">
        <v>1845</v>
      </c>
      <c r="F373" t="s">
        <v>1806</v>
      </c>
      <c r="I373" t="str">
        <f>IF(ISBLANK('Q 5'!F61),"",IF('Q 5'!F61="&lt;please select&gt;","",'Q 5'!F61))</f>
        <v>10880.57</v>
      </c>
    </row>
    <row r="374" spans="1:9" x14ac:dyDescent="0.3">
      <c r="A374" t="s">
        <v>1843</v>
      </c>
      <c r="B374" t="s">
        <v>1844</v>
      </c>
      <c r="C374">
        <v>10</v>
      </c>
      <c r="D374" t="s">
        <v>1447</v>
      </c>
      <c r="E374" t="s">
        <v>1845</v>
      </c>
      <c r="F374" t="s">
        <v>1806</v>
      </c>
      <c r="I374" t="str">
        <f>IF(ISBLANK('Q 5'!F62),"",IF('Q 5'!F62="&lt;please select&gt;","",'Q 5'!F62))</f>
        <v>268.08</v>
      </c>
    </row>
    <row r="375" spans="1:9" x14ac:dyDescent="0.3">
      <c r="A375" t="s">
        <v>1843</v>
      </c>
      <c r="B375" t="s">
        <v>1844</v>
      </c>
      <c r="C375">
        <v>11</v>
      </c>
      <c r="D375" t="s">
        <v>1447</v>
      </c>
      <c r="E375" t="s">
        <v>1845</v>
      </c>
      <c r="F375" t="s">
        <v>1806</v>
      </c>
      <c r="I375" t="str">
        <f>IF(ISBLANK('Q 5'!F63),"",IF('Q 5'!F63="&lt;please select&gt;","",'Q 5'!F63))</f>
        <v>10238.02</v>
      </c>
    </row>
    <row r="376" spans="1:9" x14ac:dyDescent="0.3">
      <c r="A376" t="s">
        <v>1843</v>
      </c>
      <c r="B376" t="s">
        <v>1844</v>
      </c>
      <c r="C376">
        <v>12</v>
      </c>
      <c r="D376" t="s">
        <v>1447</v>
      </c>
      <c r="E376" t="s">
        <v>1845</v>
      </c>
      <c r="F376" t="s">
        <v>1806</v>
      </c>
      <c r="I376" t="str">
        <f>IF(ISBLANK('Q 5'!F64),"",IF('Q 5'!F64="&lt;please select&gt;","",'Q 5'!F64))</f>
        <v>5726.89000000001</v>
      </c>
    </row>
    <row r="377" spans="1:9" x14ac:dyDescent="0.3">
      <c r="A377" t="s">
        <v>1843</v>
      </c>
      <c r="B377" t="s">
        <v>1844</v>
      </c>
      <c r="C377">
        <v>1</v>
      </c>
      <c r="D377" t="s">
        <v>1447</v>
      </c>
      <c r="E377" t="s">
        <v>1848</v>
      </c>
      <c r="F377" t="s">
        <v>1806</v>
      </c>
      <c r="I377" t="str">
        <f>IF(ISBLANK('Q 5'!H53),"",IF('Q 5'!H53="&lt;please select&gt;","",'Q 5'!H53))</f>
        <v>731666.7</v>
      </c>
    </row>
    <row r="378" spans="1:9" x14ac:dyDescent="0.3">
      <c r="A378" t="s">
        <v>1843</v>
      </c>
      <c r="B378" t="s">
        <v>1844</v>
      </c>
      <c r="C378">
        <v>2</v>
      </c>
      <c r="D378" t="s">
        <v>1447</v>
      </c>
      <c r="E378" t="s">
        <v>1848</v>
      </c>
      <c r="F378" t="s">
        <v>1806</v>
      </c>
      <c r="I378" t="str">
        <f>IF(ISBLANK('Q 5'!H54),"",IF('Q 5'!H54="&lt;please select&gt;","",'Q 5'!H54))</f>
        <v>0</v>
      </c>
    </row>
    <row r="379" spans="1:9" x14ac:dyDescent="0.3">
      <c r="A379" t="s">
        <v>1843</v>
      </c>
      <c r="B379" t="s">
        <v>1844</v>
      </c>
      <c r="C379">
        <v>3</v>
      </c>
      <c r="D379" t="s">
        <v>1447</v>
      </c>
      <c r="E379" t="s">
        <v>1848</v>
      </c>
      <c r="F379" t="s">
        <v>1806</v>
      </c>
      <c r="I379" t="str">
        <f>IF(ISBLANK('Q 5'!H55),"",IF('Q 5'!H55="&lt;please select&gt;","",'Q 5'!H55))</f>
        <v>0</v>
      </c>
    </row>
    <row r="380" spans="1:9" x14ac:dyDescent="0.3">
      <c r="A380" t="s">
        <v>1843</v>
      </c>
      <c r="B380" t="s">
        <v>1844</v>
      </c>
      <c r="C380">
        <v>4</v>
      </c>
      <c r="D380" t="s">
        <v>1447</v>
      </c>
      <c r="E380" t="s">
        <v>1848</v>
      </c>
      <c r="F380" t="s">
        <v>1806</v>
      </c>
      <c r="I380" t="str">
        <f>IF(ISBLANK('Q 5'!H56),"",IF('Q 5'!H56="&lt;please select&gt;","",'Q 5'!H56))</f>
        <v>0</v>
      </c>
    </row>
    <row r="381" spans="1:9" x14ac:dyDescent="0.3">
      <c r="A381" t="s">
        <v>1843</v>
      </c>
      <c r="B381" t="s">
        <v>1844</v>
      </c>
      <c r="C381">
        <v>5</v>
      </c>
      <c r="D381" t="s">
        <v>1447</v>
      </c>
      <c r="E381" t="s">
        <v>1848</v>
      </c>
      <c r="F381" t="s">
        <v>1806</v>
      </c>
      <c r="I381" t="str">
        <f>IF(ISBLANK('Q 5'!H57),"",IF('Q 5'!H57="&lt;please select&gt;","",'Q 5'!H57))</f>
        <v>7734752.7</v>
      </c>
    </row>
    <row r="382" spans="1:9" x14ac:dyDescent="0.3">
      <c r="A382" t="s">
        <v>1843</v>
      </c>
      <c r="B382" t="s">
        <v>1844</v>
      </c>
      <c r="C382">
        <v>6</v>
      </c>
      <c r="D382" t="s">
        <v>1447</v>
      </c>
      <c r="E382" t="s">
        <v>1848</v>
      </c>
      <c r="F382" t="s">
        <v>1806</v>
      </c>
      <c r="I382" t="str">
        <f>IF(ISBLANK('Q 5'!H58),"",IF('Q 5'!H58="&lt;please select&gt;","",'Q 5'!H58))</f>
        <v>0</v>
      </c>
    </row>
    <row r="383" spans="1:9" x14ac:dyDescent="0.3">
      <c r="A383" t="s">
        <v>1843</v>
      </c>
      <c r="B383" t="s">
        <v>1844</v>
      </c>
      <c r="C383">
        <v>7</v>
      </c>
      <c r="D383" t="s">
        <v>1447</v>
      </c>
      <c r="E383" t="s">
        <v>1848</v>
      </c>
      <c r="F383" t="s">
        <v>1806</v>
      </c>
      <c r="I383" t="str">
        <f>IF(ISBLANK('Q 5'!H59),"",IF('Q 5'!H59="&lt;please select&gt;","",'Q 5'!H59))</f>
        <v>0</v>
      </c>
    </row>
    <row r="384" spans="1:9" x14ac:dyDescent="0.3">
      <c r="A384" t="s">
        <v>1843</v>
      </c>
      <c r="B384" t="s">
        <v>1844</v>
      </c>
      <c r="C384">
        <v>8</v>
      </c>
      <c r="D384" t="s">
        <v>1447</v>
      </c>
      <c r="E384" t="s">
        <v>1848</v>
      </c>
      <c r="F384" t="s">
        <v>1806</v>
      </c>
      <c r="I384" t="str">
        <f>IF(ISBLANK('Q 5'!H60),"",IF('Q 5'!H60="&lt;please select&gt;","",'Q 5'!H60))</f>
        <v>1502511.5</v>
      </c>
    </row>
    <row r="385" spans="1:11" x14ac:dyDescent="0.3">
      <c r="A385" t="s">
        <v>1843</v>
      </c>
      <c r="B385" t="s">
        <v>1844</v>
      </c>
      <c r="C385">
        <v>9</v>
      </c>
      <c r="D385" t="s">
        <v>1447</v>
      </c>
      <c r="E385" t="s">
        <v>1848</v>
      </c>
      <c r="F385" t="s">
        <v>1806</v>
      </c>
      <c r="I385" t="str">
        <f>IF(ISBLANK('Q 5'!H61),"",IF('Q 5'!H61="&lt;please select&gt;","",'Q 5'!H61))</f>
        <v>859467.7</v>
      </c>
    </row>
    <row r="386" spans="1:11" x14ac:dyDescent="0.3">
      <c r="A386" t="s">
        <v>1843</v>
      </c>
      <c r="B386" t="s">
        <v>1844</v>
      </c>
      <c r="C386">
        <v>10</v>
      </c>
      <c r="D386" t="s">
        <v>1447</v>
      </c>
      <c r="E386" t="s">
        <v>1848</v>
      </c>
      <c r="F386" t="s">
        <v>1806</v>
      </c>
      <c r="I386" t="str">
        <f>IF(ISBLANK('Q 5'!H62),"",IF('Q 5'!H62="&lt;please select&gt;","",'Q 5'!H62))</f>
        <v>15339.1</v>
      </c>
    </row>
    <row r="387" spans="1:11" x14ac:dyDescent="0.3">
      <c r="A387" t="s">
        <v>1843</v>
      </c>
      <c r="B387" t="s">
        <v>1844</v>
      </c>
      <c r="C387">
        <v>11</v>
      </c>
      <c r="D387" t="s">
        <v>1447</v>
      </c>
      <c r="E387" t="s">
        <v>1848</v>
      </c>
      <c r="F387" t="s">
        <v>1806</v>
      </c>
      <c r="I387" t="str">
        <f>IF(ISBLANK('Q 5'!H63),"",IF('Q 5'!H63="&lt;please select&gt;","",'Q 5'!H63))</f>
        <v>967943.3</v>
      </c>
    </row>
    <row r="388" spans="1:11" x14ac:dyDescent="0.3">
      <c r="A388" t="s">
        <v>1843</v>
      </c>
      <c r="B388" t="s">
        <v>1844</v>
      </c>
      <c r="C388">
        <v>12</v>
      </c>
      <c r="D388" t="s">
        <v>1447</v>
      </c>
      <c r="E388" t="s">
        <v>1848</v>
      </c>
      <c r="F388" t="s">
        <v>1806</v>
      </c>
      <c r="I388" t="str">
        <f>IF(ISBLANK('Q 5'!H64),"",IF('Q 5'!H64="&lt;please select&gt;","",'Q 5'!H64))</f>
        <v>496872.1</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1A1a - Energy - Public Electricity and Heat Production</v>
      </c>
    </row>
    <row r="391" spans="1:11" x14ac:dyDescent="0.3">
      <c r="A391" t="s">
        <v>1846</v>
      </c>
      <c r="B391" t="s">
        <v>1849</v>
      </c>
      <c r="C391">
        <v>3</v>
      </c>
      <c r="D391" t="s">
        <v>1447</v>
      </c>
      <c r="E391" t="s">
        <v>1850</v>
      </c>
      <c r="F391" t="s">
        <v>1737</v>
      </c>
      <c r="K391" t="str">
        <f>IF(ISBLANK('Q 5'!C71),"",IF('Q 5'!C71="&lt;please select&gt;","",'Q 5'!C71))</f>
        <v>1A1b - Energy - Petroleum Refining</v>
      </c>
    </row>
    <row r="392" spans="1:11" x14ac:dyDescent="0.3">
      <c r="A392" t="s">
        <v>1846</v>
      </c>
      <c r="B392" t="s">
        <v>1849</v>
      </c>
      <c r="C392">
        <v>4</v>
      </c>
      <c r="D392" t="s">
        <v>1447</v>
      </c>
      <c r="E392" t="s">
        <v>1850</v>
      </c>
      <c r="F392" t="s">
        <v>1737</v>
      </c>
      <c r="K392" t="str">
        <f>IF(ISBLANK('Q 5'!C72),"",IF('Q 5'!C72="&lt;please select&gt;","",'Q 5'!C72))</f>
        <v>1A2a - Energy - Iron and Steel</v>
      </c>
    </row>
    <row r="393" spans="1:11" x14ac:dyDescent="0.3">
      <c r="A393" t="s">
        <v>1846</v>
      </c>
      <c r="B393" t="s">
        <v>1849</v>
      </c>
      <c r="C393">
        <v>5</v>
      </c>
      <c r="D393" t="s">
        <v>1447</v>
      </c>
      <c r="E393" t="s">
        <v>1850</v>
      </c>
      <c r="F393" t="s">
        <v>1737</v>
      </c>
      <c r="K393" t="str">
        <f>IF(ISBLANK('Q 5'!C73),"",IF('Q 5'!C73="&lt;please select&gt;","",'Q 5'!C73))</f>
        <v>1A2c - Energy - Chemicals</v>
      </c>
    </row>
    <row r="394" spans="1:11" x14ac:dyDescent="0.3">
      <c r="A394" t="s">
        <v>1846</v>
      </c>
      <c r="B394" t="s">
        <v>1849</v>
      </c>
      <c r="C394">
        <v>6</v>
      </c>
      <c r="D394" t="s">
        <v>1447</v>
      </c>
      <c r="E394" t="s">
        <v>1850</v>
      </c>
      <c r="F394" t="s">
        <v>1737</v>
      </c>
      <c r="K394" t="str">
        <f>IF(ISBLANK('Q 5'!C74),"",IF('Q 5'!C74="&lt;please select&gt;","",'Q 5'!C74))</f>
        <v>1A2c - Energy - Chemicals</v>
      </c>
    </row>
    <row r="395" spans="1:11" x14ac:dyDescent="0.3">
      <c r="A395" t="s">
        <v>1846</v>
      </c>
      <c r="B395" t="s">
        <v>1849</v>
      </c>
      <c r="C395">
        <v>7</v>
      </c>
      <c r="D395" t="s">
        <v>1447</v>
      </c>
      <c r="E395" t="s">
        <v>1850</v>
      </c>
      <c r="F395" t="s">
        <v>1737</v>
      </c>
      <c r="K395" t="str">
        <f>IF(ISBLANK('Q 5'!C75),"",IF('Q 5'!C75="&lt;please select&gt;","",'Q 5'!C75))</f>
        <v>1A2c - Energy - Chemicals</v>
      </c>
    </row>
    <row r="396" spans="1:11" x14ac:dyDescent="0.3">
      <c r="A396" t="s">
        <v>1846</v>
      </c>
      <c r="B396" t="s">
        <v>1849</v>
      </c>
      <c r="C396">
        <v>8</v>
      </c>
      <c r="D396" t="s">
        <v>1447</v>
      </c>
      <c r="E396" t="s">
        <v>1850</v>
      </c>
      <c r="F396" t="s">
        <v>1737</v>
      </c>
      <c r="K396" t="str">
        <f>IF(ISBLANK('Q 5'!C76),"",IF('Q 5'!C76="&lt;please select&gt;","",'Q 5'!C76))</f>
        <v>1A2c - Energy - Chemicals</v>
      </c>
    </row>
    <row r="397" spans="1:11" x14ac:dyDescent="0.3">
      <c r="A397" t="s">
        <v>1846</v>
      </c>
      <c r="B397" t="s">
        <v>1849</v>
      </c>
      <c r="C397">
        <v>9</v>
      </c>
      <c r="D397" t="s">
        <v>1447</v>
      </c>
      <c r="E397" t="s">
        <v>1850</v>
      </c>
      <c r="F397" t="s">
        <v>1737</v>
      </c>
      <c r="K397" t="str">
        <f>IF(ISBLANK('Q 5'!C77),"",IF('Q 5'!C77="&lt;please select&gt;","",'Q 5'!C77))</f>
        <v>1A2d - Energy - Pulp, Paper and Print</v>
      </c>
    </row>
    <row r="398" spans="1:11" x14ac:dyDescent="0.3">
      <c r="A398" t="s">
        <v>1846</v>
      </c>
      <c r="B398" t="s">
        <v>1849</v>
      </c>
      <c r="C398">
        <v>10</v>
      </c>
      <c r="D398" t="s">
        <v>1447</v>
      </c>
      <c r="E398" t="s">
        <v>1850</v>
      </c>
      <c r="F398" t="s">
        <v>1737</v>
      </c>
      <c r="K398" t="str">
        <f>IF(ISBLANK('Q 5'!C78),"",IF('Q 5'!C78="&lt;please select&gt;","",'Q 5'!C78))</f>
        <v>1A2d - Energy - Pulp, Paper and Print</v>
      </c>
    </row>
    <row r="399" spans="1:11" x14ac:dyDescent="0.3">
      <c r="A399" t="s">
        <v>1846</v>
      </c>
      <c r="B399" t="s">
        <v>1849</v>
      </c>
      <c r="C399">
        <v>11</v>
      </c>
      <c r="D399" t="s">
        <v>1447</v>
      </c>
      <c r="E399" t="s">
        <v>1850</v>
      </c>
      <c r="F399" t="s">
        <v>1737</v>
      </c>
      <c r="K399" t="str">
        <f>IF(ISBLANK('Q 5'!C79),"",IF('Q 5'!C79="&lt;please select&gt;","",'Q 5'!C79))</f>
        <v>1A2e - Energy - Food Processing, Beverages and Tobacco</v>
      </c>
    </row>
    <row r="400" spans="1:11" x14ac:dyDescent="0.3">
      <c r="A400" t="s">
        <v>1846</v>
      </c>
      <c r="B400" t="s">
        <v>1849</v>
      </c>
      <c r="C400">
        <v>12</v>
      </c>
      <c r="D400" t="s">
        <v>1447</v>
      </c>
      <c r="E400" t="s">
        <v>1850</v>
      </c>
      <c r="F400" t="s">
        <v>1737</v>
      </c>
      <c r="K400" t="str">
        <f>IF(ISBLANK('Q 5'!C80),"",IF('Q 5'!C80="&lt;please select&gt;","",'Q 5'!C80))</f>
        <v>1A2f - Energy - Non-metallic minerals</v>
      </c>
    </row>
    <row r="401" spans="1:11" x14ac:dyDescent="0.3">
      <c r="A401" t="s">
        <v>1846</v>
      </c>
      <c r="B401" t="s">
        <v>1849</v>
      </c>
      <c r="C401">
        <v>13</v>
      </c>
      <c r="D401" t="s">
        <v>1447</v>
      </c>
      <c r="E401" t="s">
        <v>1850</v>
      </c>
      <c r="F401" t="s">
        <v>1737</v>
      </c>
      <c r="K401" t="str">
        <f>IF(ISBLANK('Q 5'!C81),"",IF('Q 5'!C81="&lt;please select&gt;","",'Q 5'!C81))</f>
        <v>1A2f - Energy - Non-metallic minerals</v>
      </c>
    </row>
    <row r="402" spans="1:11" x14ac:dyDescent="0.3">
      <c r="A402" t="s">
        <v>1846</v>
      </c>
      <c r="B402" t="s">
        <v>1849</v>
      </c>
      <c r="C402">
        <v>14</v>
      </c>
      <c r="D402" t="s">
        <v>1447</v>
      </c>
      <c r="E402" t="s">
        <v>1850</v>
      </c>
      <c r="F402" t="s">
        <v>1737</v>
      </c>
      <c r="K402" t="str">
        <f>IF(ISBLANK('Q 5'!C82),"",IF('Q 5'!C82="&lt;please select&gt;","",'Q 5'!C82))</f>
        <v>1A2f - Energy - Non-metallic minerals</v>
      </c>
    </row>
    <row r="403" spans="1:11" x14ac:dyDescent="0.3">
      <c r="A403" t="s">
        <v>1846</v>
      </c>
      <c r="B403" t="s">
        <v>1849</v>
      </c>
      <c r="C403">
        <v>15</v>
      </c>
      <c r="D403" t="s">
        <v>1447</v>
      </c>
      <c r="E403" t="s">
        <v>1850</v>
      </c>
      <c r="F403" t="s">
        <v>1737</v>
      </c>
      <c r="K403" t="str">
        <f>IF(ISBLANK('Q 5'!C83),"",IF('Q 5'!C83="&lt;please select&gt;","",'Q 5'!C83))</f>
        <v>1A2f - Energy - Non-metallic minerals</v>
      </c>
    </row>
    <row r="404" spans="1:11" x14ac:dyDescent="0.3">
      <c r="A404" t="s">
        <v>1846</v>
      </c>
      <c r="B404" t="s">
        <v>1849</v>
      </c>
      <c r="C404">
        <v>16</v>
      </c>
      <c r="D404" t="s">
        <v>1447</v>
      </c>
      <c r="E404" t="s">
        <v>1850</v>
      </c>
      <c r="F404" t="s">
        <v>1737</v>
      </c>
      <c r="K404" t="str">
        <f>IF(ISBLANK('Q 5'!C84),"",IF('Q 5'!C84="&lt;please select&gt;","",'Q 5'!C84))</f>
        <v>1A2f - Energy - Non-metallic minerals</v>
      </c>
    </row>
    <row r="405" spans="1:11" x14ac:dyDescent="0.3">
      <c r="A405" t="s">
        <v>1846</v>
      </c>
      <c r="B405" t="s">
        <v>1849</v>
      </c>
      <c r="C405">
        <v>17</v>
      </c>
      <c r="D405" t="s">
        <v>1447</v>
      </c>
      <c r="E405" t="s">
        <v>1850</v>
      </c>
      <c r="F405" t="s">
        <v>1737</v>
      </c>
      <c r="K405" t="str">
        <f>IF(ISBLANK('Q 5'!C85),"",IF('Q 5'!C85="&lt;please select&gt;","",'Q 5'!C85))</f>
        <v>1A2g - Energy - Other Manufacturing Industries and Construction</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2A4 - Process - Other Process Uses of Carbonates</v>
      </c>
    </row>
    <row r="521" spans="1:11" x14ac:dyDescent="0.3">
      <c r="A521" t="s">
        <v>1846</v>
      </c>
      <c r="B521" t="s">
        <v>1849</v>
      </c>
      <c r="C521">
        <v>3</v>
      </c>
      <c r="D521" t="s">
        <v>1447</v>
      </c>
      <c r="E521" t="s">
        <v>1851</v>
      </c>
      <c r="F521" t="s">
        <v>1737</v>
      </c>
      <c r="K521" t="str">
        <f>IF(ISBLANK('Q 5'!E71),"",IF('Q 5'!E71="&lt;please select&gt;","",'Q 5'!E71))</f>
        <v>2B8 - Process - Petrochemical and Carbon Black Production</v>
      </c>
    </row>
    <row r="522" spans="1:11" x14ac:dyDescent="0.3">
      <c r="A522" t="s">
        <v>1846</v>
      </c>
      <c r="B522" t="s">
        <v>1849</v>
      </c>
      <c r="C522">
        <v>4</v>
      </c>
      <c r="D522" t="s">
        <v>1447</v>
      </c>
      <c r="E522" t="s">
        <v>1851</v>
      </c>
      <c r="F522" t="s">
        <v>1737</v>
      </c>
      <c r="K522" t="str">
        <f>IF(ISBLANK('Q 5'!E72),"",IF('Q 5'!E72="&lt;please select&gt;","",'Q 5'!E72))</f>
        <v>2C1 - Process - Iron and Steel Production</v>
      </c>
    </row>
    <row r="523" spans="1:11" x14ac:dyDescent="0.3">
      <c r="A523" t="s">
        <v>1846</v>
      </c>
      <c r="B523" t="s">
        <v>1849</v>
      </c>
      <c r="C523">
        <v>5</v>
      </c>
      <c r="D523" t="s">
        <v>1447</v>
      </c>
      <c r="E523" t="s">
        <v>1851</v>
      </c>
      <c r="F523" t="s">
        <v>1737</v>
      </c>
      <c r="K523" t="str">
        <f>IF(ISBLANK('Q 5'!E73),"",IF('Q 5'!E73="&lt;please select&gt;","",'Q 5'!E73))</f>
        <v/>
      </c>
    </row>
    <row r="524" spans="1:11" x14ac:dyDescent="0.3">
      <c r="A524" t="s">
        <v>1846</v>
      </c>
      <c r="B524" t="s">
        <v>1849</v>
      </c>
      <c r="C524">
        <v>6</v>
      </c>
      <c r="D524" t="s">
        <v>1447</v>
      </c>
      <c r="E524" t="s">
        <v>1851</v>
      </c>
      <c r="F524" t="s">
        <v>1737</v>
      </c>
      <c r="K524" t="str">
        <f>IF(ISBLANK('Q 5'!E74),"",IF('Q 5'!E74="&lt;please select&gt;","",'Q 5'!E74))</f>
        <v xml:space="preserve">2B2 - Process - Nitric Acid Production </v>
      </c>
    </row>
    <row r="525" spans="1:11" x14ac:dyDescent="0.3">
      <c r="A525" t="s">
        <v>1846</v>
      </c>
      <c r="B525" t="s">
        <v>1849</v>
      </c>
      <c r="C525">
        <v>7</v>
      </c>
      <c r="D525" t="s">
        <v>1447</v>
      </c>
      <c r="E525" t="s">
        <v>1851</v>
      </c>
      <c r="F525" t="s">
        <v>1737</v>
      </c>
      <c r="K525" t="str">
        <f>IF(ISBLANK('Q 5'!E75),"",IF('Q 5'!E75="&lt;please select&gt;","",'Q 5'!E75))</f>
        <v>2B10 - Process - Other Chemical Industry</v>
      </c>
    </row>
    <row r="526" spans="1:11" x14ac:dyDescent="0.3">
      <c r="A526" t="s">
        <v>1846</v>
      </c>
      <c r="B526" t="s">
        <v>1849</v>
      </c>
      <c r="C526">
        <v>8</v>
      </c>
      <c r="D526" t="s">
        <v>1447</v>
      </c>
      <c r="E526" t="s">
        <v>1851</v>
      </c>
      <c r="F526" t="s">
        <v>1737</v>
      </c>
      <c r="K526" t="str">
        <f>IF(ISBLANK('Q 5'!E76),"",IF('Q 5'!E76="&lt;please select&gt;","",'Q 5'!E76))</f>
        <v>2C7 - Process - Other Metal Industry</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2H - Process - Other Industrial Process and Product Use</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2A1 - Process - Cement Production</v>
      </c>
    </row>
    <row r="532" spans="1:11" x14ac:dyDescent="0.3">
      <c r="A532" t="s">
        <v>1846</v>
      </c>
      <c r="B532" t="s">
        <v>1849</v>
      </c>
      <c r="C532">
        <v>14</v>
      </c>
      <c r="D532" t="s">
        <v>1447</v>
      </c>
      <c r="E532" t="s">
        <v>1851</v>
      </c>
      <c r="F532" t="s">
        <v>1737</v>
      </c>
      <c r="K532" t="str">
        <f>IF(ISBLANK('Q 5'!E82),"",IF('Q 5'!E82="&lt;please select&gt;","",'Q 5'!E82))</f>
        <v>2A2 - Process - Lime Production</v>
      </c>
    </row>
    <row r="533" spans="1:11" x14ac:dyDescent="0.3">
      <c r="A533" t="s">
        <v>1846</v>
      </c>
      <c r="B533" t="s">
        <v>1849</v>
      </c>
      <c r="C533">
        <v>15</v>
      </c>
      <c r="D533" t="s">
        <v>1447</v>
      </c>
      <c r="E533" t="s">
        <v>1851</v>
      </c>
      <c r="F533" t="s">
        <v>1737</v>
      </c>
      <c r="K533" t="str">
        <f>IF(ISBLANK('Q 5'!E83),"",IF('Q 5'!E83="&lt;please select&gt;","",'Q 5'!E83))</f>
        <v>2A3 - Process - Glass production</v>
      </c>
    </row>
    <row r="534" spans="1:11" x14ac:dyDescent="0.3">
      <c r="A534" t="s">
        <v>1846</v>
      </c>
      <c r="B534" t="s">
        <v>1849</v>
      </c>
      <c r="C534">
        <v>16</v>
      </c>
      <c r="D534" t="s">
        <v>1447</v>
      </c>
      <c r="E534" t="s">
        <v>1851</v>
      </c>
      <c r="F534" t="s">
        <v>1737</v>
      </c>
      <c r="K534" t="str">
        <f>IF(ISBLANK('Q 5'!E84),"",IF('Q 5'!E84="&lt;please select&gt;","",'Q 5'!E84))</f>
        <v xml:space="preserve">2B4 - Process - Caprolactam, Glyoxal and Glyoxylic Acid Production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5053489</v>
      </c>
    </row>
    <row r="650" spans="1:11" x14ac:dyDescent="0.3">
      <c r="A650" t="s">
        <v>1846</v>
      </c>
      <c r="B650" t="s">
        <v>1849</v>
      </c>
      <c r="C650">
        <v>2</v>
      </c>
      <c r="D650" t="s">
        <v>1447</v>
      </c>
      <c r="E650" t="s">
        <v>1852</v>
      </c>
      <c r="F650" t="s">
        <v>1806</v>
      </c>
      <c r="I650" t="str">
        <f>IF(ISBLANK('Q 5'!G70),"",IF('Q 5'!G70="&lt;please select&gt;","",'Q 5'!G70))</f>
        <v>700910.4</v>
      </c>
    </row>
    <row r="651" spans="1:11" x14ac:dyDescent="0.3">
      <c r="A651" t="s">
        <v>1846</v>
      </c>
      <c r="B651" t="s">
        <v>1849</v>
      </c>
      <c r="C651">
        <v>3</v>
      </c>
      <c r="D651" t="s">
        <v>1447</v>
      </c>
      <c r="E651" t="s">
        <v>1852</v>
      </c>
      <c r="F651" t="s">
        <v>1806</v>
      </c>
      <c r="I651" t="str">
        <f>IF(ISBLANK('Q 5'!G71),"",IF('Q 5'!G71="&lt;please select&gt;","",'Q 5'!G71))</f>
        <v>2674057.9</v>
      </c>
    </row>
    <row r="652" spans="1:11" x14ac:dyDescent="0.3">
      <c r="A652" t="s">
        <v>1846</v>
      </c>
      <c r="B652" t="s">
        <v>1849</v>
      </c>
      <c r="C652">
        <v>4</v>
      </c>
      <c r="D652" t="s">
        <v>1447</v>
      </c>
      <c r="E652" t="s">
        <v>1852</v>
      </c>
      <c r="F652" t="s">
        <v>1806</v>
      </c>
      <c r="I652" t="str">
        <f>IF(ISBLANK('Q 5'!G72),"",IF('Q 5'!G72="&lt;please select&gt;","",'Q 5'!G72))</f>
        <v>128796.6</v>
      </c>
    </row>
    <row r="653" spans="1:11" x14ac:dyDescent="0.3">
      <c r="A653" t="s">
        <v>1846</v>
      </c>
      <c r="B653" t="s">
        <v>1849</v>
      </c>
      <c r="C653">
        <v>5</v>
      </c>
      <c r="D653" t="s">
        <v>1447</v>
      </c>
      <c r="E653" t="s">
        <v>1852</v>
      </c>
      <c r="F653" t="s">
        <v>1806</v>
      </c>
      <c r="I653" t="str">
        <f>IF(ISBLANK('Q 5'!G73),"",IF('Q 5'!G73="&lt;please select&gt;","",'Q 5'!G73))</f>
        <v>840904.7</v>
      </c>
    </row>
    <row r="654" spans="1:11" x14ac:dyDescent="0.3">
      <c r="A654" t="s">
        <v>1846</v>
      </c>
      <c r="B654" t="s">
        <v>1849</v>
      </c>
      <c r="C654">
        <v>6</v>
      </c>
      <c r="D654" t="s">
        <v>1447</v>
      </c>
      <c r="E654" t="s">
        <v>1852</v>
      </c>
      <c r="F654" t="s">
        <v>1806</v>
      </c>
      <c r="I654" t="str">
        <f>IF(ISBLANK('Q 5'!G74),"",IF('Q 5'!G74="&lt;please select&gt;","",'Q 5'!G74))</f>
        <v>66227.6</v>
      </c>
    </row>
    <row r="655" spans="1:11" x14ac:dyDescent="0.3">
      <c r="A655" t="s">
        <v>1846</v>
      </c>
      <c r="B655" t="s">
        <v>1849</v>
      </c>
      <c r="C655">
        <v>7</v>
      </c>
      <c r="D655" t="s">
        <v>1447</v>
      </c>
      <c r="E655" t="s">
        <v>1852</v>
      </c>
      <c r="F655" t="s">
        <v>1806</v>
      </c>
      <c r="I655" t="str">
        <f>IF(ISBLANK('Q 5'!G75),"",IF('Q 5'!G75="&lt;please select&gt;","",'Q 5'!G75))</f>
        <v>70264.9</v>
      </c>
    </row>
    <row r="656" spans="1:11" x14ac:dyDescent="0.3">
      <c r="A656" t="s">
        <v>1846</v>
      </c>
      <c r="B656" t="s">
        <v>1849</v>
      </c>
      <c r="C656">
        <v>8</v>
      </c>
      <c r="D656" t="s">
        <v>1447</v>
      </c>
      <c r="E656" t="s">
        <v>1852</v>
      </c>
      <c r="F656" t="s">
        <v>1806</v>
      </c>
      <c r="I656" t="str">
        <f>IF(ISBLANK('Q 5'!G76),"",IF('Q 5'!G76="&lt;please select&gt;","",'Q 5'!G76))</f>
        <v>65989.8</v>
      </c>
    </row>
    <row r="657" spans="1:9" x14ac:dyDescent="0.3">
      <c r="A657" t="s">
        <v>1846</v>
      </c>
      <c r="B657" t="s">
        <v>1849</v>
      </c>
      <c r="C657">
        <v>9</v>
      </c>
      <c r="D657" t="s">
        <v>1447</v>
      </c>
      <c r="E657" t="s">
        <v>1852</v>
      </c>
      <c r="F657" t="s">
        <v>1806</v>
      </c>
      <c r="I657" t="str">
        <f>IF(ISBLANK('Q 5'!G77),"",IF('Q 5'!G77="&lt;please select&gt;","",'Q 5'!G77))</f>
        <v>569859</v>
      </c>
    </row>
    <row r="658" spans="1:9" x14ac:dyDescent="0.3">
      <c r="A658" t="s">
        <v>1846</v>
      </c>
      <c r="B658" t="s">
        <v>1849</v>
      </c>
      <c r="C658">
        <v>10</v>
      </c>
      <c r="D658" t="s">
        <v>1447</v>
      </c>
      <c r="E658" t="s">
        <v>1852</v>
      </c>
      <c r="F658" t="s">
        <v>1806</v>
      </c>
      <c r="I658" t="str">
        <f>IF(ISBLANK('Q 5'!G78),"",IF('Q 5'!G78="&lt;please select&gt;","",'Q 5'!G78))</f>
        <v>468992.8</v>
      </c>
    </row>
    <row r="659" spans="1:9" x14ac:dyDescent="0.3">
      <c r="A659" t="s">
        <v>1846</v>
      </c>
      <c r="B659" t="s">
        <v>1849</v>
      </c>
      <c r="C659">
        <v>11</v>
      </c>
      <c r="D659" t="s">
        <v>1447</v>
      </c>
      <c r="E659" t="s">
        <v>1852</v>
      </c>
      <c r="F659" t="s">
        <v>1806</v>
      </c>
      <c r="I659" t="str">
        <f>IF(ISBLANK('Q 5'!G79),"",IF('Q 5'!G79="&lt;please select&gt;","",'Q 5'!G79))</f>
        <v>269783.8</v>
      </c>
    </row>
    <row r="660" spans="1:9" x14ac:dyDescent="0.3">
      <c r="A660" t="s">
        <v>1846</v>
      </c>
      <c r="B660" t="s">
        <v>1849</v>
      </c>
      <c r="C660">
        <v>12</v>
      </c>
      <c r="D660" t="s">
        <v>1447</v>
      </c>
      <c r="E660" t="s">
        <v>1852</v>
      </c>
      <c r="F660" t="s">
        <v>1806</v>
      </c>
      <c r="I660" t="str">
        <f>IF(ISBLANK('Q 5'!G80),"",IF('Q 5'!G80="&lt;please select&gt;","",'Q 5'!G80))</f>
        <v>1818.9</v>
      </c>
    </row>
    <row r="661" spans="1:9" x14ac:dyDescent="0.3">
      <c r="A661" t="s">
        <v>1846</v>
      </c>
      <c r="B661" t="s">
        <v>1849</v>
      </c>
      <c r="C661">
        <v>13</v>
      </c>
      <c r="D661" t="s">
        <v>1447</v>
      </c>
      <c r="E661" t="s">
        <v>1852</v>
      </c>
      <c r="F661" t="s">
        <v>1806</v>
      </c>
      <c r="I661" t="str">
        <f>IF(ISBLANK('Q 5'!G81),"",IF('Q 5'!G81="&lt;please select&gt;","",'Q 5'!G81))</f>
        <v>3350029.3</v>
      </c>
    </row>
    <row r="662" spans="1:9" x14ac:dyDescent="0.3">
      <c r="A662" t="s">
        <v>1846</v>
      </c>
      <c r="B662" t="s">
        <v>1849</v>
      </c>
      <c r="C662">
        <v>14</v>
      </c>
      <c r="D662" t="s">
        <v>1447</v>
      </c>
      <c r="E662" t="s">
        <v>1852</v>
      </c>
      <c r="F662" t="s">
        <v>1806</v>
      </c>
      <c r="I662" t="str">
        <f>IF(ISBLANK('Q 5'!G82),"",IF('Q 5'!G82="&lt;please select&gt;","",'Q 5'!G82))</f>
        <v>478321.1</v>
      </c>
    </row>
    <row r="663" spans="1:9" x14ac:dyDescent="0.3">
      <c r="A663" t="s">
        <v>1846</v>
      </c>
      <c r="B663" t="s">
        <v>1849</v>
      </c>
      <c r="C663">
        <v>15</v>
      </c>
      <c r="D663" t="s">
        <v>1447</v>
      </c>
      <c r="E663" t="s">
        <v>1852</v>
      </c>
      <c r="F663" t="s">
        <v>1806</v>
      </c>
      <c r="I663" t="str">
        <f>IF(ISBLANK('Q 5'!G83),"",IF('Q 5'!G83="&lt;please select&gt;","",'Q 5'!G83))</f>
        <v>608681</v>
      </c>
    </row>
    <row r="664" spans="1:9" x14ac:dyDescent="0.3">
      <c r="A664" t="s">
        <v>1846</v>
      </c>
      <c r="B664" t="s">
        <v>1849</v>
      </c>
      <c r="C664">
        <v>16</v>
      </c>
      <c r="D664" t="s">
        <v>1447</v>
      </c>
      <c r="E664" t="s">
        <v>1852</v>
      </c>
      <c r="F664" t="s">
        <v>1806</v>
      </c>
      <c r="I664" t="str">
        <f>IF(ISBLANK('Q 5'!G84),"",IF('Q 5'!G84="&lt;please select&gt;","",'Q 5'!G84))</f>
        <v>513277.4</v>
      </c>
    </row>
    <row r="665" spans="1:9" x14ac:dyDescent="0.3">
      <c r="A665" t="s">
        <v>1846</v>
      </c>
      <c r="B665" t="s">
        <v>1849</v>
      </c>
      <c r="C665">
        <v>17</v>
      </c>
      <c r="D665" t="s">
        <v>1447</v>
      </c>
      <c r="E665" t="s">
        <v>1852</v>
      </c>
      <c r="F665" t="s">
        <v>1806</v>
      </c>
      <c r="I665" t="str">
        <f>IF(ISBLANK('Q 5'!G85),"",IF('Q 5'!G85="&lt;please select&gt;","",'Q 5'!G85))</f>
        <v>195774</v>
      </c>
    </row>
    <row r="666" spans="1:9" x14ac:dyDescent="0.3">
      <c r="A666" t="s">
        <v>1846</v>
      </c>
      <c r="B666" t="s">
        <v>1849</v>
      </c>
      <c r="C666">
        <v>18</v>
      </c>
      <c r="D666" t="s">
        <v>1447</v>
      </c>
      <c r="E666" t="s">
        <v>1852</v>
      </c>
      <c r="F666" t="s">
        <v>1806</v>
      </c>
      <c r="I666" t="str">
        <f>IF(ISBLANK('Q 5'!G86),"",IF('Q 5'!G86="&lt;please select&gt;","",'Q 5'!G86))</f>
        <v/>
      </c>
    </row>
    <row r="667" spans="1:9" x14ac:dyDescent="0.3">
      <c r="A667" t="s">
        <v>1846</v>
      </c>
      <c r="B667" t="s">
        <v>1849</v>
      </c>
      <c r="C667">
        <v>19</v>
      </c>
      <c r="D667" t="s">
        <v>1447</v>
      </c>
      <c r="E667" t="s">
        <v>1852</v>
      </c>
      <c r="F667" t="s">
        <v>1806</v>
      </c>
      <c r="I667" t="str">
        <f>IF(ISBLANK('Q 5'!G87),"",IF('Q 5'!G87="&lt;please select&gt;","",'Q 5'!G87))</f>
        <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5053489</v>
      </c>
    </row>
    <row r="780" spans="1:9" x14ac:dyDescent="0.3">
      <c r="A780" t="s">
        <v>1846</v>
      </c>
      <c r="B780" t="s">
        <v>1849</v>
      </c>
      <c r="C780">
        <v>2</v>
      </c>
      <c r="D780" t="s">
        <v>1447</v>
      </c>
      <c r="E780" t="s">
        <v>1853</v>
      </c>
      <c r="F780" t="s">
        <v>1806</v>
      </c>
      <c r="I780" t="str">
        <f>IF(ISBLANK('Q 5'!H70),"",IF('Q 5'!H70="&lt;please select&gt;","",'Q 5'!H70))</f>
        <v>699731.4</v>
      </c>
    </row>
    <row r="781" spans="1:9" x14ac:dyDescent="0.3">
      <c r="A781" t="s">
        <v>1846</v>
      </c>
      <c r="B781" t="s">
        <v>1849</v>
      </c>
      <c r="C781">
        <v>3</v>
      </c>
      <c r="D781" t="s">
        <v>1447</v>
      </c>
      <c r="E781" t="s">
        <v>1853</v>
      </c>
      <c r="F781" t="s">
        <v>1806</v>
      </c>
      <c r="I781" t="str">
        <f>IF(ISBLANK('Q 5'!H71),"",IF('Q 5'!H71="&lt;please select&gt;","",'Q 5'!H71))</f>
        <v>1854824.8</v>
      </c>
    </row>
    <row r="782" spans="1:9" x14ac:dyDescent="0.3">
      <c r="A782" t="s">
        <v>1846</v>
      </c>
      <c r="B782" t="s">
        <v>1849</v>
      </c>
      <c r="C782">
        <v>4</v>
      </c>
      <c r="D782" t="s">
        <v>1447</v>
      </c>
      <c r="E782" t="s">
        <v>1853</v>
      </c>
      <c r="F782" t="s">
        <v>1806</v>
      </c>
      <c r="I782" t="str">
        <f>IF(ISBLANK('Q 5'!H72),"",IF('Q 5'!H72="&lt;please select&gt;","",'Q 5'!H72))</f>
        <v>84789.1</v>
      </c>
    </row>
    <row r="783" spans="1:9" x14ac:dyDescent="0.3">
      <c r="A783" t="s">
        <v>1846</v>
      </c>
      <c r="B783" t="s">
        <v>1849</v>
      </c>
      <c r="C783">
        <v>5</v>
      </c>
      <c r="D783" t="s">
        <v>1447</v>
      </c>
      <c r="E783" t="s">
        <v>1853</v>
      </c>
      <c r="F783" t="s">
        <v>1806</v>
      </c>
      <c r="I783" t="str">
        <f>IF(ISBLANK('Q 5'!H73),"",IF('Q 5'!H73="&lt;please select&gt;","",'Q 5'!H73))</f>
        <v>840904.7</v>
      </c>
    </row>
    <row r="784" spans="1:9" x14ac:dyDescent="0.3">
      <c r="A784" t="s">
        <v>1846</v>
      </c>
      <c r="B784" t="s">
        <v>1849</v>
      </c>
      <c r="C784">
        <v>6</v>
      </c>
      <c r="D784" t="s">
        <v>1447</v>
      </c>
      <c r="E784" t="s">
        <v>1853</v>
      </c>
      <c r="F784" t="s">
        <v>1806</v>
      </c>
      <c r="I784" t="str">
        <f>IF(ISBLANK('Q 5'!H74),"",IF('Q 5'!H74="&lt;please select&gt;","",'Q 5'!H74))</f>
        <v>20362.8</v>
      </c>
    </row>
    <row r="785" spans="1:9" x14ac:dyDescent="0.3">
      <c r="A785" t="s">
        <v>1846</v>
      </c>
      <c r="B785" t="s">
        <v>1849</v>
      </c>
      <c r="C785">
        <v>7</v>
      </c>
      <c r="D785" t="s">
        <v>1447</v>
      </c>
      <c r="E785" t="s">
        <v>1853</v>
      </c>
      <c r="F785" t="s">
        <v>1806</v>
      </c>
      <c r="I785" t="str">
        <f>IF(ISBLANK('Q 5'!H75),"",IF('Q 5'!H75="&lt;please select&gt;","",'Q 5'!H75))</f>
        <v>3625.5</v>
      </c>
    </row>
    <row r="786" spans="1:9" x14ac:dyDescent="0.3">
      <c r="A786" t="s">
        <v>1846</v>
      </c>
      <c r="B786" t="s">
        <v>1849</v>
      </c>
      <c r="C786">
        <v>8</v>
      </c>
      <c r="D786" t="s">
        <v>1447</v>
      </c>
      <c r="E786" t="s">
        <v>1853</v>
      </c>
      <c r="F786" t="s">
        <v>1806</v>
      </c>
      <c r="I786" t="str">
        <f>IF(ISBLANK('Q 5'!H76),"",IF('Q 5'!H76="&lt;please select&gt;","",'Q 5'!H76))</f>
        <v>12.2</v>
      </c>
    </row>
    <row r="787" spans="1:9" x14ac:dyDescent="0.3">
      <c r="A787" t="s">
        <v>1846</v>
      </c>
      <c r="B787" t="s">
        <v>1849</v>
      </c>
      <c r="C787">
        <v>9</v>
      </c>
      <c r="D787" t="s">
        <v>1447</v>
      </c>
      <c r="E787" t="s">
        <v>1853</v>
      </c>
      <c r="F787" t="s">
        <v>1806</v>
      </c>
      <c r="I787" t="str">
        <f>IF(ISBLANK('Q 5'!H77),"",IF('Q 5'!H77="&lt;please select&gt;","",'Q 5'!H77))</f>
        <v>569859</v>
      </c>
    </row>
    <row r="788" spans="1:9" x14ac:dyDescent="0.3">
      <c r="A788" t="s">
        <v>1846</v>
      </c>
      <c r="B788" t="s">
        <v>1849</v>
      </c>
      <c r="C788">
        <v>10</v>
      </c>
      <c r="D788" t="s">
        <v>1447</v>
      </c>
      <c r="E788" t="s">
        <v>1853</v>
      </c>
      <c r="F788" t="s">
        <v>1806</v>
      </c>
      <c r="I788" t="str">
        <f>IF(ISBLANK('Q 5'!H78),"",IF('Q 5'!H78="&lt;please select&gt;","",'Q 5'!H78))</f>
        <v>459193.3</v>
      </c>
    </row>
    <row r="789" spans="1:9" x14ac:dyDescent="0.3">
      <c r="A789" t="s">
        <v>1846</v>
      </c>
      <c r="B789" t="s">
        <v>1849</v>
      </c>
      <c r="C789">
        <v>11</v>
      </c>
      <c r="D789" t="s">
        <v>1447</v>
      </c>
      <c r="E789" t="s">
        <v>1853</v>
      </c>
      <c r="F789" t="s">
        <v>1806</v>
      </c>
      <c r="I789" t="str">
        <f>IF(ISBLANK('Q 5'!H79),"",IF('Q 5'!H79="&lt;please select&gt;","",'Q 5'!H79))</f>
        <v>269783.8</v>
      </c>
    </row>
    <row r="790" spans="1:9" x14ac:dyDescent="0.3">
      <c r="A790" t="s">
        <v>1846</v>
      </c>
      <c r="B790" t="s">
        <v>1849</v>
      </c>
      <c r="C790">
        <v>12</v>
      </c>
      <c r="D790" t="s">
        <v>1447</v>
      </c>
      <c r="E790" t="s">
        <v>1853</v>
      </c>
      <c r="F790" t="s">
        <v>1806</v>
      </c>
      <c r="I790" t="str">
        <f>IF(ISBLANK('Q 5'!H80),"",IF('Q 5'!H80="&lt;please select&gt;","",'Q 5'!H80))</f>
        <v>1818.9</v>
      </c>
    </row>
    <row r="791" spans="1:9" x14ac:dyDescent="0.3">
      <c r="A791" t="s">
        <v>1846</v>
      </c>
      <c r="B791" t="s">
        <v>1849</v>
      </c>
      <c r="C791">
        <v>13</v>
      </c>
      <c r="D791" t="s">
        <v>1447</v>
      </c>
      <c r="E791" t="s">
        <v>1853</v>
      </c>
      <c r="F791" t="s">
        <v>1806</v>
      </c>
      <c r="I791" t="str">
        <f>IF(ISBLANK('Q 5'!H81),"",IF('Q 5'!H81="&lt;please select&gt;","",'Q 5'!H81))</f>
        <v>1244110.7</v>
      </c>
    </row>
    <row r="792" spans="1:9" x14ac:dyDescent="0.3">
      <c r="A792" t="s">
        <v>1846</v>
      </c>
      <c r="B792" t="s">
        <v>1849</v>
      </c>
      <c r="C792">
        <v>14</v>
      </c>
      <c r="D792" t="s">
        <v>1447</v>
      </c>
      <c r="E792" t="s">
        <v>1853</v>
      </c>
      <c r="F792" t="s">
        <v>1806</v>
      </c>
      <c r="I792" t="str">
        <f>IF(ISBLANK('Q 5'!H82),"",IF('Q 5'!H82="&lt;please select&gt;","",'Q 5'!H82))</f>
        <v>101594.5</v>
      </c>
    </row>
    <row r="793" spans="1:9" x14ac:dyDescent="0.3">
      <c r="A793" t="s">
        <v>1846</v>
      </c>
      <c r="B793" t="s">
        <v>1849</v>
      </c>
      <c r="C793">
        <v>15</v>
      </c>
      <c r="D793" t="s">
        <v>1447</v>
      </c>
      <c r="E793" t="s">
        <v>1853</v>
      </c>
      <c r="F793" t="s">
        <v>1806</v>
      </c>
      <c r="I793" t="str">
        <f>IF(ISBLANK('Q 5'!H83),"",IF('Q 5'!H83="&lt;please select&gt;","",'Q 5'!H83))</f>
        <v>450808</v>
      </c>
    </row>
    <row r="794" spans="1:9" x14ac:dyDescent="0.3">
      <c r="A794" t="s">
        <v>1846</v>
      </c>
      <c r="B794" t="s">
        <v>1849</v>
      </c>
      <c r="C794">
        <v>16</v>
      </c>
      <c r="D794" t="s">
        <v>1447</v>
      </c>
      <c r="E794" t="s">
        <v>1853</v>
      </c>
      <c r="F794" t="s">
        <v>1806</v>
      </c>
      <c r="I794" t="str">
        <f>IF(ISBLANK('Q 5'!H84),"",IF('Q 5'!H84="&lt;please select&gt;","",'Q 5'!H84))</f>
        <v>457871</v>
      </c>
    </row>
    <row r="795" spans="1:9" x14ac:dyDescent="0.3">
      <c r="A795" t="s">
        <v>1846</v>
      </c>
      <c r="B795" t="s">
        <v>1849</v>
      </c>
      <c r="C795">
        <v>17</v>
      </c>
      <c r="D795" t="s">
        <v>1447</v>
      </c>
      <c r="E795" t="s">
        <v>1853</v>
      </c>
      <c r="F795" t="s">
        <v>1806</v>
      </c>
      <c r="I795" t="str">
        <f>IF(ISBLANK('Q 5'!H85),"",IF('Q 5'!H85="&lt;please select&gt;","",'Q 5'!H85))</f>
        <v>195774</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0</v>
      </c>
    </row>
    <row r="910" spans="1:9" x14ac:dyDescent="0.3">
      <c r="A910" t="s">
        <v>1846</v>
      </c>
      <c r="B910" t="s">
        <v>1849</v>
      </c>
      <c r="C910">
        <v>2</v>
      </c>
      <c r="D910" t="s">
        <v>1447</v>
      </c>
      <c r="E910" t="s">
        <v>1854</v>
      </c>
      <c r="F910" t="s">
        <v>1806</v>
      </c>
      <c r="I910" t="str">
        <f>IF(ISBLANK('Q 5'!I70),"",IF('Q 5'!I70="&lt;please select&gt;","",'Q 5'!I70))</f>
        <v>1179</v>
      </c>
    </row>
    <row r="911" spans="1:9" x14ac:dyDescent="0.3">
      <c r="A911" t="s">
        <v>1846</v>
      </c>
      <c r="B911" t="s">
        <v>1849</v>
      </c>
      <c r="C911">
        <v>3</v>
      </c>
      <c r="D911" t="s">
        <v>1447</v>
      </c>
      <c r="E911" t="s">
        <v>1854</v>
      </c>
      <c r="F911" t="s">
        <v>1806</v>
      </c>
      <c r="I911" t="str">
        <f>IF(ISBLANK('Q 5'!I71),"",IF('Q 5'!I71="&lt;please select&gt;","",'Q 5'!I71))</f>
        <v>819233.1</v>
      </c>
    </row>
    <row r="912" spans="1:9" x14ac:dyDescent="0.3">
      <c r="A912" t="s">
        <v>1846</v>
      </c>
      <c r="B912" t="s">
        <v>1849</v>
      </c>
      <c r="C912">
        <v>4</v>
      </c>
      <c r="D912" t="s">
        <v>1447</v>
      </c>
      <c r="E912" t="s">
        <v>1854</v>
      </c>
      <c r="F912" t="s">
        <v>1806</v>
      </c>
      <c r="I912" t="str">
        <f>IF(ISBLANK('Q 5'!I72),"",IF('Q 5'!I72="&lt;please select&gt;","",'Q 5'!I72))</f>
        <v>44007.4</v>
      </c>
    </row>
    <row r="913" spans="1:9" x14ac:dyDescent="0.3">
      <c r="A913" t="s">
        <v>1846</v>
      </c>
      <c r="B913" t="s">
        <v>1849</v>
      </c>
      <c r="C913">
        <v>5</v>
      </c>
      <c r="D913" t="s">
        <v>1447</v>
      </c>
      <c r="E913" t="s">
        <v>1854</v>
      </c>
      <c r="F913" t="s">
        <v>1806</v>
      </c>
      <c r="I913" t="str">
        <f>IF(ISBLANK('Q 5'!I73),"",IF('Q 5'!I73="&lt;please select&gt;","",'Q 5'!I73))</f>
        <v>0</v>
      </c>
    </row>
    <row r="914" spans="1:9" x14ac:dyDescent="0.3">
      <c r="A914" t="s">
        <v>1846</v>
      </c>
      <c r="B914" t="s">
        <v>1849</v>
      </c>
      <c r="C914">
        <v>6</v>
      </c>
      <c r="D914" t="s">
        <v>1447</v>
      </c>
      <c r="E914" t="s">
        <v>1854</v>
      </c>
      <c r="F914" t="s">
        <v>1806</v>
      </c>
      <c r="I914" t="str">
        <f>IF(ISBLANK('Q 5'!I74),"",IF('Q 5'!I74="&lt;please select&gt;","",'Q 5'!I74))</f>
        <v>45864.8</v>
      </c>
    </row>
    <row r="915" spans="1:9" x14ac:dyDescent="0.3">
      <c r="A915" t="s">
        <v>1846</v>
      </c>
      <c r="B915" t="s">
        <v>1849</v>
      </c>
      <c r="C915">
        <v>7</v>
      </c>
      <c r="D915" t="s">
        <v>1447</v>
      </c>
      <c r="E915" t="s">
        <v>1854</v>
      </c>
      <c r="F915" t="s">
        <v>1806</v>
      </c>
      <c r="I915" t="str">
        <f>IF(ISBLANK('Q 5'!I75),"",IF('Q 5'!I75="&lt;please select&gt;","",'Q 5'!I75))</f>
        <v>66639.4</v>
      </c>
    </row>
    <row r="916" spans="1:9" x14ac:dyDescent="0.3">
      <c r="A916" t="s">
        <v>1846</v>
      </c>
      <c r="B916" t="s">
        <v>1849</v>
      </c>
      <c r="C916">
        <v>8</v>
      </c>
      <c r="D916" t="s">
        <v>1447</v>
      </c>
      <c r="E916" t="s">
        <v>1854</v>
      </c>
      <c r="F916" t="s">
        <v>1806</v>
      </c>
      <c r="I916" t="str">
        <f>IF(ISBLANK('Q 5'!I76),"",IF('Q 5'!I76="&lt;please select&gt;","",'Q 5'!I76))</f>
        <v>65977.6</v>
      </c>
    </row>
    <row r="917" spans="1:9" x14ac:dyDescent="0.3">
      <c r="A917" t="s">
        <v>1846</v>
      </c>
      <c r="B917" t="s">
        <v>1849</v>
      </c>
      <c r="C917">
        <v>9</v>
      </c>
      <c r="D917" t="s">
        <v>1447</v>
      </c>
      <c r="E917" t="s">
        <v>1854</v>
      </c>
      <c r="F917" t="s">
        <v>1806</v>
      </c>
      <c r="I917" t="str">
        <f>IF(ISBLANK('Q 5'!I77),"",IF('Q 5'!I77="&lt;please select&gt;","",'Q 5'!I77))</f>
        <v>0</v>
      </c>
    </row>
    <row r="918" spans="1:9" x14ac:dyDescent="0.3">
      <c r="A918" t="s">
        <v>1846</v>
      </c>
      <c r="B918" t="s">
        <v>1849</v>
      </c>
      <c r="C918">
        <v>10</v>
      </c>
      <c r="D918" t="s">
        <v>1447</v>
      </c>
      <c r="E918" t="s">
        <v>1854</v>
      </c>
      <c r="F918" t="s">
        <v>1806</v>
      </c>
      <c r="I918" t="str">
        <f>IF(ISBLANK('Q 5'!I78),"",IF('Q 5'!I78="&lt;please select&gt;","",'Q 5'!I78))</f>
        <v>9799.5</v>
      </c>
    </row>
    <row r="919" spans="1:9" x14ac:dyDescent="0.3">
      <c r="A919" t="s">
        <v>1846</v>
      </c>
      <c r="B919" t="s">
        <v>1849</v>
      </c>
      <c r="C919">
        <v>11</v>
      </c>
      <c r="D919" t="s">
        <v>1447</v>
      </c>
      <c r="E919" t="s">
        <v>1854</v>
      </c>
      <c r="F919" t="s">
        <v>1806</v>
      </c>
      <c r="I919" t="str">
        <f>IF(ISBLANK('Q 5'!I79),"",IF('Q 5'!I79="&lt;please select&gt;","",'Q 5'!I79))</f>
        <v>0</v>
      </c>
    </row>
    <row r="920" spans="1:9" x14ac:dyDescent="0.3">
      <c r="A920" t="s">
        <v>1846</v>
      </c>
      <c r="B920" t="s">
        <v>1849</v>
      </c>
      <c r="C920">
        <v>12</v>
      </c>
      <c r="D920" t="s">
        <v>1447</v>
      </c>
      <c r="E920" t="s">
        <v>1854</v>
      </c>
      <c r="F920" t="s">
        <v>1806</v>
      </c>
      <c r="I920" t="str">
        <f>IF(ISBLANK('Q 5'!I80),"",IF('Q 5'!I80="&lt;please select&gt;","",'Q 5'!I80))</f>
        <v>0</v>
      </c>
    </row>
    <row r="921" spans="1:9" x14ac:dyDescent="0.3">
      <c r="A921" t="s">
        <v>1846</v>
      </c>
      <c r="B921" t="s">
        <v>1849</v>
      </c>
      <c r="C921">
        <v>13</v>
      </c>
      <c r="D921" t="s">
        <v>1447</v>
      </c>
      <c r="E921" t="s">
        <v>1854</v>
      </c>
      <c r="F921" t="s">
        <v>1806</v>
      </c>
      <c r="I921" t="str">
        <f>IF(ISBLANK('Q 5'!I81),"",IF('Q 5'!I81="&lt;please select&gt;","",'Q 5'!I81))</f>
        <v>2105918.6</v>
      </c>
    </row>
    <row r="922" spans="1:9" x14ac:dyDescent="0.3">
      <c r="A922" t="s">
        <v>1846</v>
      </c>
      <c r="B922" t="s">
        <v>1849</v>
      </c>
      <c r="C922">
        <v>14</v>
      </c>
      <c r="D922" t="s">
        <v>1447</v>
      </c>
      <c r="E922" t="s">
        <v>1854</v>
      </c>
      <c r="F922" t="s">
        <v>1806</v>
      </c>
      <c r="I922" t="str">
        <f>IF(ISBLANK('Q 5'!I82),"",IF('Q 5'!I82="&lt;please select&gt;","",'Q 5'!I82))</f>
        <v>376726.6</v>
      </c>
    </row>
    <row r="923" spans="1:9" x14ac:dyDescent="0.3">
      <c r="A923" t="s">
        <v>1846</v>
      </c>
      <c r="B923" t="s">
        <v>1849</v>
      </c>
      <c r="C923">
        <v>15</v>
      </c>
      <c r="D923" t="s">
        <v>1447</v>
      </c>
      <c r="E923" t="s">
        <v>1854</v>
      </c>
      <c r="F923" t="s">
        <v>1806</v>
      </c>
      <c r="I923" t="str">
        <f>IF(ISBLANK('Q 5'!I83),"",IF('Q 5'!I83="&lt;please select&gt;","",'Q 5'!I83))</f>
        <v>157873</v>
      </c>
    </row>
    <row r="924" spans="1:9" x14ac:dyDescent="0.3">
      <c r="A924" t="s">
        <v>1846</v>
      </c>
      <c r="B924" t="s">
        <v>1849</v>
      </c>
      <c r="C924">
        <v>16</v>
      </c>
      <c r="D924" t="s">
        <v>1447</v>
      </c>
      <c r="E924" t="s">
        <v>1854</v>
      </c>
      <c r="F924" t="s">
        <v>1806</v>
      </c>
      <c r="I924" t="str">
        <f>IF(ISBLANK('Q 5'!I84),"",IF('Q 5'!I84="&lt;please select&gt;","",'Q 5'!I84))</f>
        <v>55406.4</v>
      </c>
    </row>
    <row r="925" spans="1:9" x14ac:dyDescent="0.3">
      <c r="A925" t="s">
        <v>1846</v>
      </c>
      <c r="B925" t="s">
        <v>1849</v>
      </c>
      <c r="C925">
        <v>17</v>
      </c>
      <c r="D925" t="s">
        <v>1447</v>
      </c>
      <c r="E925" t="s">
        <v>1854</v>
      </c>
      <c r="F925" t="s">
        <v>1806</v>
      </c>
      <c r="I925" t="str">
        <f>IF(ISBLANK('Q 5'!I85),"",IF('Q 5'!I85="&lt;please select&gt;","",'Q 5'!I85))</f>
        <v>0</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B installation</v>
      </c>
    </row>
    <row r="1040" spans="1:11" x14ac:dyDescent="0.3">
      <c r="A1040" t="s">
        <v>1847</v>
      </c>
      <c r="B1040" t="s">
        <v>1855</v>
      </c>
      <c r="C1040">
        <v>2</v>
      </c>
      <c r="D1040" t="s">
        <v>1447</v>
      </c>
      <c r="E1040" t="s">
        <v>1856</v>
      </c>
      <c r="F1040" t="s">
        <v>1737</v>
      </c>
      <c r="K1040" t="str">
        <f>IF(ISBLANK('Q 5'!C204),"",IF('Q 5'!C204="&lt;please select&gt;","",'Q 5'!C204))</f>
        <v>Category C installation</v>
      </c>
    </row>
    <row r="1041" spans="1:11" x14ac:dyDescent="0.3">
      <c r="A1041" t="s">
        <v>1847</v>
      </c>
      <c r="B1041" t="s">
        <v>1855</v>
      </c>
      <c r="C1041">
        <v>3</v>
      </c>
      <c r="D1041" t="s">
        <v>1447</v>
      </c>
      <c r="E1041" t="s">
        <v>1856</v>
      </c>
      <c r="F1041" t="s">
        <v>1737</v>
      </c>
      <c r="K1041" t="str">
        <f>IF(ISBLANK('Q 5'!C205),"",IF('Q 5'!C205="&lt;please select&gt;","",'Q 5'!C205))</f>
        <v>Category C installation</v>
      </c>
    </row>
    <row r="1042" spans="1:11" x14ac:dyDescent="0.3">
      <c r="A1042" t="s">
        <v>1847</v>
      </c>
      <c r="B1042" t="s">
        <v>1855</v>
      </c>
      <c r="C1042">
        <v>4</v>
      </c>
      <c r="D1042" t="s">
        <v>1447</v>
      </c>
      <c r="E1042" t="s">
        <v>1856</v>
      </c>
      <c r="F1042" t="s">
        <v>1737</v>
      </c>
      <c r="K1042" t="str">
        <f>IF(ISBLANK('Q 5'!C206),"",IF('Q 5'!C206="&lt;please select&gt;","",'Q 5'!C206))</f>
        <v>Category C installation</v>
      </c>
    </row>
    <row r="1043" spans="1:11" x14ac:dyDescent="0.3">
      <c r="A1043" t="s">
        <v>1847</v>
      </c>
      <c r="B1043" t="s">
        <v>1855</v>
      </c>
      <c r="C1043">
        <v>5</v>
      </c>
      <c r="D1043" t="s">
        <v>1447</v>
      </c>
      <c r="E1043" t="s">
        <v>1856</v>
      </c>
      <c r="F1043" t="s">
        <v>1737</v>
      </c>
      <c r="K1043" t="str">
        <f>IF(ISBLANK('Q 5'!C207),"",IF('Q 5'!C207="&lt;please select&gt;","",'Q 5'!C207))</f>
        <v>Category C installation</v>
      </c>
    </row>
    <row r="1044" spans="1:11" x14ac:dyDescent="0.3">
      <c r="A1044" t="s">
        <v>1847</v>
      </c>
      <c r="B1044" t="s">
        <v>1855</v>
      </c>
      <c r="C1044">
        <v>6</v>
      </c>
      <c r="D1044" t="s">
        <v>1447</v>
      </c>
      <c r="E1044" t="s">
        <v>1856</v>
      </c>
      <c r="F1044" t="s">
        <v>1737</v>
      </c>
      <c r="K1044" t="str">
        <f>IF(ISBLANK('Q 5'!C208),"",IF('Q 5'!C208="&lt;please select&gt;","",'Q 5'!C208))</f>
        <v>Category C installation</v>
      </c>
    </row>
    <row r="1045" spans="1:11" x14ac:dyDescent="0.3">
      <c r="A1045" t="s">
        <v>1847</v>
      </c>
      <c r="B1045" t="s">
        <v>1855</v>
      </c>
      <c r="C1045">
        <v>7</v>
      </c>
      <c r="D1045" t="s">
        <v>1447</v>
      </c>
      <c r="E1045" t="s">
        <v>1856</v>
      </c>
      <c r="F1045" t="s">
        <v>1737</v>
      </c>
      <c r="K1045" t="str">
        <f>IF(ISBLANK('Q 5'!C209),"",IF('Q 5'!C209="&lt;please select&gt;","",'Q 5'!C209))</f>
        <v>Category C installation</v>
      </c>
    </row>
    <row r="1046" spans="1:11" x14ac:dyDescent="0.3">
      <c r="A1046" t="s">
        <v>1847</v>
      </c>
      <c r="B1046" t="s">
        <v>1855</v>
      </c>
      <c r="C1046">
        <v>8</v>
      </c>
      <c r="D1046" t="s">
        <v>1447</v>
      </c>
      <c r="E1046" t="s">
        <v>1856</v>
      </c>
      <c r="F1046" t="s">
        <v>1737</v>
      </c>
      <c r="K1046" t="str">
        <f>IF(ISBLANK('Q 5'!C210),"",IF('Q 5'!C210="&lt;please select&gt;","",'Q 5'!C210))</f>
        <v>Category C installation</v>
      </c>
    </row>
    <row r="1047" spans="1:11" x14ac:dyDescent="0.3">
      <c r="A1047" t="s">
        <v>1847</v>
      </c>
      <c r="B1047" t="s">
        <v>1855</v>
      </c>
      <c r="C1047">
        <v>9</v>
      </c>
      <c r="D1047" t="s">
        <v>1447</v>
      </c>
      <c r="E1047" t="s">
        <v>1856</v>
      </c>
      <c r="F1047" t="s">
        <v>1737</v>
      </c>
      <c r="K1047" t="str">
        <f>IF(ISBLANK('Q 5'!C211),"",IF('Q 5'!C211="&lt;please select&gt;","",'Q 5'!C211))</f>
        <v>Category C installation</v>
      </c>
    </row>
    <row r="1048" spans="1:11" x14ac:dyDescent="0.3">
      <c r="A1048" t="s">
        <v>1847</v>
      </c>
      <c r="B1048" t="s">
        <v>1855</v>
      </c>
      <c r="C1048">
        <v>10</v>
      </c>
      <c r="D1048" t="s">
        <v>1447</v>
      </c>
      <c r="E1048" t="s">
        <v>1856</v>
      </c>
      <c r="F1048" t="s">
        <v>1737</v>
      </c>
      <c r="K1048" t="str">
        <f>IF(ISBLANK('Q 5'!C212),"",IF('Q 5'!C212="&lt;please select&gt;","",'Q 5'!C212))</f>
        <v>Category A installation</v>
      </c>
    </row>
    <row r="1049" spans="1:11" x14ac:dyDescent="0.3">
      <c r="A1049" t="s">
        <v>1847</v>
      </c>
      <c r="B1049" t="s">
        <v>1855</v>
      </c>
      <c r="C1049">
        <v>11</v>
      </c>
      <c r="D1049" t="s">
        <v>1447</v>
      </c>
      <c r="E1049" t="s">
        <v>1856</v>
      </c>
      <c r="F1049" t="s">
        <v>1737</v>
      </c>
      <c r="K1049" t="str">
        <f>IF(ISBLANK('Q 5'!C213),"",IF('Q 5'!C213="&lt;please select&gt;","",'Q 5'!C213))</f>
        <v>Category B installation</v>
      </c>
    </row>
    <row r="1050" spans="1:11" x14ac:dyDescent="0.3">
      <c r="A1050" t="s">
        <v>1847</v>
      </c>
      <c r="B1050" t="s">
        <v>1855</v>
      </c>
      <c r="C1050">
        <v>12</v>
      </c>
      <c r="D1050" t="s">
        <v>1447</v>
      </c>
      <c r="E1050" t="s">
        <v>1856</v>
      </c>
      <c r="F1050" t="s">
        <v>1737</v>
      </c>
      <c r="K1050" t="str">
        <f>IF(ISBLANK('Q 5'!C214),"",IF('Q 5'!C214="&lt;please select&gt;","",'Q 5'!C214))</f>
        <v>Category B installation</v>
      </c>
    </row>
    <row r="1051" spans="1:11" x14ac:dyDescent="0.3">
      <c r="A1051" t="s">
        <v>1847</v>
      </c>
      <c r="B1051" t="s">
        <v>1855</v>
      </c>
      <c r="C1051">
        <v>13</v>
      </c>
      <c r="D1051" t="s">
        <v>1447</v>
      </c>
      <c r="E1051" t="s">
        <v>1856</v>
      </c>
      <c r="F1051" t="s">
        <v>1737</v>
      </c>
      <c r="K1051" t="str">
        <f>IF(ISBLANK('Q 5'!C215),"",IF('Q 5'!C215="&lt;please select&gt;","",'Q 5'!C215))</f>
        <v>Category B installation</v>
      </c>
    </row>
    <row r="1052" spans="1:11" x14ac:dyDescent="0.3">
      <c r="A1052" t="s">
        <v>1847</v>
      </c>
      <c r="B1052" t="s">
        <v>1855</v>
      </c>
      <c r="C1052">
        <v>14</v>
      </c>
      <c r="D1052" t="s">
        <v>1447</v>
      </c>
      <c r="E1052" t="s">
        <v>1856</v>
      </c>
      <c r="F1052" t="s">
        <v>1737</v>
      </c>
      <c r="K1052" t="str">
        <f>IF(ISBLANK('Q 5'!C216),"",IF('Q 5'!C216="&lt;please select&gt;","",'Q 5'!C216))</f>
        <v>Category B installation</v>
      </c>
    </row>
    <row r="1053" spans="1:11" x14ac:dyDescent="0.3">
      <c r="A1053" t="s">
        <v>1847</v>
      </c>
      <c r="B1053" t="s">
        <v>1855</v>
      </c>
      <c r="C1053">
        <v>15</v>
      </c>
      <c r="D1053" t="s">
        <v>1447</v>
      </c>
      <c r="E1053" t="s">
        <v>1856</v>
      </c>
      <c r="F1053" t="s">
        <v>1737</v>
      </c>
      <c r="K1053" t="str">
        <f>IF(ISBLANK('Q 5'!C217),"",IF('Q 5'!C217="&lt;please select&gt;","",'Q 5'!C217))</f>
        <v>Category B installation</v>
      </c>
    </row>
    <row r="1054" spans="1:11" x14ac:dyDescent="0.3">
      <c r="A1054" t="s">
        <v>1847</v>
      </c>
      <c r="B1054" t="s">
        <v>1855</v>
      </c>
      <c r="C1054">
        <v>16</v>
      </c>
      <c r="D1054" t="s">
        <v>1447</v>
      </c>
      <c r="E1054" t="s">
        <v>1856</v>
      </c>
      <c r="F1054" t="s">
        <v>1737</v>
      </c>
      <c r="K1054" t="str">
        <f>IF(ISBLANK('Q 5'!C218),"",IF('Q 5'!C218="&lt;please select&gt;","",'Q 5'!C218))</f>
        <v>Category B installation</v>
      </c>
    </row>
    <row r="1055" spans="1:11" x14ac:dyDescent="0.3">
      <c r="A1055" t="s">
        <v>1847</v>
      </c>
      <c r="B1055" t="s">
        <v>1855</v>
      </c>
      <c r="C1055">
        <v>17</v>
      </c>
      <c r="D1055" t="s">
        <v>1447</v>
      </c>
      <c r="E1055" t="s">
        <v>1856</v>
      </c>
      <c r="F1055" t="s">
        <v>1737</v>
      </c>
      <c r="K1055" t="str">
        <f>IF(ISBLANK('Q 5'!C219),"",IF('Q 5'!C219="&lt;please select&gt;","",'Q 5'!C219))</f>
        <v>Category B installation</v>
      </c>
    </row>
    <row r="1056" spans="1:11" x14ac:dyDescent="0.3">
      <c r="A1056" t="s">
        <v>1847</v>
      </c>
      <c r="B1056" t="s">
        <v>1855</v>
      </c>
      <c r="C1056">
        <v>18</v>
      </c>
      <c r="D1056" t="s">
        <v>1447</v>
      </c>
      <c r="E1056" t="s">
        <v>1856</v>
      </c>
      <c r="F1056" t="s">
        <v>1737</v>
      </c>
      <c r="K1056" t="str">
        <f>IF(ISBLANK('Q 5'!C220),"",IF('Q 5'!C220="&lt;please select&gt;","",'Q 5'!C220))</f>
        <v>Category B installation</v>
      </c>
    </row>
    <row r="1057" spans="1:11" x14ac:dyDescent="0.3">
      <c r="A1057" t="s">
        <v>1847</v>
      </c>
      <c r="B1057" t="s">
        <v>1855</v>
      </c>
      <c r="C1057">
        <v>19</v>
      </c>
      <c r="D1057" t="s">
        <v>1447</v>
      </c>
      <c r="E1057" t="s">
        <v>1856</v>
      </c>
      <c r="F1057" t="s">
        <v>1737</v>
      </c>
      <c r="K1057" t="str">
        <f>IF(ISBLANK('Q 5'!C221),"",IF('Q 5'!C221="&lt;please select&gt;","",'Q 5'!C221))</f>
        <v>Category B installation</v>
      </c>
    </row>
    <row r="1058" spans="1:11" x14ac:dyDescent="0.3">
      <c r="A1058" t="s">
        <v>1847</v>
      </c>
      <c r="B1058" t="s">
        <v>1855</v>
      </c>
      <c r="C1058">
        <v>20</v>
      </c>
      <c r="D1058" t="s">
        <v>1447</v>
      </c>
      <c r="E1058" t="s">
        <v>1856</v>
      </c>
      <c r="F1058" t="s">
        <v>1737</v>
      </c>
      <c r="K1058" t="str">
        <f>IF(ISBLANK('Q 5'!C222),"",IF('Q 5'!C222="&lt;please select&gt;","",'Q 5'!C222))</f>
        <v>Category B installation</v>
      </c>
    </row>
    <row r="1059" spans="1:11" x14ac:dyDescent="0.3">
      <c r="A1059" t="s">
        <v>1847</v>
      </c>
      <c r="B1059" t="s">
        <v>1855</v>
      </c>
      <c r="C1059">
        <v>21</v>
      </c>
      <c r="D1059" t="s">
        <v>1447</v>
      </c>
      <c r="E1059" t="s">
        <v>1856</v>
      </c>
      <c r="F1059" t="s">
        <v>1737</v>
      </c>
      <c r="K1059" t="str">
        <f>IF(ISBLANK('Q 5'!C223),"",IF('Q 5'!C223="&lt;please select&gt;","",'Q 5'!C223))</f>
        <v>Category B installation</v>
      </c>
    </row>
    <row r="1060" spans="1:11" x14ac:dyDescent="0.3">
      <c r="A1060" t="s">
        <v>1847</v>
      </c>
      <c r="B1060" t="s">
        <v>1855</v>
      </c>
      <c r="C1060">
        <v>22</v>
      </c>
      <c r="D1060" t="s">
        <v>1447</v>
      </c>
      <c r="E1060" t="s">
        <v>1856</v>
      </c>
      <c r="F1060" t="s">
        <v>1737</v>
      </c>
      <c r="K1060" t="str">
        <f>IF(ISBLANK('Q 5'!C224),"",IF('Q 5'!C224="&lt;please select&gt;","",'Q 5'!C224))</f>
        <v>Category B installation</v>
      </c>
    </row>
    <row r="1061" spans="1:11" x14ac:dyDescent="0.3">
      <c r="A1061" t="s">
        <v>1847</v>
      </c>
      <c r="B1061" t="s">
        <v>1855</v>
      </c>
      <c r="C1061">
        <v>23</v>
      </c>
      <c r="D1061" t="s">
        <v>1447</v>
      </c>
      <c r="E1061" t="s">
        <v>1856</v>
      </c>
      <c r="F1061" t="s">
        <v>1737</v>
      </c>
      <c r="K1061" t="str">
        <f>IF(ISBLANK('Q 5'!C225),"",IF('Q 5'!C225="&lt;please select&gt;","",'Q 5'!C225))</f>
        <v>Category B installation</v>
      </c>
    </row>
    <row r="1062" spans="1:11" x14ac:dyDescent="0.3">
      <c r="A1062" t="s">
        <v>1847</v>
      </c>
      <c r="B1062" t="s">
        <v>1855</v>
      </c>
      <c r="C1062">
        <v>24</v>
      </c>
      <c r="D1062" t="s">
        <v>1447</v>
      </c>
      <c r="E1062" t="s">
        <v>1856</v>
      </c>
      <c r="F1062" t="s">
        <v>1737</v>
      </c>
      <c r="K1062" t="str">
        <f>IF(ISBLANK('Q 5'!C226),"",IF('Q 5'!C226="&lt;please select&gt;","",'Q 5'!C226))</f>
        <v>Category B installation</v>
      </c>
    </row>
    <row r="1063" spans="1:11" x14ac:dyDescent="0.3">
      <c r="A1063" t="s">
        <v>1847</v>
      </c>
      <c r="B1063" t="s">
        <v>1855</v>
      </c>
      <c r="C1063">
        <v>25</v>
      </c>
      <c r="D1063" t="s">
        <v>1447</v>
      </c>
      <c r="E1063" t="s">
        <v>1856</v>
      </c>
      <c r="F1063" t="s">
        <v>1737</v>
      </c>
      <c r="K1063" t="str">
        <f>IF(ISBLANK('Q 5'!C227),"",IF('Q 5'!C227="&lt;please select&gt;","",'Q 5'!C227))</f>
        <v>Category B installation</v>
      </c>
    </row>
    <row r="1064" spans="1:11" x14ac:dyDescent="0.3">
      <c r="A1064" t="s">
        <v>1847</v>
      </c>
      <c r="B1064" t="s">
        <v>1855</v>
      </c>
      <c r="C1064">
        <v>26</v>
      </c>
      <c r="D1064" t="s">
        <v>1447</v>
      </c>
      <c r="E1064" t="s">
        <v>1856</v>
      </c>
      <c r="F1064" t="s">
        <v>1737</v>
      </c>
      <c r="K1064" t="str">
        <f>IF(ISBLANK('Q 5'!C228),"",IF('Q 5'!C228="&lt;please select&gt;","",'Q 5'!C228))</f>
        <v/>
      </c>
    </row>
    <row r="1065" spans="1:11" x14ac:dyDescent="0.3">
      <c r="A1065" t="s">
        <v>1847</v>
      </c>
      <c r="B1065" t="s">
        <v>1855</v>
      </c>
      <c r="C1065">
        <v>27</v>
      </c>
      <c r="D1065" t="s">
        <v>1447</v>
      </c>
      <c r="E1065" t="s">
        <v>1856</v>
      </c>
      <c r="F1065" t="s">
        <v>1737</v>
      </c>
      <c r="K1065" t="str">
        <f>IF(ISBLANK('Q 5'!C229),"",IF('Q 5'!C229="&lt;please select&gt;","",'Q 5'!C229))</f>
        <v/>
      </c>
    </row>
    <row r="1066" spans="1:11" x14ac:dyDescent="0.3">
      <c r="A1066" t="s">
        <v>1847</v>
      </c>
      <c r="B1066" t="s">
        <v>1855</v>
      </c>
      <c r="C1066">
        <v>28</v>
      </c>
      <c r="D1066" t="s">
        <v>1447</v>
      </c>
      <c r="E1066" t="s">
        <v>1856</v>
      </c>
      <c r="F1066" t="s">
        <v>1737</v>
      </c>
      <c r="K1066" t="str">
        <f>IF(ISBLANK('Q 5'!C230),"",IF('Q 5'!C230="&lt;please select&gt;","",'Q 5'!C230))</f>
        <v/>
      </c>
    </row>
    <row r="1067" spans="1:11" x14ac:dyDescent="0.3">
      <c r="A1067" t="s">
        <v>1847</v>
      </c>
      <c r="B1067" t="s">
        <v>1855</v>
      </c>
      <c r="C1067">
        <v>29</v>
      </c>
      <c r="D1067" t="s">
        <v>1447</v>
      </c>
      <c r="E1067" t="s">
        <v>1856</v>
      </c>
      <c r="F1067" t="s">
        <v>1737</v>
      </c>
      <c r="K1067" t="str">
        <f>IF(ISBLANK('Q 5'!C231),"",IF('Q 5'!C231="&lt;please select&gt;","",'Q 5'!C231))</f>
        <v/>
      </c>
    </row>
    <row r="1068" spans="1:11" x14ac:dyDescent="0.3">
      <c r="A1068" t="s">
        <v>1847</v>
      </c>
      <c r="B1068" t="s">
        <v>1855</v>
      </c>
      <c r="C1068">
        <v>30</v>
      </c>
      <c r="D1068" t="s">
        <v>1447</v>
      </c>
      <c r="E1068" t="s">
        <v>1856</v>
      </c>
      <c r="F1068" t="s">
        <v>1737</v>
      </c>
      <c r="K1068" t="str">
        <f>IF(ISBLANK('Q 5'!C232),"",IF('Q 5'!C232="&lt;please select&gt;","",'Q 5'!C232))</f>
        <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waste tyres</v>
      </c>
    </row>
    <row r="1840" spans="1:11" x14ac:dyDescent="0.3">
      <c r="A1840" t="s">
        <v>1847</v>
      </c>
      <c r="B1840" t="s">
        <v>1855</v>
      </c>
      <c r="C1840">
        <v>2</v>
      </c>
      <c r="D1840" t="s">
        <v>1447</v>
      </c>
      <c r="E1840" t="s">
        <v>1857</v>
      </c>
      <c r="F1840" t="s">
        <v>1741</v>
      </c>
      <c r="G1840" t="str">
        <f>IF(ISBLANK('Q 5'!H204),"",IF('Q 5'!H204="&lt;please select&gt;","",'Q 5'!H204))</f>
        <v>waste tyres</v>
      </c>
    </row>
    <row r="1841" spans="1:7" x14ac:dyDescent="0.3">
      <c r="A1841" t="s">
        <v>1847</v>
      </c>
      <c r="B1841" t="s">
        <v>1855</v>
      </c>
      <c r="C1841">
        <v>3</v>
      </c>
      <c r="D1841" t="s">
        <v>1447</v>
      </c>
      <c r="E1841" t="s">
        <v>1857</v>
      </c>
      <c r="F1841" t="s">
        <v>1741</v>
      </c>
      <c r="G1841" t="str">
        <f>IF(ISBLANK('Q 5'!H205),"",IF('Q 5'!H205="&lt;please select&gt;","",'Q 5'!H205))</f>
        <v>Vacuum Distillation Off Gas I</v>
      </c>
    </row>
    <row r="1842" spans="1:7" x14ac:dyDescent="0.3">
      <c r="A1842" t="s">
        <v>1847</v>
      </c>
      <c r="B1842" t="s">
        <v>1855</v>
      </c>
      <c r="C1842">
        <v>4</v>
      </c>
      <c r="D1842" t="s">
        <v>1447</v>
      </c>
      <c r="E1842" t="s">
        <v>1857</v>
      </c>
      <c r="F1842" t="s">
        <v>1741</v>
      </c>
      <c r="G1842" t="str">
        <f>IF(ISBLANK('Q 5'!H206),"",IF('Q 5'!H206="&lt;please select&gt;","",'Q 5'!H206))</f>
        <v>Vacuum Distillation Off Gas II</v>
      </c>
    </row>
    <row r="1843" spans="1:7" x14ac:dyDescent="0.3">
      <c r="A1843" t="s">
        <v>1847</v>
      </c>
      <c r="B1843" t="s">
        <v>1855</v>
      </c>
      <c r="C1843">
        <v>5</v>
      </c>
      <c r="D1843" t="s">
        <v>1447</v>
      </c>
      <c r="E1843" t="s">
        <v>1857</v>
      </c>
      <c r="F1843" t="s">
        <v>1741</v>
      </c>
      <c r="G1843" t="str">
        <f>IF(ISBLANK('Q 5'!H207),"",IF('Q 5'!H207="&lt;please select&gt;","",'Q 5'!H207))</f>
        <v>Tail Gas Sulfur Recovery I</v>
      </c>
    </row>
    <row r="1844" spans="1:7" x14ac:dyDescent="0.3">
      <c r="A1844" t="s">
        <v>1847</v>
      </c>
      <c r="B1844" t="s">
        <v>1855</v>
      </c>
      <c r="C1844">
        <v>6</v>
      </c>
      <c r="D1844" t="s">
        <v>1447</v>
      </c>
      <c r="E1844" t="s">
        <v>1857</v>
      </c>
      <c r="F1844" t="s">
        <v>1741</v>
      </c>
      <c r="G1844" t="str">
        <f>IF(ISBLANK('Q 5'!H208),"",IF('Q 5'!H208="&lt;please select&gt;","",'Q 5'!H208))</f>
        <v>Tail Gas Sulfur Recovery II</v>
      </c>
    </row>
    <row r="1845" spans="1:7" x14ac:dyDescent="0.3">
      <c r="A1845" t="s">
        <v>1847</v>
      </c>
      <c r="B1845" t="s">
        <v>1855</v>
      </c>
      <c r="C1845">
        <v>7</v>
      </c>
      <c r="D1845" t="s">
        <v>1447</v>
      </c>
      <c r="E1845" t="s">
        <v>1857</v>
      </c>
      <c r="F1845" t="s">
        <v>1741</v>
      </c>
      <c r="G1845" t="str">
        <f>IF(ISBLANK('Q 5'!H209),"",IF('Q 5'!H209="&lt;please select&gt;","",'Q 5'!H209))</f>
        <v>Acid Soluble Oil</v>
      </c>
    </row>
    <row r="1846" spans="1:7" x14ac:dyDescent="0.3">
      <c r="A1846" t="s">
        <v>1847</v>
      </c>
      <c r="B1846" t="s">
        <v>1855</v>
      </c>
      <c r="C1846">
        <v>8</v>
      </c>
      <c r="D1846" t="s">
        <v>1447</v>
      </c>
      <c r="E1846" t="s">
        <v>1857</v>
      </c>
      <c r="F1846" t="s">
        <v>1741</v>
      </c>
      <c r="G1846" t="str">
        <f>IF(ISBLANK('Q 5'!H210),"",IF('Q 5'!H210="&lt;please select&gt;","",'Q 5'!H210))</f>
        <v>Acid gases</v>
      </c>
    </row>
    <row r="1847" spans="1:7" x14ac:dyDescent="0.3">
      <c r="A1847" t="s">
        <v>1847</v>
      </c>
      <c r="B1847" t="s">
        <v>1855</v>
      </c>
      <c r="C1847">
        <v>9</v>
      </c>
      <c r="D1847" t="s">
        <v>1447</v>
      </c>
      <c r="E1847" t="s">
        <v>1857</v>
      </c>
      <c r="F1847" t="s">
        <v>1741</v>
      </c>
      <c r="G1847" t="str">
        <f>IF(ISBLANK('Q 5'!H211),"",IF('Q 5'!H211="&lt;please select&gt;","",'Q 5'!H211))</f>
        <v>Waste Gases</v>
      </c>
    </row>
    <row r="1848" spans="1:7" x14ac:dyDescent="0.3">
      <c r="A1848" t="s">
        <v>1847</v>
      </c>
      <c r="B1848" t="s">
        <v>1855</v>
      </c>
      <c r="C1848">
        <v>10</v>
      </c>
      <c r="D1848" t="s">
        <v>1447</v>
      </c>
      <c r="E1848" t="s">
        <v>1857</v>
      </c>
      <c r="F1848" t="s">
        <v>1741</v>
      </c>
      <c r="G1848" t="str">
        <f>IF(ISBLANK('Q 5'!H212),"",IF('Q 5'!H212="&lt;please select&gt;","",'Q 5'!H212))</f>
        <v>Black liquor</v>
      </c>
    </row>
    <row r="1849" spans="1:7" x14ac:dyDescent="0.3">
      <c r="A1849" t="s">
        <v>1847</v>
      </c>
      <c r="B1849" t="s">
        <v>1855</v>
      </c>
      <c r="C1849">
        <v>11</v>
      </c>
      <c r="D1849" t="s">
        <v>1447</v>
      </c>
      <c r="E1849" t="s">
        <v>1857</v>
      </c>
      <c r="F1849" t="s">
        <v>1741</v>
      </c>
      <c r="G1849" t="str">
        <f>IF(ISBLANK('Q 5'!H213),"",IF('Q 5'!H213="&lt;please select&gt;","",'Q 5'!H213))</f>
        <v>Black liquor</v>
      </c>
    </row>
    <row r="1850" spans="1:7" x14ac:dyDescent="0.3">
      <c r="A1850" t="s">
        <v>1847</v>
      </c>
      <c r="B1850" t="s">
        <v>1855</v>
      </c>
      <c r="C1850">
        <v>12</v>
      </c>
      <c r="D1850" t="s">
        <v>1447</v>
      </c>
      <c r="E1850" t="s">
        <v>1857</v>
      </c>
      <c r="F1850" t="s">
        <v>1741</v>
      </c>
      <c r="G1850" t="str">
        <f>IF(ISBLANK('Q 5'!H214),"",IF('Q 5'!H214="&lt;please select&gt;","",'Q 5'!H214))</f>
        <v>methanol</v>
      </c>
    </row>
    <row r="1851" spans="1:7" x14ac:dyDescent="0.3">
      <c r="A1851" t="s">
        <v>1847</v>
      </c>
      <c r="B1851" t="s">
        <v>1855</v>
      </c>
      <c r="C1851">
        <v>13</v>
      </c>
      <c r="D1851" t="s">
        <v>1447</v>
      </c>
      <c r="E1851" t="s">
        <v>1857</v>
      </c>
      <c r="F1851" t="s">
        <v>1741</v>
      </c>
      <c r="G1851" t="str">
        <f>IF(ISBLANK('Q 5'!H215),"",IF('Q 5'!H215="&lt;please select&gt;","",'Q 5'!H215))</f>
        <v>gaseous effluent - CO stream</v>
      </c>
    </row>
    <row r="1852" spans="1:7" x14ac:dyDescent="0.3">
      <c r="A1852" t="s">
        <v>1847</v>
      </c>
      <c r="B1852" t="s">
        <v>1855</v>
      </c>
      <c r="C1852">
        <v>14</v>
      </c>
      <c r="D1852" t="s">
        <v>1447</v>
      </c>
      <c r="E1852" t="s">
        <v>1857</v>
      </c>
      <c r="F1852" t="s">
        <v>1741</v>
      </c>
      <c r="G1852" t="str">
        <f>IF(ISBLANK('Q 5'!H216),"",IF('Q 5'!H216="&lt;please select&gt;","",'Q 5'!H216))</f>
        <v>gaseous effluent - HCl stream</v>
      </c>
    </row>
    <row r="1853" spans="1:7" x14ac:dyDescent="0.3">
      <c r="A1853" t="s">
        <v>1847</v>
      </c>
      <c r="B1853" t="s">
        <v>1855</v>
      </c>
      <c r="C1853">
        <v>15</v>
      </c>
      <c r="D1853" t="s">
        <v>1447</v>
      </c>
      <c r="E1853" t="s">
        <v>1857</v>
      </c>
      <c r="F1853" t="s">
        <v>1741</v>
      </c>
      <c r="G1853" t="str">
        <f>IF(ISBLANK('Q 5'!H217),"",IF('Q 5'!H217="&lt;please select&gt;","",'Q 5'!H217))</f>
        <v>liquid effluent - 070103*</v>
      </c>
    </row>
    <row r="1854" spans="1:7" x14ac:dyDescent="0.3">
      <c r="A1854" t="s">
        <v>1847</v>
      </c>
      <c r="B1854" t="s">
        <v>1855</v>
      </c>
      <c r="C1854">
        <v>16</v>
      </c>
      <c r="D1854" t="s">
        <v>1447</v>
      </c>
      <c r="E1854" t="s">
        <v>1857</v>
      </c>
      <c r="F1854" t="s">
        <v>1741</v>
      </c>
      <c r="G1854" t="str">
        <f>IF(ISBLANK('Q 5'!H218),"",IF('Q 5'!H218="&lt;please select&gt;","",'Q 5'!H218))</f>
        <v>liquid effluent - 070104*</v>
      </c>
    </row>
    <row r="1855" spans="1:7" x14ac:dyDescent="0.3">
      <c r="A1855" t="s">
        <v>1847</v>
      </c>
      <c r="B1855" t="s">
        <v>1855</v>
      </c>
      <c r="C1855">
        <v>17</v>
      </c>
      <c r="D1855" t="s">
        <v>1447</v>
      </c>
      <c r="E1855" t="s">
        <v>1857</v>
      </c>
      <c r="F1855" t="s">
        <v>1741</v>
      </c>
      <c r="G1855" t="str">
        <f>IF(ISBLANK('Q 5'!H219),"",IF('Q 5'!H219="&lt;please select&gt;","",'Q 5'!H219))</f>
        <v>liquid effluent - 070107*</v>
      </c>
    </row>
    <row r="1856" spans="1:7" x14ac:dyDescent="0.3">
      <c r="A1856" t="s">
        <v>1847</v>
      </c>
      <c r="B1856" t="s">
        <v>1855</v>
      </c>
      <c r="C1856">
        <v>18</v>
      </c>
      <c r="D1856" t="s">
        <v>1447</v>
      </c>
      <c r="E1856" t="s">
        <v>1857</v>
      </c>
      <c r="F1856" t="s">
        <v>1741</v>
      </c>
      <c r="G1856" t="str">
        <f>IF(ISBLANK('Q 5'!H220),"",IF('Q 5'!H220="&lt;please select&gt;","",'Q 5'!H220))</f>
        <v>gaseous effluent - R-1019/R-1035</v>
      </c>
    </row>
    <row r="1857" spans="1:7" x14ac:dyDescent="0.3">
      <c r="A1857" t="s">
        <v>1847</v>
      </c>
      <c r="B1857" t="s">
        <v>1855</v>
      </c>
      <c r="C1857">
        <v>19</v>
      </c>
      <c r="D1857" t="s">
        <v>1447</v>
      </c>
      <c r="E1857" t="s">
        <v>1857</v>
      </c>
      <c r="F1857" t="s">
        <v>1741</v>
      </c>
      <c r="G1857" t="str">
        <f>IF(ISBLANK('Q 5'!H221),"",IF('Q 5'!H221="&lt;please select&gt;","",'Q 5'!H221))</f>
        <v>gaseous effluent - R-5004</v>
      </c>
    </row>
    <row r="1858" spans="1:7" x14ac:dyDescent="0.3">
      <c r="A1858" t="s">
        <v>1847</v>
      </c>
      <c r="B1858" t="s">
        <v>1855</v>
      </c>
      <c r="C1858">
        <v>20</v>
      </c>
      <c r="D1858" t="s">
        <v>1447</v>
      </c>
      <c r="E1858" t="s">
        <v>1857</v>
      </c>
      <c r="F1858" t="s">
        <v>1741</v>
      </c>
      <c r="G1858" t="str">
        <f>IF(ISBLANK('Q 5'!H222),"",IF('Q 5'!H222="&lt;please select&gt;","",'Q 5'!H222))</f>
        <v>gaseous effluent - R-6010</v>
      </c>
    </row>
    <row r="1859" spans="1:7" x14ac:dyDescent="0.3">
      <c r="A1859" t="s">
        <v>1847</v>
      </c>
      <c r="B1859" t="s">
        <v>1855</v>
      </c>
      <c r="C1859">
        <v>21</v>
      </c>
      <c r="D1859" t="s">
        <v>1447</v>
      </c>
      <c r="E1859" t="s">
        <v>1857</v>
      </c>
      <c r="F1859" t="s">
        <v>1741</v>
      </c>
      <c r="G1859" t="str">
        <f>IF(ISBLANK('Q 5'!H223),"",IF('Q 5'!H223="&lt;please select&gt;","",'Q 5'!H223))</f>
        <v>gaseous effluent - R-6012</v>
      </c>
    </row>
    <row r="1860" spans="1:7" x14ac:dyDescent="0.3">
      <c r="A1860" t="s">
        <v>1847</v>
      </c>
      <c r="B1860" t="s">
        <v>1855</v>
      </c>
      <c r="C1860">
        <v>22</v>
      </c>
      <c r="D1860" t="s">
        <v>1447</v>
      </c>
      <c r="E1860" t="s">
        <v>1857</v>
      </c>
      <c r="F1860" t="s">
        <v>1741</v>
      </c>
      <c r="G1860" t="str">
        <f>IF(ISBLANK('Q 5'!H224),"",IF('Q 5'!H224="&lt;please select&gt;","",'Q 5'!H224))</f>
        <v>oxalic acid 10%</v>
      </c>
    </row>
    <row r="1861" spans="1:7" x14ac:dyDescent="0.3">
      <c r="A1861" t="s">
        <v>1847</v>
      </c>
      <c r="B1861" t="s">
        <v>1855</v>
      </c>
      <c r="C1861">
        <v>23</v>
      </c>
      <c r="D1861" t="s">
        <v>1447</v>
      </c>
      <c r="E1861" t="s">
        <v>1857</v>
      </c>
      <c r="F1861" t="s">
        <v>1741</v>
      </c>
      <c r="G1861" t="str">
        <f>IF(ISBLANK('Q 5'!H225),"",IF('Q 5'!H225="&lt;please select&gt;","",'Q 5'!H225))</f>
        <v>n-propyl acetate</v>
      </c>
    </row>
    <row r="1862" spans="1:7" x14ac:dyDescent="0.3">
      <c r="A1862" t="s">
        <v>1847</v>
      </c>
      <c r="B1862" t="s">
        <v>1855</v>
      </c>
      <c r="C1862">
        <v>24</v>
      </c>
      <c r="D1862" t="s">
        <v>1447</v>
      </c>
      <c r="E1862" t="s">
        <v>1857</v>
      </c>
      <c r="F1862" t="s">
        <v>1741</v>
      </c>
      <c r="G1862" t="str">
        <f>IF(ISBLANK('Q 5'!H226),"",IF('Q 5'!H226="&lt;please select&gt;","",'Q 5'!H226))</f>
        <v>Manganese acetate 5%</v>
      </c>
    </row>
    <row r="1863" spans="1:7" x14ac:dyDescent="0.3">
      <c r="A1863" t="s">
        <v>1847</v>
      </c>
      <c r="B1863" t="s">
        <v>1855</v>
      </c>
      <c r="C1863">
        <v>25</v>
      </c>
      <c r="D1863" t="s">
        <v>1447</v>
      </c>
      <c r="E1863" t="s">
        <v>1857</v>
      </c>
      <c r="F1863" t="s">
        <v>1741</v>
      </c>
      <c r="G1863" t="str">
        <f>IF(ISBLANK('Q 5'!H227),"",IF('Q 5'!H227="&lt;please select&gt;","",'Q 5'!H227))</f>
        <v>Cobalt acetate 5%</v>
      </c>
    </row>
    <row r="1864" spans="1:7" x14ac:dyDescent="0.3">
      <c r="A1864" t="s">
        <v>1847</v>
      </c>
      <c r="B1864" t="s">
        <v>1855</v>
      </c>
      <c r="C1864">
        <v>26</v>
      </c>
      <c r="D1864" t="s">
        <v>1447</v>
      </c>
      <c r="E1864" t="s">
        <v>1857</v>
      </c>
      <c r="F1864" t="s">
        <v>1741</v>
      </c>
      <c r="G1864" t="str">
        <f>IF(ISBLANK('Q 5'!H228),"",IF('Q 5'!H228="&lt;please select&gt;","",'Q 5'!H228))</f>
        <v/>
      </c>
    </row>
    <row r="1865" spans="1:7" x14ac:dyDescent="0.3">
      <c r="A1865" t="s">
        <v>1847</v>
      </c>
      <c r="B1865" t="s">
        <v>1855</v>
      </c>
      <c r="C1865">
        <v>27</v>
      </c>
      <c r="D1865" t="s">
        <v>1447</v>
      </c>
      <c r="E1865" t="s">
        <v>1857</v>
      </c>
      <c r="F1865" t="s">
        <v>1741</v>
      </c>
      <c r="G1865" t="str">
        <f>IF(ISBLANK('Q 5'!H229),"",IF('Q 5'!H229="&lt;please select&gt;","",'Q 5'!H229))</f>
        <v/>
      </c>
    </row>
    <row r="1866" spans="1:7" x14ac:dyDescent="0.3">
      <c r="A1866" t="s">
        <v>1847</v>
      </c>
      <c r="B1866" t="s">
        <v>1855</v>
      </c>
      <c r="C1866">
        <v>28</v>
      </c>
      <c r="D1866" t="s">
        <v>1447</v>
      </c>
      <c r="E1866" t="s">
        <v>1857</v>
      </c>
      <c r="F1866" t="s">
        <v>1741</v>
      </c>
      <c r="G1866" t="str">
        <f>IF(ISBLANK('Q 5'!H230),"",IF('Q 5'!H230="&lt;please select&gt;","",'Q 5'!H230))</f>
        <v/>
      </c>
    </row>
    <row r="1867" spans="1:7" x14ac:dyDescent="0.3">
      <c r="A1867" t="s">
        <v>1847</v>
      </c>
      <c r="B1867" t="s">
        <v>1855</v>
      </c>
      <c r="C1867">
        <v>29</v>
      </c>
      <c r="D1867" t="s">
        <v>1447</v>
      </c>
      <c r="E1867" t="s">
        <v>1857</v>
      </c>
      <c r="F1867" t="s">
        <v>1741</v>
      </c>
      <c r="G1867" t="str">
        <f>IF(ISBLANK('Q 5'!H231),"",IF('Q 5'!H231="&lt;please select&gt;","",'Q 5'!H231))</f>
        <v/>
      </c>
    </row>
    <row r="1868" spans="1:7" x14ac:dyDescent="0.3">
      <c r="A1868" t="s">
        <v>1847</v>
      </c>
      <c r="B1868" t="s">
        <v>1855</v>
      </c>
      <c r="C1868">
        <v>30</v>
      </c>
      <c r="D1868" t="s">
        <v>1447</v>
      </c>
      <c r="E1868" t="s">
        <v>1857</v>
      </c>
      <c r="F1868" t="s">
        <v>1741</v>
      </c>
      <c r="G1868" t="str">
        <f>IF(ISBLANK('Q 5'!H232),"",IF('Q 5'!H232="&lt;please select&gt;","",'Q 5'!H232))</f>
        <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4</v>
      </c>
    </row>
    <row r="2640" spans="1:8" x14ac:dyDescent="0.3">
      <c r="A2640" t="s">
        <v>1847</v>
      </c>
      <c r="B2640" t="s">
        <v>1855</v>
      </c>
      <c r="C2640">
        <v>2</v>
      </c>
      <c r="D2640" t="s">
        <v>1447</v>
      </c>
      <c r="E2640" t="s">
        <v>1858</v>
      </c>
      <c r="F2640" t="s">
        <v>1748</v>
      </c>
      <c r="H2640" s="165" t="str">
        <f>IF(ISBLANK('Q 5'!I204),"",IF('Q 5'!I204="&lt;please select&gt;","",'Q 5'!I204))</f>
        <v>4</v>
      </c>
    </row>
    <row r="2641" spans="1:8" x14ac:dyDescent="0.3">
      <c r="A2641" t="s">
        <v>1847</v>
      </c>
      <c r="B2641" t="s">
        <v>1855</v>
      </c>
      <c r="C2641">
        <v>3</v>
      </c>
      <c r="D2641" t="s">
        <v>1447</v>
      </c>
      <c r="E2641" t="s">
        <v>1858</v>
      </c>
      <c r="F2641" t="s">
        <v>1748</v>
      </c>
      <c r="H2641" s="165" t="str">
        <f>IF(ISBLANK('Q 5'!I205),"",IF('Q 5'!I205="&lt;please select&gt;","",'Q 5'!I205))</f>
        <v>1</v>
      </c>
    </row>
    <row r="2642" spans="1:8" x14ac:dyDescent="0.3">
      <c r="A2642" t="s">
        <v>1847</v>
      </c>
      <c r="B2642" t="s">
        <v>1855</v>
      </c>
      <c r="C2642">
        <v>4</v>
      </c>
      <c r="D2642" t="s">
        <v>1447</v>
      </c>
      <c r="E2642" t="s">
        <v>1858</v>
      </c>
      <c r="F2642" t="s">
        <v>1748</v>
      </c>
      <c r="H2642" s="165" t="str">
        <f>IF(ISBLANK('Q 5'!I206),"",IF('Q 5'!I206="&lt;please select&gt;","",'Q 5'!I206))</f>
        <v>1</v>
      </c>
    </row>
    <row r="2643" spans="1:8" x14ac:dyDescent="0.3">
      <c r="A2643" t="s">
        <v>1847</v>
      </c>
      <c r="B2643" t="s">
        <v>1855</v>
      </c>
      <c r="C2643">
        <v>5</v>
      </c>
      <c r="D2643" t="s">
        <v>1447</v>
      </c>
      <c r="E2643" t="s">
        <v>1858</v>
      </c>
      <c r="F2643" t="s">
        <v>1748</v>
      </c>
      <c r="H2643" s="165" t="str">
        <f>IF(ISBLANK('Q 5'!I207),"",IF('Q 5'!I207="&lt;please select&gt;","",'Q 5'!I207))</f>
        <v>1</v>
      </c>
    </row>
    <row r="2644" spans="1:8" x14ac:dyDescent="0.3">
      <c r="A2644" t="s">
        <v>1847</v>
      </c>
      <c r="B2644" t="s">
        <v>1855</v>
      </c>
      <c r="C2644">
        <v>6</v>
      </c>
      <c r="D2644" t="s">
        <v>1447</v>
      </c>
      <c r="E2644" t="s">
        <v>1858</v>
      </c>
      <c r="F2644" t="s">
        <v>1748</v>
      </c>
      <c r="H2644" s="165" t="str">
        <f>IF(ISBLANK('Q 5'!I208),"",IF('Q 5'!I208="&lt;please select&gt;","",'Q 5'!I208))</f>
        <v>1</v>
      </c>
    </row>
    <row r="2645" spans="1:8" x14ac:dyDescent="0.3">
      <c r="A2645" t="s">
        <v>1847</v>
      </c>
      <c r="B2645" t="s">
        <v>1855</v>
      </c>
      <c r="C2645">
        <v>7</v>
      </c>
      <c r="D2645" t="s">
        <v>1447</v>
      </c>
      <c r="E2645" t="s">
        <v>1858</v>
      </c>
      <c r="F2645" t="s">
        <v>1748</v>
      </c>
      <c r="H2645" s="165" t="str">
        <f>IF(ISBLANK('Q 5'!I209),"",IF('Q 5'!I209="&lt;please select&gt;","",'Q 5'!I209))</f>
        <v>1</v>
      </c>
    </row>
    <row r="2646" spans="1:8" x14ac:dyDescent="0.3">
      <c r="A2646" t="s">
        <v>1847</v>
      </c>
      <c r="B2646" t="s">
        <v>1855</v>
      </c>
      <c r="C2646">
        <v>8</v>
      </c>
      <c r="D2646" t="s">
        <v>1447</v>
      </c>
      <c r="E2646" t="s">
        <v>1858</v>
      </c>
      <c r="F2646" t="s">
        <v>1748</v>
      </c>
      <c r="H2646" s="165" t="str">
        <f>IF(ISBLANK('Q 5'!I210),"",IF('Q 5'!I210="&lt;please select&gt;","",'Q 5'!I210))</f>
        <v>1</v>
      </c>
    </row>
    <row r="2647" spans="1:8" x14ac:dyDescent="0.3">
      <c r="A2647" t="s">
        <v>1847</v>
      </c>
      <c r="B2647" t="s">
        <v>1855</v>
      </c>
      <c r="C2647">
        <v>9</v>
      </c>
      <c r="D2647" t="s">
        <v>1447</v>
      </c>
      <c r="E2647" t="s">
        <v>1858</v>
      </c>
      <c r="F2647" t="s">
        <v>1748</v>
      </c>
      <c r="H2647" s="165" t="str">
        <f>IF(ISBLANK('Q 5'!I211),"",IF('Q 5'!I211="&lt;please select&gt;","",'Q 5'!I211))</f>
        <v>1</v>
      </c>
    </row>
    <row r="2648" spans="1:8" x14ac:dyDescent="0.3">
      <c r="A2648" t="s">
        <v>1847</v>
      </c>
      <c r="B2648" t="s">
        <v>1855</v>
      </c>
      <c r="C2648">
        <v>10</v>
      </c>
      <c r="D2648" t="s">
        <v>1447</v>
      </c>
      <c r="E2648" t="s">
        <v>1858</v>
      </c>
      <c r="F2648" t="s">
        <v>1748</v>
      </c>
      <c r="H2648" s="165" t="str">
        <f>IF(ISBLANK('Q 5'!I212),"",IF('Q 5'!I212="&lt;please select&gt;","",'Q 5'!I212))</f>
        <v>1</v>
      </c>
    </row>
    <row r="2649" spans="1:8" x14ac:dyDescent="0.3">
      <c r="A2649" t="s">
        <v>1847</v>
      </c>
      <c r="B2649" t="s">
        <v>1855</v>
      </c>
      <c r="C2649">
        <v>11</v>
      </c>
      <c r="D2649" t="s">
        <v>1447</v>
      </c>
      <c r="E2649" t="s">
        <v>1858</v>
      </c>
      <c r="F2649" t="s">
        <v>1748</v>
      </c>
      <c r="H2649" s="165" t="str">
        <f>IF(ISBLANK('Q 5'!I213),"",IF('Q 5'!I213="&lt;please select&gt;","",'Q 5'!I213))</f>
        <v>2</v>
      </c>
    </row>
    <row r="2650" spans="1:8" x14ac:dyDescent="0.3">
      <c r="A2650" t="s">
        <v>1847</v>
      </c>
      <c r="B2650" t="s">
        <v>1855</v>
      </c>
      <c r="C2650">
        <v>12</v>
      </c>
      <c r="D2650" t="s">
        <v>1447</v>
      </c>
      <c r="E2650" t="s">
        <v>1858</v>
      </c>
      <c r="F2650" t="s">
        <v>1748</v>
      </c>
      <c r="H2650" s="165" t="str">
        <f>IF(ISBLANK('Q 5'!I214),"",IF('Q 5'!I214="&lt;please select&gt;","",'Q 5'!I214))</f>
        <v>1</v>
      </c>
    </row>
    <row r="2651" spans="1:8" x14ac:dyDescent="0.3">
      <c r="A2651" t="s">
        <v>1847</v>
      </c>
      <c r="B2651" t="s">
        <v>1855</v>
      </c>
      <c r="C2651">
        <v>13</v>
      </c>
      <c r="D2651" t="s">
        <v>1447</v>
      </c>
      <c r="E2651" t="s">
        <v>1858</v>
      </c>
      <c r="F2651" t="s">
        <v>1748</v>
      </c>
      <c r="H2651" s="165" t="str">
        <f>IF(ISBLANK('Q 5'!I215),"",IF('Q 5'!I215="&lt;please select&gt;","",'Q 5'!I215))</f>
        <v>1</v>
      </c>
    </row>
    <row r="2652" spans="1:8" x14ac:dyDescent="0.3">
      <c r="A2652" t="s">
        <v>1847</v>
      </c>
      <c r="B2652" t="s">
        <v>1855</v>
      </c>
      <c r="C2652">
        <v>14</v>
      </c>
      <c r="D2652" t="s">
        <v>1447</v>
      </c>
      <c r="E2652" t="s">
        <v>1858</v>
      </c>
      <c r="F2652" t="s">
        <v>1748</v>
      </c>
      <c r="H2652" s="165" t="str">
        <f>IF(ISBLANK('Q 5'!I216),"",IF('Q 5'!I216="&lt;please select&gt;","",'Q 5'!I216))</f>
        <v>1</v>
      </c>
    </row>
    <row r="2653" spans="1:8" x14ac:dyDescent="0.3">
      <c r="A2653" t="s">
        <v>1847</v>
      </c>
      <c r="B2653" t="s">
        <v>1855</v>
      </c>
      <c r="C2653">
        <v>15</v>
      </c>
      <c r="D2653" t="s">
        <v>1447</v>
      </c>
      <c r="E2653" t="s">
        <v>1858</v>
      </c>
      <c r="F2653" t="s">
        <v>1748</v>
      </c>
      <c r="H2653" s="165" t="str">
        <f>IF(ISBLANK('Q 5'!I217),"",IF('Q 5'!I217="&lt;please select&gt;","",'Q 5'!I217))</f>
        <v>1</v>
      </c>
    </row>
    <row r="2654" spans="1:8" x14ac:dyDescent="0.3">
      <c r="A2654" t="s">
        <v>1847</v>
      </c>
      <c r="B2654" t="s">
        <v>1855</v>
      </c>
      <c r="C2654">
        <v>16</v>
      </c>
      <c r="D2654" t="s">
        <v>1447</v>
      </c>
      <c r="E2654" t="s">
        <v>1858</v>
      </c>
      <c r="F2654" t="s">
        <v>1748</v>
      </c>
      <c r="H2654" s="165" t="str">
        <f>IF(ISBLANK('Q 5'!I218),"",IF('Q 5'!I218="&lt;please select&gt;","",'Q 5'!I218))</f>
        <v>1</v>
      </c>
    </row>
    <row r="2655" spans="1:8" x14ac:dyDescent="0.3">
      <c r="A2655" t="s">
        <v>1847</v>
      </c>
      <c r="B2655" t="s">
        <v>1855</v>
      </c>
      <c r="C2655">
        <v>17</v>
      </c>
      <c r="D2655" t="s">
        <v>1447</v>
      </c>
      <c r="E2655" t="s">
        <v>1858</v>
      </c>
      <c r="F2655" t="s">
        <v>1748</v>
      </c>
      <c r="H2655" s="165" t="str">
        <f>IF(ISBLANK('Q 5'!I219),"",IF('Q 5'!I219="&lt;please select&gt;","",'Q 5'!I219))</f>
        <v>1</v>
      </c>
    </row>
    <row r="2656" spans="1:8" x14ac:dyDescent="0.3">
      <c r="A2656" t="s">
        <v>1847</v>
      </c>
      <c r="B2656" t="s">
        <v>1855</v>
      </c>
      <c r="C2656">
        <v>18</v>
      </c>
      <c r="D2656" t="s">
        <v>1447</v>
      </c>
      <c r="E2656" t="s">
        <v>1858</v>
      </c>
      <c r="F2656" t="s">
        <v>1748</v>
      </c>
      <c r="H2656" s="165" t="str">
        <f>IF(ISBLANK('Q 5'!I220),"",IF('Q 5'!I220="&lt;please select&gt;","",'Q 5'!I220))</f>
        <v>1</v>
      </c>
    </row>
    <row r="2657" spans="1:8" x14ac:dyDescent="0.3">
      <c r="A2657" t="s">
        <v>1847</v>
      </c>
      <c r="B2657" t="s">
        <v>1855</v>
      </c>
      <c r="C2657">
        <v>19</v>
      </c>
      <c r="D2657" t="s">
        <v>1447</v>
      </c>
      <c r="E2657" t="s">
        <v>1858</v>
      </c>
      <c r="F2657" t="s">
        <v>1748</v>
      </c>
      <c r="H2657" s="165" t="str">
        <f>IF(ISBLANK('Q 5'!I221),"",IF('Q 5'!I221="&lt;please select&gt;","",'Q 5'!I221))</f>
        <v>1</v>
      </c>
    </row>
    <row r="2658" spans="1:8" x14ac:dyDescent="0.3">
      <c r="A2658" t="s">
        <v>1847</v>
      </c>
      <c r="B2658" t="s">
        <v>1855</v>
      </c>
      <c r="C2658">
        <v>20</v>
      </c>
      <c r="D2658" t="s">
        <v>1447</v>
      </c>
      <c r="E2658" t="s">
        <v>1858</v>
      </c>
      <c r="F2658" t="s">
        <v>1748</v>
      </c>
      <c r="H2658" s="165" t="str">
        <f>IF(ISBLANK('Q 5'!I222),"",IF('Q 5'!I222="&lt;please select&gt;","",'Q 5'!I222))</f>
        <v>1</v>
      </c>
    </row>
    <row r="2659" spans="1:8" x14ac:dyDescent="0.3">
      <c r="A2659" t="s">
        <v>1847</v>
      </c>
      <c r="B2659" t="s">
        <v>1855</v>
      </c>
      <c r="C2659">
        <v>21</v>
      </c>
      <c r="D2659" t="s">
        <v>1447</v>
      </c>
      <c r="E2659" t="s">
        <v>1858</v>
      </c>
      <c r="F2659" t="s">
        <v>1748</v>
      </c>
      <c r="H2659" s="165" t="str">
        <f>IF(ISBLANK('Q 5'!I223),"",IF('Q 5'!I223="&lt;please select&gt;","",'Q 5'!I223))</f>
        <v>1</v>
      </c>
    </row>
    <row r="2660" spans="1:8" x14ac:dyDescent="0.3">
      <c r="A2660" t="s">
        <v>1847</v>
      </c>
      <c r="B2660" t="s">
        <v>1855</v>
      </c>
      <c r="C2660">
        <v>22</v>
      </c>
      <c r="D2660" t="s">
        <v>1447</v>
      </c>
      <c r="E2660" t="s">
        <v>1858</v>
      </c>
      <c r="F2660" t="s">
        <v>1748</v>
      </c>
      <c r="H2660" s="165" t="str">
        <f>IF(ISBLANK('Q 5'!I224),"",IF('Q 5'!I224="&lt;please select&gt;","",'Q 5'!I224))</f>
        <v>1</v>
      </c>
    </row>
    <row r="2661" spans="1:8" x14ac:dyDescent="0.3">
      <c r="A2661" t="s">
        <v>1847</v>
      </c>
      <c r="B2661" t="s">
        <v>1855</v>
      </c>
      <c r="C2661">
        <v>23</v>
      </c>
      <c r="D2661" t="s">
        <v>1447</v>
      </c>
      <c r="E2661" t="s">
        <v>1858</v>
      </c>
      <c r="F2661" t="s">
        <v>1748</v>
      </c>
      <c r="H2661" s="165" t="str">
        <f>IF(ISBLANK('Q 5'!I225),"",IF('Q 5'!I225="&lt;please select&gt;","",'Q 5'!I225))</f>
        <v>1</v>
      </c>
    </row>
    <row r="2662" spans="1:8" x14ac:dyDescent="0.3">
      <c r="A2662" t="s">
        <v>1847</v>
      </c>
      <c r="B2662" t="s">
        <v>1855</v>
      </c>
      <c r="C2662">
        <v>24</v>
      </c>
      <c r="D2662" t="s">
        <v>1447</v>
      </c>
      <c r="E2662" t="s">
        <v>1858</v>
      </c>
      <c r="F2662" t="s">
        <v>1748</v>
      </c>
      <c r="H2662" s="165" t="str">
        <f>IF(ISBLANK('Q 5'!I226),"",IF('Q 5'!I226="&lt;please select&gt;","",'Q 5'!I226))</f>
        <v>1</v>
      </c>
    </row>
    <row r="2663" spans="1:8" x14ac:dyDescent="0.3">
      <c r="A2663" t="s">
        <v>1847</v>
      </c>
      <c r="B2663" t="s">
        <v>1855</v>
      </c>
      <c r="C2663">
        <v>25</v>
      </c>
      <c r="D2663" t="s">
        <v>1447</v>
      </c>
      <c r="E2663" t="s">
        <v>1858</v>
      </c>
      <c r="F2663" t="s">
        <v>1748</v>
      </c>
      <c r="H2663" s="165" t="str">
        <f>IF(ISBLANK('Q 5'!I227),"",IF('Q 5'!I227="&lt;please select&gt;","",'Q 5'!I227))</f>
        <v>1</v>
      </c>
    </row>
    <row r="2664" spans="1:8" x14ac:dyDescent="0.3">
      <c r="A2664" t="s">
        <v>1847</v>
      </c>
      <c r="B2664" t="s">
        <v>1855</v>
      </c>
      <c r="C2664">
        <v>26</v>
      </c>
      <c r="D2664" t="s">
        <v>1447</v>
      </c>
      <c r="E2664" t="s">
        <v>1858</v>
      </c>
      <c r="F2664" t="s">
        <v>1748</v>
      </c>
      <c r="H2664" s="165" t="str">
        <f>IF(ISBLANK('Q 5'!I228),"",IF('Q 5'!I228="&lt;please select&gt;","",'Q 5'!I228))</f>
        <v/>
      </c>
    </row>
    <row r="2665" spans="1:8" x14ac:dyDescent="0.3">
      <c r="A2665" t="s">
        <v>1847</v>
      </c>
      <c r="B2665" t="s">
        <v>1855</v>
      </c>
      <c r="C2665">
        <v>27</v>
      </c>
      <c r="D2665" t="s">
        <v>1447</v>
      </c>
      <c r="E2665" t="s">
        <v>1858</v>
      </c>
      <c r="F2665" t="s">
        <v>1748</v>
      </c>
      <c r="H2665" s="165" t="str">
        <f>IF(ISBLANK('Q 5'!I229),"",IF('Q 5'!I229="&lt;please select&gt;","",'Q 5'!I229))</f>
        <v/>
      </c>
    </row>
    <row r="2666" spans="1:8" x14ac:dyDescent="0.3">
      <c r="A2666" t="s">
        <v>1847</v>
      </c>
      <c r="B2666" t="s">
        <v>1855</v>
      </c>
      <c r="C2666">
        <v>28</v>
      </c>
      <c r="D2666" t="s">
        <v>1447</v>
      </c>
      <c r="E2666" t="s">
        <v>1858</v>
      </c>
      <c r="F2666" t="s">
        <v>1748</v>
      </c>
      <c r="H2666" s="165" t="str">
        <f>IF(ISBLANK('Q 5'!I230),"",IF('Q 5'!I230="&lt;please select&gt;","",'Q 5'!I230))</f>
        <v/>
      </c>
    </row>
    <row r="2667" spans="1:8" x14ac:dyDescent="0.3">
      <c r="A2667" t="s">
        <v>1847</v>
      </c>
      <c r="B2667" t="s">
        <v>1855</v>
      </c>
      <c r="C2667">
        <v>29</v>
      </c>
      <c r="D2667" t="s">
        <v>1447</v>
      </c>
      <c r="E2667" t="s">
        <v>1858</v>
      </c>
      <c r="F2667" t="s">
        <v>1748</v>
      </c>
      <c r="H2667" s="165" t="str">
        <f>IF(ISBLANK('Q 5'!I231),"",IF('Q 5'!I231="&lt;please select&gt;","",'Q 5'!I231))</f>
        <v/>
      </c>
    </row>
    <row r="2668" spans="1:8" x14ac:dyDescent="0.3">
      <c r="A2668" t="s">
        <v>1847</v>
      </c>
      <c r="B2668" t="s">
        <v>1855</v>
      </c>
      <c r="C2668">
        <v>30</v>
      </c>
      <c r="D2668" t="s">
        <v>1447</v>
      </c>
      <c r="E2668" t="s">
        <v>1858</v>
      </c>
      <c r="F2668" t="s">
        <v>1748</v>
      </c>
      <c r="H2668" s="165" t="str">
        <f>IF(ISBLANK('Q 5'!I232),"",IF('Q 5'!I232="&lt;please select&gt;","",'Q 5'!I232))</f>
        <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Calculation based methodology</v>
      </c>
    </row>
    <row r="3895" spans="1:11" x14ac:dyDescent="0.3">
      <c r="A3895" t="s">
        <v>1874</v>
      </c>
      <c r="B3895" t="s">
        <v>1875</v>
      </c>
      <c r="C3895">
        <v>2</v>
      </c>
      <c r="D3895" t="s">
        <v>1447</v>
      </c>
      <c r="E3895" t="s">
        <v>1876</v>
      </c>
      <c r="F3895" t="s">
        <v>1737</v>
      </c>
      <c r="K3895" t="str">
        <f>IF(ISBLANK('Q 5'!C1099),"",IF('Q 5'!C1099="&lt;please select&gt;","",'Q 5'!C1099))</f>
        <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24 - Production of pig iron or steel as specified in Annex I of Directive 2003/87/EC</v>
      </c>
    </row>
    <row r="3917" spans="1:11" x14ac:dyDescent="0.3">
      <c r="A3917" t="s">
        <v>1874</v>
      </c>
      <c r="B3917" t="s">
        <v>1875</v>
      </c>
      <c r="C3917">
        <v>2</v>
      </c>
      <c r="D3917" t="s">
        <v>1447</v>
      </c>
      <c r="E3917" t="s">
        <v>1877</v>
      </c>
      <c r="F3917" t="s">
        <v>1737</v>
      </c>
      <c r="K3917" t="str">
        <f>IF(ISBLANK('Q 5'!E1099),"",IF('Q 5'!E1099="&lt;please select&gt;","",'Q 5'!E1099))</f>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2</v>
      </c>
    </row>
    <row r="3939" spans="1:11" x14ac:dyDescent="0.3">
      <c r="A3939" t="s">
        <v>1874</v>
      </c>
      <c r="B3939" t="s">
        <v>1875</v>
      </c>
      <c r="C3939">
        <v>2</v>
      </c>
      <c r="D3939" t="s">
        <v>1447</v>
      </c>
      <c r="E3939" t="s">
        <v>1878</v>
      </c>
      <c r="F3939" t="s">
        <v>1748</v>
      </c>
      <c r="H3939" s="165" t="str">
        <f>IF(ISBLANK('Q 5'!H1099),"",IF('Q 5'!H1099="&lt;please select&gt;","",'Q 5'!H1099))</f>
        <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B</v>
      </c>
    </row>
    <row r="4002" spans="1:11" x14ac:dyDescent="0.3">
      <c r="A4002" t="s">
        <v>1886</v>
      </c>
      <c r="B4002" t="s">
        <v>1887</v>
      </c>
      <c r="C4002">
        <v>2</v>
      </c>
      <c r="D4002" t="s">
        <v>1447</v>
      </c>
      <c r="E4002" t="s">
        <v>1856</v>
      </c>
      <c r="F4002" t="s">
        <v>1737</v>
      </c>
      <c r="K4002" t="str">
        <f>IF(ISBLANK('Q 5'!C1145),"",IF('Q 5'!C1145="&lt;please select&gt;","",'Q 5'!C1145))</f>
        <v>Category C</v>
      </c>
    </row>
    <row r="4003" spans="1:11" x14ac:dyDescent="0.3">
      <c r="A4003" t="s">
        <v>1886</v>
      </c>
      <c r="B4003" t="s">
        <v>1887</v>
      </c>
      <c r="C4003">
        <v>3</v>
      </c>
      <c r="D4003" t="s">
        <v>1447</v>
      </c>
      <c r="E4003" t="s">
        <v>1856</v>
      </c>
      <c r="F4003" t="s">
        <v>1737</v>
      </c>
      <c r="K4003" t="str">
        <f>IF(ISBLANK('Q 5'!C1146),"",IF('Q 5'!C1146="&lt;please select&gt;","",'Q 5'!C1146))</f>
        <v>Category A</v>
      </c>
    </row>
    <row r="4004" spans="1:11" x14ac:dyDescent="0.3">
      <c r="A4004" t="s">
        <v>1886</v>
      </c>
      <c r="B4004" t="s">
        <v>1887</v>
      </c>
      <c r="C4004">
        <v>4</v>
      </c>
      <c r="D4004" t="s">
        <v>1447</v>
      </c>
      <c r="E4004" t="s">
        <v>1856</v>
      </c>
      <c r="F4004" t="s">
        <v>1737</v>
      </c>
      <c r="K4004" t="str">
        <f>IF(ISBLANK('Q 5'!C1147),"",IF('Q 5'!C1147="&lt;please select&gt;","",'Q 5'!C1147))</f>
        <v>Category B</v>
      </c>
    </row>
    <row r="4005" spans="1:11" x14ac:dyDescent="0.3">
      <c r="A4005" t="s">
        <v>1886</v>
      </c>
      <c r="B4005" t="s">
        <v>1887</v>
      </c>
      <c r="C4005">
        <v>5</v>
      </c>
      <c r="D4005" t="s">
        <v>1447</v>
      </c>
      <c r="E4005" t="s">
        <v>1856</v>
      </c>
      <c r="F4005" t="s">
        <v>1737</v>
      </c>
      <c r="K4005" t="str">
        <f>IF(ISBLANK('Q 5'!C1148),"",IF('Q 5'!C1148="&lt;please select&gt;","",'Q 5'!C1148))</f>
        <v>Category A</v>
      </c>
    </row>
    <row r="4006" spans="1:11" x14ac:dyDescent="0.3">
      <c r="A4006" t="s">
        <v>1886</v>
      </c>
      <c r="B4006" t="s">
        <v>1887</v>
      </c>
      <c r="C4006">
        <v>6</v>
      </c>
      <c r="D4006" t="s">
        <v>1447</v>
      </c>
      <c r="E4006" t="s">
        <v>1856</v>
      </c>
      <c r="F4006" t="s">
        <v>1737</v>
      </c>
      <c r="K4006" t="str">
        <f>IF(ISBLANK('Q 5'!C1149),"",IF('Q 5'!C1149="&lt;please select&gt;","",'Q 5'!C1149))</f>
        <v>Category B</v>
      </c>
    </row>
    <row r="4007" spans="1:11" x14ac:dyDescent="0.3">
      <c r="A4007" t="s">
        <v>1886</v>
      </c>
      <c r="B4007" t="s">
        <v>1887</v>
      </c>
      <c r="C4007">
        <v>7</v>
      </c>
      <c r="D4007" t="s">
        <v>1447</v>
      </c>
      <c r="E4007" t="s">
        <v>1856</v>
      </c>
      <c r="F4007" t="s">
        <v>1737</v>
      </c>
      <c r="K4007" t="str">
        <f>IF(ISBLANK('Q 5'!C1150),"",IF('Q 5'!C1150="&lt;please select&gt;","",'Q 5'!C1150))</f>
        <v>Category B</v>
      </c>
    </row>
    <row r="4008" spans="1:11" x14ac:dyDescent="0.3">
      <c r="A4008" t="s">
        <v>1886</v>
      </c>
      <c r="B4008" t="s">
        <v>1887</v>
      </c>
      <c r="C4008">
        <v>8</v>
      </c>
      <c r="D4008" t="s">
        <v>1447</v>
      </c>
      <c r="E4008" t="s">
        <v>1856</v>
      </c>
      <c r="F4008" t="s">
        <v>1737</v>
      </c>
      <c r="K4008" t="str">
        <f>IF(ISBLANK('Q 5'!C1151),"",IF('Q 5'!C1151="&lt;please select&gt;","",'Q 5'!C1151))</f>
        <v>Category B</v>
      </c>
    </row>
    <row r="4009" spans="1:11" x14ac:dyDescent="0.3">
      <c r="A4009" t="s">
        <v>1886</v>
      </c>
      <c r="B4009" t="s">
        <v>1887</v>
      </c>
      <c r="C4009">
        <v>9</v>
      </c>
      <c r="D4009" t="s">
        <v>1447</v>
      </c>
      <c r="E4009" t="s">
        <v>1856</v>
      </c>
      <c r="F4009" t="s">
        <v>1737</v>
      </c>
      <c r="K4009" t="str">
        <f>IF(ISBLANK('Q 5'!C1152),"",IF('Q 5'!C1152="&lt;please select&gt;","",'Q 5'!C1152))</f>
        <v>Category C</v>
      </c>
    </row>
    <row r="4010" spans="1:11" x14ac:dyDescent="0.3">
      <c r="A4010" t="s">
        <v>1886</v>
      </c>
      <c r="B4010" t="s">
        <v>1887</v>
      </c>
      <c r="C4010">
        <v>10</v>
      </c>
      <c r="D4010" t="s">
        <v>1447</v>
      </c>
      <c r="E4010" t="s">
        <v>1856</v>
      </c>
      <c r="F4010" t="s">
        <v>1737</v>
      </c>
      <c r="K4010" t="str">
        <f>IF(ISBLANK('Q 5'!C1153),"",IF('Q 5'!C1153="&lt;please select&gt;","",'Q 5'!C1153))</f>
        <v>Category A</v>
      </c>
    </row>
    <row r="4011" spans="1:11" x14ac:dyDescent="0.3">
      <c r="A4011" t="s">
        <v>1886</v>
      </c>
      <c r="B4011" t="s">
        <v>1887</v>
      </c>
      <c r="C4011">
        <v>11</v>
      </c>
      <c r="D4011" t="s">
        <v>1447</v>
      </c>
      <c r="E4011" t="s">
        <v>1856</v>
      </c>
      <c r="F4011" t="s">
        <v>1737</v>
      </c>
      <c r="K4011" t="str">
        <f>IF(ISBLANK('Q 5'!C1154),"",IF('Q 5'!C1154="&lt;please select&gt;","",'Q 5'!C1154))</f>
        <v>Category C</v>
      </c>
    </row>
    <row r="4012" spans="1:11" x14ac:dyDescent="0.3">
      <c r="A4012" t="s">
        <v>1886</v>
      </c>
      <c r="B4012" t="s">
        <v>1887</v>
      </c>
      <c r="C4012">
        <v>12</v>
      </c>
      <c r="D4012" t="s">
        <v>1447</v>
      </c>
      <c r="E4012" t="s">
        <v>1856</v>
      </c>
      <c r="F4012" t="s">
        <v>1737</v>
      </c>
      <c r="K4012" t="str">
        <f>IF(ISBLANK('Q 5'!C1155),"",IF('Q 5'!C1155="&lt;please select&gt;","",'Q 5'!C1155))</f>
        <v>Category B</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24 - Production of pig iron or steel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 xml:space="preserve">42 - Production of bulk organic chemicals as specified in Annex I of Directive 2003/87/EC </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35 - Production of pulp as specified in Annex I of Directive 2003/87/EC</v>
      </c>
    </row>
    <row r="4075" spans="1:11" x14ac:dyDescent="0.3">
      <c r="A4075" t="s">
        <v>1886</v>
      </c>
      <c r="B4075" t="s">
        <v>1887</v>
      </c>
      <c r="C4075">
        <v>5</v>
      </c>
      <c r="D4075" t="s">
        <v>1447</v>
      </c>
      <c r="E4075" t="s">
        <v>1888</v>
      </c>
      <c r="F4075" t="s">
        <v>1737</v>
      </c>
      <c r="K4075" t="str">
        <f>IF(ISBLANK('Q 5'!D1148),"",IF('Q 5'!D1148="&lt;please select&gt;","",'Q 5'!D1148))</f>
        <v xml:space="preserve">36 - Production of paper or cardboard as specified in Annex I of Directive 2003/87/EC </v>
      </c>
    </row>
    <row r="4076" spans="1:11" x14ac:dyDescent="0.3">
      <c r="A4076" t="s">
        <v>1886</v>
      </c>
      <c r="B4076" t="s">
        <v>1887</v>
      </c>
      <c r="C4076">
        <v>6</v>
      </c>
      <c r="D4076" t="s">
        <v>1447</v>
      </c>
      <c r="E4076" t="s">
        <v>1888</v>
      </c>
      <c r="F4076" t="s">
        <v>1737</v>
      </c>
      <c r="K4076" t="str">
        <f>IF(ISBLANK('Q 5'!D1149),"",IF('Q 5'!D1149="&lt;please select&gt;","",'Q 5'!D1149))</f>
        <v xml:space="preserve">36 - Production of paper or cardboard as specified in Annex I of Directive 2003/87/EC </v>
      </c>
    </row>
    <row r="4077" spans="1:11" x14ac:dyDescent="0.3">
      <c r="A4077" t="s">
        <v>1886</v>
      </c>
      <c r="B4077" t="s">
        <v>1887</v>
      </c>
      <c r="C4077">
        <v>7</v>
      </c>
      <c r="D4077" t="s">
        <v>1447</v>
      </c>
      <c r="E4077" t="s">
        <v>1888</v>
      </c>
      <c r="F4077" t="s">
        <v>1737</v>
      </c>
      <c r="K4077" t="str">
        <f>IF(ISBLANK('Q 5'!D1150),"",IF('Q 5'!D1150="&lt;please select&gt;","",'Q 5'!D1150))</f>
        <v>31 - Manufacture of glass as specified in Annex I of Directive 2003/87/EC</v>
      </c>
    </row>
    <row r="4078" spans="1:11" x14ac:dyDescent="0.3">
      <c r="A4078" t="s">
        <v>1886</v>
      </c>
      <c r="B4078" t="s">
        <v>1887</v>
      </c>
      <c r="C4078">
        <v>8</v>
      </c>
      <c r="D4078" t="s">
        <v>1447</v>
      </c>
      <c r="E4078" t="s">
        <v>1888</v>
      </c>
      <c r="F4078" t="s">
        <v>1737</v>
      </c>
      <c r="K4078" t="str">
        <f>IF(ISBLANK('Q 5'!D1151),"",IF('Q 5'!D1151="&lt;please select&gt;","",'Q 5'!D1151))</f>
        <v>29 - Production of cement clinker in rotary kilns as specified in Annex I of Directive 2003/87/ EC</v>
      </c>
    </row>
    <row r="4079" spans="1:11" x14ac:dyDescent="0.3">
      <c r="A4079" t="s">
        <v>1886</v>
      </c>
      <c r="B4079" t="s">
        <v>1887</v>
      </c>
      <c r="C4079">
        <v>9</v>
      </c>
      <c r="D4079" t="s">
        <v>1447</v>
      </c>
      <c r="E4079" t="s">
        <v>1888</v>
      </c>
      <c r="F4079" t="s">
        <v>1737</v>
      </c>
      <c r="K4079" t="str">
        <f>IF(ISBLANK('Q 5'!D1152),"",IF('Q 5'!D1152="&lt;please select&gt;","",'Q 5'!D1152))</f>
        <v>29 - Production of cement clinker in rotary kilns as specified in Annex I of Directive 2003/87/ EC</v>
      </c>
    </row>
    <row r="4080" spans="1:11" x14ac:dyDescent="0.3">
      <c r="A4080" t="s">
        <v>1886</v>
      </c>
      <c r="B4080" t="s">
        <v>1887</v>
      </c>
      <c r="C4080">
        <v>10</v>
      </c>
      <c r="D4080" t="s">
        <v>1447</v>
      </c>
      <c r="E4080" t="s">
        <v>1888</v>
      </c>
      <c r="F4080" t="s">
        <v>1737</v>
      </c>
      <c r="K4080" t="str">
        <f>IF(ISBLANK('Q 5'!D1153),"",IF('Q 5'!D1153="&lt;please select&gt;","",'Q 5'!D1153))</f>
        <v>32 - Manufacture of ceramic products as specified in Annex I of Directive 2003/87/EC</v>
      </c>
    </row>
    <row r="4081" spans="1:11" x14ac:dyDescent="0.3">
      <c r="A4081" t="s">
        <v>1886</v>
      </c>
      <c r="B4081" t="s">
        <v>1887</v>
      </c>
      <c r="C4081">
        <v>11</v>
      </c>
      <c r="D4081" t="s">
        <v>1447</v>
      </c>
      <c r="E4081" t="s">
        <v>1888</v>
      </c>
      <c r="F4081" t="s">
        <v>1737</v>
      </c>
      <c r="K4081" t="str">
        <f>IF(ISBLANK('Q 5'!D1154),"",IF('Q 5'!D1154="&lt;please select&gt;","",'Q 5'!D1154))</f>
        <v>21 - Refining of mineral oil</v>
      </c>
    </row>
    <row r="4082" spans="1:11" x14ac:dyDescent="0.3">
      <c r="A4082" t="s">
        <v>1886</v>
      </c>
      <c r="B4082" t="s">
        <v>1887</v>
      </c>
      <c r="C4082">
        <v>12</v>
      </c>
      <c r="D4082" t="s">
        <v>1447</v>
      </c>
      <c r="E4082" t="s">
        <v>1888</v>
      </c>
      <c r="F4082" t="s">
        <v>1737</v>
      </c>
      <c r="K4082" t="str">
        <f>IF(ISBLANK('Q 5'!D1155),"",IF('Q 5'!D1155="&lt;please select&gt;","",'Q 5'!D1155))</f>
        <v xml:space="preserve">42 - Production of bulk organic chemicals as specified in Annex I of Directive 2003/87/EC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in accordance with Article 69(1)</v>
      </c>
    </row>
    <row r="4143" spans="1:11" x14ac:dyDescent="0.3">
      <c r="A4143" t="s">
        <v>1886</v>
      </c>
      <c r="B4143" t="s">
        <v>1887</v>
      </c>
      <c r="C4143">
        <v>3</v>
      </c>
      <c r="D4143" t="s">
        <v>1447</v>
      </c>
      <c r="E4143" t="s">
        <v>1889</v>
      </c>
      <c r="F4143" t="s">
        <v>1737</v>
      </c>
      <c r="K4143" t="str">
        <f>IF(ISBLANK('Q 5'!F1146),"",IF('Q 5'!F1146="&lt;please select&gt;","",'Q 5'!F1146))</f>
        <v>Improvement report according to Article 69(4)</v>
      </c>
    </row>
    <row r="4144" spans="1:11" x14ac:dyDescent="0.3">
      <c r="A4144" t="s">
        <v>1886</v>
      </c>
      <c r="B4144" t="s">
        <v>1887</v>
      </c>
      <c r="C4144">
        <v>4</v>
      </c>
      <c r="D4144" t="s">
        <v>1447</v>
      </c>
      <c r="E4144" t="s">
        <v>1889</v>
      </c>
      <c r="F4144" t="s">
        <v>1737</v>
      </c>
      <c r="K4144" t="str">
        <f>IF(ISBLANK('Q 5'!F1147),"",IF('Q 5'!F1147="&lt;please select&gt;","",'Q 5'!F1147))</f>
        <v>Improvement report according to Article 69(4)</v>
      </c>
    </row>
    <row r="4145" spans="1:11" x14ac:dyDescent="0.3">
      <c r="A4145" t="s">
        <v>1886</v>
      </c>
      <c r="B4145" t="s">
        <v>1887</v>
      </c>
      <c r="C4145">
        <v>5</v>
      </c>
      <c r="D4145" t="s">
        <v>1447</v>
      </c>
      <c r="E4145" t="s">
        <v>1889</v>
      </c>
      <c r="F4145" t="s">
        <v>1737</v>
      </c>
      <c r="K4145" t="str">
        <f>IF(ISBLANK('Q 5'!F1148),"",IF('Q 5'!F1148="&lt;please select&gt;","",'Q 5'!F1148))</f>
        <v>Improvement report according to Article 69(4)</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Improvement report according to Article 69(4)</v>
      </c>
    </row>
    <row r="4148" spans="1:11" x14ac:dyDescent="0.3">
      <c r="A4148" t="s">
        <v>1886</v>
      </c>
      <c r="B4148" t="s">
        <v>1887</v>
      </c>
      <c r="C4148">
        <v>8</v>
      </c>
      <c r="D4148" t="s">
        <v>1447</v>
      </c>
      <c r="E4148" t="s">
        <v>1889</v>
      </c>
      <c r="F4148" t="s">
        <v>1737</v>
      </c>
      <c r="K4148" t="str">
        <f>IF(ISBLANK('Q 5'!F1151),"",IF('Q 5'!F1151="&lt;please select&gt;","",'Q 5'!F1151))</f>
        <v>Improvement report according to Article 69(4)</v>
      </c>
    </row>
    <row r="4149" spans="1:11" x14ac:dyDescent="0.3">
      <c r="A4149" t="s">
        <v>1886</v>
      </c>
      <c r="B4149" t="s">
        <v>1887</v>
      </c>
      <c r="C4149">
        <v>9</v>
      </c>
      <c r="D4149" t="s">
        <v>1447</v>
      </c>
      <c r="E4149" t="s">
        <v>1889</v>
      </c>
      <c r="F4149" t="s">
        <v>1737</v>
      </c>
      <c r="K4149" t="str">
        <f>IF(ISBLANK('Q 5'!F1152),"",IF('Q 5'!F1152="&lt;please select&gt;","",'Q 5'!F1152))</f>
        <v>Improvement report according to Article 69(4)</v>
      </c>
    </row>
    <row r="4150" spans="1:11" x14ac:dyDescent="0.3">
      <c r="A4150" t="s">
        <v>1886</v>
      </c>
      <c r="B4150" t="s">
        <v>1887</v>
      </c>
      <c r="C4150">
        <v>10</v>
      </c>
      <c r="D4150" t="s">
        <v>1447</v>
      </c>
      <c r="E4150" t="s">
        <v>1889</v>
      </c>
      <c r="F4150" t="s">
        <v>1737</v>
      </c>
      <c r="K4150" t="str">
        <f>IF(ISBLANK('Q 5'!F1153),"",IF('Q 5'!F1153="&lt;please select&gt;","",'Q 5'!F1153))</f>
        <v>Improvement report according to Article 69(4)</v>
      </c>
    </row>
    <row r="4151" spans="1:11" x14ac:dyDescent="0.3">
      <c r="A4151" t="s">
        <v>1886</v>
      </c>
      <c r="B4151" t="s">
        <v>1887</v>
      </c>
      <c r="C4151">
        <v>11</v>
      </c>
      <c r="D4151" t="s">
        <v>1447</v>
      </c>
      <c r="E4151" t="s">
        <v>1889</v>
      </c>
      <c r="F4151" t="s">
        <v>1737</v>
      </c>
      <c r="K4151" t="str">
        <f>IF(ISBLANK('Q 5'!F1154),"",IF('Q 5'!F1154="&lt;please select&gt;","",'Q 5'!F1154))</f>
        <v>Improvement report according to Article 69(4)</v>
      </c>
    </row>
    <row r="4152" spans="1:11" x14ac:dyDescent="0.3">
      <c r="A4152" t="s">
        <v>1886</v>
      </c>
      <c r="B4152" t="s">
        <v>1887</v>
      </c>
      <c r="C4152">
        <v>12</v>
      </c>
      <c r="D4152" t="s">
        <v>1447</v>
      </c>
      <c r="E4152" t="s">
        <v>1889</v>
      </c>
      <c r="F4152" t="s">
        <v>1737</v>
      </c>
      <c r="K4152" t="str">
        <f>IF(ISBLANK('Q 5'!F1155),"",IF('Q 5'!F1155="&lt;please select&gt;","",'Q 5'!F1155))</f>
        <v>Improvement report according to Article 69(4)</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1</v>
      </c>
    </row>
    <row r="4212" spans="1:11" x14ac:dyDescent="0.3">
      <c r="A4212" t="s">
        <v>1886</v>
      </c>
      <c r="B4212" t="s">
        <v>1887</v>
      </c>
      <c r="C4212">
        <v>2</v>
      </c>
      <c r="D4212" t="s">
        <v>1447</v>
      </c>
      <c r="E4212" t="s">
        <v>1890</v>
      </c>
      <c r="F4212" t="s">
        <v>1748</v>
      </c>
      <c r="H4212" t="str">
        <f>IF(ISBLANK('Q 5'!H1145),"",IF('Q 5'!H1145="&lt;please select&gt;","",'Q 5'!H1145))</f>
        <v>1</v>
      </c>
    </row>
    <row r="4213" spans="1:11" x14ac:dyDescent="0.3">
      <c r="A4213" t="s">
        <v>1886</v>
      </c>
      <c r="B4213" t="s">
        <v>1887</v>
      </c>
      <c r="C4213">
        <v>3</v>
      </c>
      <c r="D4213" t="s">
        <v>1447</v>
      </c>
      <c r="E4213" t="s">
        <v>1890</v>
      </c>
      <c r="F4213" t="s">
        <v>1748</v>
      </c>
      <c r="H4213" t="str">
        <f>IF(ISBLANK('Q 5'!H1146),"",IF('Q 5'!H1146="&lt;please select&gt;","",'Q 5'!H1146))</f>
        <v>5</v>
      </c>
    </row>
    <row r="4214" spans="1:11" x14ac:dyDescent="0.3">
      <c r="A4214" t="s">
        <v>1886</v>
      </c>
      <c r="B4214" t="s">
        <v>1887</v>
      </c>
      <c r="C4214">
        <v>4</v>
      </c>
      <c r="D4214" t="s">
        <v>1447</v>
      </c>
      <c r="E4214" t="s">
        <v>1890</v>
      </c>
      <c r="F4214" t="s">
        <v>1748</v>
      </c>
      <c r="H4214" t="str">
        <f>IF(ISBLANK('Q 5'!H1147),"",IF('Q 5'!H1147="&lt;please select&gt;","",'Q 5'!H1147))</f>
        <v>2</v>
      </c>
    </row>
    <row r="4215" spans="1:11" x14ac:dyDescent="0.3">
      <c r="A4215" t="s">
        <v>1886</v>
      </c>
      <c r="B4215" t="s">
        <v>1887</v>
      </c>
      <c r="C4215">
        <v>5</v>
      </c>
      <c r="D4215" t="s">
        <v>1447</v>
      </c>
      <c r="E4215" t="s">
        <v>1890</v>
      </c>
      <c r="F4215" t="s">
        <v>1748</v>
      </c>
      <c r="H4215" t="str">
        <f>IF(ISBLANK('Q 5'!H1148),"",IF('Q 5'!H1148="&lt;please select&gt;","",'Q 5'!H1148))</f>
        <v>1</v>
      </c>
    </row>
    <row r="4216" spans="1:11" x14ac:dyDescent="0.3">
      <c r="A4216" t="s">
        <v>1886</v>
      </c>
      <c r="B4216" t="s">
        <v>1887</v>
      </c>
      <c r="C4216">
        <v>6</v>
      </c>
      <c r="D4216" t="s">
        <v>1447</v>
      </c>
      <c r="E4216" t="s">
        <v>1890</v>
      </c>
      <c r="F4216" t="s">
        <v>1748</v>
      </c>
      <c r="H4216" t="str">
        <f>IF(ISBLANK('Q 5'!H1149),"",IF('Q 5'!H1149="&lt;please select&gt;","",'Q 5'!H1149))</f>
        <v>1</v>
      </c>
    </row>
    <row r="4217" spans="1:11" x14ac:dyDescent="0.3">
      <c r="A4217" t="s">
        <v>1886</v>
      </c>
      <c r="B4217" t="s">
        <v>1887</v>
      </c>
      <c r="C4217">
        <v>7</v>
      </c>
      <c r="D4217" t="s">
        <v>1447</v>
      </c>
      <c r="E4217" t="s">
        <v>1890</v>
      </c>
      <c r="F4217" t="s">
        <v>1748</v>
      </c>
      <c r="H4217" t="str">
        <f>IF(ISBLANK('Q 5'!H1150),"",IF('Q 5'!H1150="&lt;please select&gt;","",'Q 5'!H1150))</f>
        <v>1</v>
      </c>
    </row>
    <row r="4218" spans="1:11" x14ac:dyDescent="0.3">
      <c r="A4218" t="s">
        <v>1886</v>
      </c>
      <c r="B4218" t="s">
        <v>1887</v>
      </c>
      <c r="C4218">
        <v>8</v>
      </c>
      <c r="D4218" t="s">
        <v>1447</v>
      </c>
      <c r="E4218" t="s">
        <v>1890</v>
      </c>
      <c r="F4218" t="s">
        <v>1748</v>
      </c>
      <c r="H4218" t="str">
        <f>IF(ISBLANK('Q 5'!H1151),"",IF('Q 5'!H1151="&lt;please select&gt;","",'Q 5'!H1151))</f>
        <v>2</v>
      </c>
    </row>
    <row r="4219" spans="1:11" x14ac:dyDescent="0.3">
      <c r="A4219" t="s">
        <v>1886</v>
      </c>
      <c r="B4219" t="s">
        <v>1887</v>
      </c>
      <c r="C4219">
        <v>9</v>
      </c>
      <c r="D4219" t="s">
        <v>1447</v>
      </c>
      <c r="E4219" t="s">
        <v>1890</v>
      </c>
      <c r="F4219" t="s">
        <v>1748</v>
      </c>
      <c r="H4219" t="str">
        <f>IF(ISBLANK('Q 5'!H1152),"",IF('Q 5'!H1152="&lt;please select&gt;","",'Q 5'!H1152))</f>
        <v>4</v>
      </c>
    </row>
    <row r="4220" spans="1:11" x14ac:dyDescent="0.3">
      <c r="A4220" t="s">
        <v>1886</v>
      </c>
      <c r="B4220" t="s">
        <v>1887</v>
      </c>
      <c r="C4220">
        <v>10</v>
      </c>
      <c r="D4220" t="s">
        <v>1447</v>
      </c>
      <c r="E4220" t="s">
        <v>1890</v>
      </c>
      <c r="F4220" t="s">
        <v>1748</v>
      </c>
      <c r="H4220" t="str">
        <f>IF(ISBLANK('Q 5'!H1153),"",IF('Q 5'!H1153="&lt;please select&gt;","",'Q 5'!H1153))</f>
        <v>4</v>
      </c>
    </row>
    <row r="4221" spans="1:11" x14ac:dyDescent="0.3">
      <c r="A4221" t="s">
        <v>1886</v>
      </c>
      <c r="B4221" t="s">
        <v>1887</v>
      </c>
      <c r="C4221">
        <v>11</v>
      </c>
      <c r="D4221" t="s">
        <v>1447</v>
      </c>
      <c r="E4221" t="s">
        <v>1890</v>
      </c>
      <c r="F4221" t="s">
        <v>1748</v>
      </c>
      <c r="H4221" t="str">
        <f>IF(ISBLANK('Q 5'!H1154),"",IF('Q 5'!H1154="&lt;please select&gt;","",'Q 5'!H1154))</f>
        <v>1</v>
      </c>
    </row>
    <row r="4222" spans="1:11" x14ac:dyDescent="0.3">
      <c r="A4222" t="s">
        <v>1886</v>
      </c>
      <c r="B4222" t="s">
        <v>1887</v>
      </c>
      <c r="C4222">
        <v>12</v>
      </c>
      <c r="D4222" t="s">
        <v>1447</v>
      </c>
      <c r="E4222" t="s">
        <v>1890</v>
      </c>
      <c r="F4222" t="s">
        <v>1748</v>
      </c>
      <c r="H4222" t="str">
        <f>IF(ISBLANK('Q 5'!H1155),"",IF('Q 5'!H1155="&lt;please select&gt;","",'Q 5'!H1155))</f>
        <v>1</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1</v>
      </c>
    </row>
    <row r="4282" spans="1:8" x14ac:dyDescent="0.3">
      <c r="A4282" t="s">
        <v>1886</v>
      </c>
      <c r="B4282" t="s">
        <v>1887</v>
      </c>
      <c r="C4282">
        <v>2</v>
      </c>
      <c r="D4282" t="s">
        <v>1447</v>
      </c>
      <c r="E4282" t="s">
        <v>1891</v>
      </c>
      <c r="F4282" t="s">
        <v>1748</v>
      </c>
      <c r="H4282" t="str">
        <f>IF(ISBLANK('Q 5'!I1145),"",IF('Q 5'!I1145="&lt;please select&gt;","",'Q 5'!I1145))</f>
        <v>1</v>
      </c>
    </row>
    <row r="4283" spans="1:8" x14ac:dyDescent="0.3">
      <c r="A4283" t="s">
        <v>1886</v>
      </c>
      <c r="B4283" t="s">
        <v>1887</v>
      </c>
      <c r="C4283">
        <v>3</v>
      </c>
      <c r="D4283" t="s">
        <v>1447</v>
      </c>
      <c r="E4283" t="s">
        <v>1891</v>
      </c>
      <c r="F4283" t="s">
        <v>1748</v>
      </c>
      <c r="H4283" t="str">
        <f>IF(ISBLANK('Q 5'!I1146),"",IF('Q 5'!I1146="&lt;please select&gt;","",'Q 5'!I1146))</f>
        <v>4</v>
      </c>
    </row>
    <row r="4284" spans="1:8" x14ac:dyDescent="0.3">
      <c r="A4284" t="s">
        <v>1886</v>
      </c>
      <c r="B4284" t="s">
        <v>1887</v>
      </c>
      <c r="C4284">
        <v>4</v>
      </c>
      <c r="D4284" t="s">
        <v>1447</v>
      </c>
      <c r="E4284" t="s">
        <v>1891</v>
      </c>
      <c r="F4284" t="s">
        <v>1748</v>
      </c>
      <c r="H4284" t="str">
        <f>IF(ISBLANK('Q 5'!I1147),"",IF('Q 5'!I1147="&lt;please select&gt;","",'Q 5'!I1147))</f>
        <v>2</v>
      </c>
    </row>
    <row r="4285" spans="1:8" x14ac:dyDescent="0.3">
      <c r="A4285" t="s">
        <v>1886</v>
      </c>
      <c r="B4285" t="s">
        <v>1887</v>
      </c>
      <c r="C4285">
        <v>5</v>
      </c>
      <c r="D4285" t="s">
        <v>1447</v>
      </c>
      <c r="E4285" t="s">
        <v>1891</v>
      </c>
      <c r="F4285" t="s">
        <v>1748</v>
      </c>
      <c r="H4285" t="str">
        <f>IF(ISBLANK('Q 5'!I1148),"",IF('Q 5'!I1148="&lt;please select&gt;","",'Q 5'!I1148))</f>
        <v>0</v>
      </c>
    </row>
    <row r="4286" spans="1:8" x14ac:dyDescent="0.3">
      <c r="A4286" t="s">
        <v>1886</v>
      </c>
      <c r="B4286" t="s">
        <v>1887</v>
      </c>
      <c r="C4286">
        <v>6</v>
      </c>
      <c r="D4286" t="s">
        <v>1447</v>
      </c>
      <c r="E4286" t="s">
        <v>1891</v>
      </c>
      <c r="F4286" t="s">
        <v>1748</v>
      </c>
      <c r="H4286" t="str">
        <f>IF(ISBLANK('Q 5'!I1149),"",IF('Q 5'!I1149="&lt;please select&gt;","",'Q 5'!I1149))</f>
        <v>1</v>
      </c>
    </row>
    <row r="4287" spans="1:8" x14ac:dyDescent="0.3">
      <c r="A4287" t="s">
        <v>1886</v>
      </c>
      <c r="B4287" t="s">
        <v>1887</v>
      </c>
      <c r="C4287">
        <v>7</v>
      </c>
      <c r="D4287" t="s">
        <v>1447</v>
      </c>
      <c r="E4287" t="s">
        <v>1891</v>
      </c>
      <c r="F4287" t="s">
        <v>1748</v>
      </c>
      <c r="H4287" t="str">
        <f>IF(ISBLANK('Q 5'!I1150),"",IF('Q 5'!I1150="&lt;please select&gt;","",'Q 5'!I1150))</f>
        <v>1</v>
      </c>
    </row>
    <row r="4288" spans="1:8" x14ac:dyDescent="0.3">
      <c r="A4288" t="s">
        <v>1886</v>
      </c>
      <c r="B4288" t="s">
        <v>1887</v>
      </c>
      <c r="C4288">
        <v>8</v>
      </c>
      <c r="D4288" t="s">
        <v>1447</v>
      </c>
      <c r="E4288" t="s">
        <v>1891</v>
      </c>
      <c r="F4288" t="s">
        <v>1748</v>
      </c>
      <c r="H4288" t="str">
        <f>IF(ISBLANK('Q 5'!I1151),"",IF('Q 5'!I1151="&lt;please select&gt;","",'Q 5'!I1151))</f>
        <v>2</v>
      </c>
    </row>
    <row r="4289" spans="1:8" x14ac:dyDescent="0.3">
      <c r="A4289" t="s">
        <v>1886</v>
      </c>
      <c r="B4289" t="s">
        <v>1887</v>
      </c>
      <c r="C4289">
        <v>9</v>
      </c>
      <c r="D4289" t="s">
        <v>1447</v>
      </c>
      <c r="E4289" t="s">
        <v>1891</v>
      </c>
      <c r="F4289" t="s">
        <v>1748</v>
      </c>
      <c r="H4289" t="str">
        <f>IF(ISBLANK('Q 5'!I1152),"",IF('Q 5'!I1152="&lt;please select&gt;","",'Q 5'!I1152))</f>
        <v>4</v>
      </c>
    </row>
    <row r="4290" spans="1:8" x14ac:dyDescent="0.3">
      <c r="A4290" t="s">
        <v>1886</v>
      </c>
      <c r="B4290" t="s">
        <v>1887</v>
      </c>
      <c r="C4290">
        <v>10</v>
      </c>
      <c r="D4290" t="s">
        <v>1447</v>
      </c>
      <c r="E4290" t="s">
        <v>1891</v>
      </c>
      <c r="F4290" t="s">
        <v>1748</v>
      </c>
      <c r="H4290" t="str">
        <f>IF(ISBLANK('Q 5'!I1153),"",IF('Q 5'!I1153="&lt;please select&gt;","",'Q 5'!I1153))</f>
        <v>4</v>
      </c>
    </row>
    <row r="4291" spans="1:8" x14ac:dyDescent="0.3">
      <c r="A4291" t="s">
        <v>1886</v>
      </c>
      <c r="B4291" t="s">
        <v>1887</v>
      </c>
      <c r="C4291">
        <v>11</v>
      </c>
      <c r="D4291" t="s">
        <v>1447</v>
      </c>
      <c r="E4291" t="s">
        <v>1891</v>
      </c>
      <c r="F4291" t="s">
        <v>1748</v>
      </c>
      <c r="H4291" t="str">
        <f>IF(ISBLANK('Q 5'!I1154),"",IF('Q 5'!I1154="&lt;please select&gt;","",'Q 5'!I1154))</f>
        <v>1</v>
      </c>
    </row>
    <row r="4292" spans="1:8" x14ac:dyDescent="0.3">
      <c r="A4292" t="s">
        <v>1886</v>
      </c>
      <c r="B4292" t="s">
        <v>1887</v>
      </c>
      <c r="C4292">
        <v>12</v>
      </c>
      <c r="D4292" t="s">
        <v>1447</v>
      </c>
      <c r="E4292" t="s">
        <v>1891</v>
      </c>
      <c r="F4292" t="s">
        <v>1748</v>
      </c>
      <c r="H4292" t="str">
        <f>IF(ISBLANK('Q 5'!I1155),"",IF('Q 5'!I1155="&lt;please select&gt;","",'Q 5'!I1155))</f>
        <v>1</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Yes</v>
      </c>
    </row>
    <row r="4352" spans="1:11" x14ac:dyDescent="0.3">
      <c r="A4352" t="s">
        <v>1892</v>
      </c>
      <c r="B4352" t="s">
        <v>1894</v>
      </c>
      <c r="C4352">
        <v>1</v>
      </c>
      <c r="D4352" t="s">
        <v>1447</v>
      </c>
      <c r="E4352" t="s">
        <v>1895</v>
      </c>
      <c r="F4352" t="s">
        <v>1737</v>
      </c>
      <c r="K4352" t="str">
        <f>IF(ISBLANK('Q 5'!C1220),"",IF('Q 5'!C1220="&lt;please select&gt;","",'Q 5'!C1220))</f>
        <v>Transfer of CO2 in PCC (Article 49(1) (b))</v>
      </c>
    </row>
    <row r="4353" spans="1:11" x14ac:dyDescent="0.3">
      <c r="A4353" t="s">
        <v>1892</v>
      </c>
      <c r="B4353" t="s">
        <v>1894</v>
      </c>
      <c r="C4353">
        <v>2</v>
      </c>
      <c r="D4353" t="s">
        <v>1447</v>
      </c>
      <c r="E4353" t="s">
        <v>1895</v>
      </c>
      <c r="F4353" t="s">
        <v>1737</v>
      </c>
      <c r="K4353" t="str">
        <f>IF(ISBLANK('Q 5'!C1221),"",IF('Q 5'!C1221="&lt;please select&gt;","",'Q 5'!C1221))</f>
        <v>Transfer of CO2 in PCC (Article 49(1) (b))</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PTE</v>
      </c>
    </row>
    <row r="4450" spans="1:7" x14ac:dyDescent="0.3">
      <c r="A4450" t="s">
        <v>1892</v>
      </c>
      <c r="B4450" t="s">
        <v>1894</v>
      </c>
      <c r="C4450">
        <v>2</v>
      </c>
      <c r="D4450" t="s">
        <v>1447</v>
      </c>
      <c r="E4450" t="s">
        <v>1896</v>
      </c>
      <c r="F4450" t="s">
        <v>1741</v>
      </c>
      <c r="G4450" t="str">
        <f>IF(ISBLANK('Q 5'!D1221),"",IF('Q 5'!D1221="&lt;please select&gt;","",'Q 5'!D1221))</f>
        <v>PTF</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non EU ETS consumer</v>
      </c>
    </row>
    <row r="4547" spans="1:7" x14ac:dyDescent="0.3">
      <c r="A4547" t="s">
        <v>1892</v>
      </c>
      <c r="B4547" t="s">
        <v>1894</v>
      </c>
      <c r="C4547">
        <v>2</v>
      </c>
      <c r="D4547" t="s">
        <v>1447</v>
      </c>
      <c r="E4547" t="s">
        <v>1897</v>
      </c>
      <c r="F4547" t="s">
        <v>1741</v>
      </c>
      <c r="G4547" t="str">
        <f>IF(ISBLANK('Q 5'!E1221),"",IF('Q 5'!E1221="&lt;please select&gt;","",'Q 5'!E1221))</f>
        <v>non EU ETS consumer</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16645.1891562482</v>
      </c>
    </row>
    <row r="4644" spans="1:9" x14ac:dyDescent="0.3">
      <c r="A4644" t="s">
        <v>1892</v>
      </c>
      <c r="B4644" t="s">
        <v>1894</v>
      </c>
      <c r="C4644">
        <v>2</v>
      </c>
      <c r="D4644" t="s">
        <v>1447</v>
      </c>
      <c r="E4644" t="s">
        <v>1898</v>
      </c>
      <c r="F4644" t="s">
        <v>1806</v>
      </c>
      <c r="I4644" t="str">
        <f>IF(ISBLANK('Q 5'!F1221),"",IF('Q 5'!F1221="&lt;please select&gt;","",'Q 5'!F1221))</f>
        <v>3314.23865362341</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0</v>
      </c>
    </row>
    <row r="4741" spans="1:9" x14ac:dyDescent="0.3">
      <c r="A4741" t="s">
        <v>1892</v>
      </c>
      <c r="B4741" t="s">
        <v>1894</v>
      </c>
      <c r="C4741">
        <v>2</v>
      </c>
      <c r="D4741" t="s">
        <v>1447</v>
      </c>
      <c r="E4741" t="s">
        <v>1899</v>
      </c>
      <c r="F4741" t="s">
        <v>1806</v>
      </c>
      <c r="I4741" t="str">
        <f>IF(ISBLANK('Q 5'!G1221),"",IF('Q 5'!G1221="&lt;please select&gt;","",'Q 5'!G1221))</f>
        <v>0</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PTB</v>
      </c>
    </row>
    <row r="5033" spans="1:11" x14ac:dyDescent="0.3">
      <c r="A5033" t="s">
        <v>1902</v>
      </c>
      <c r="B5033" t="s">
        <v>1904</v>
      </c>
      <c r="C5033">
        <v>2</v>
      </c>
      <c r="D5033" t="s">
        <v>1447</v>
      </c>
      <c r="E5033" t="s">
        <v>1905</v>
      </c>
      <c r="F5033" t="s">
        <v>1741</v>
      </c>
      <c r="G5033" t="str">
        <f>IF(ISBLANK('Q 5'!C1328),"",IF('Q 5'!C1328="&lt;please select&gt;","",'Q 5'!C1328))</f>
        <v>PTC</v>
      </c>
    </row>
    <row r="5034" spans="1:11" x14ac:dyDescent="0.3">
      <c r="A5034" t="s">
        <v>1902</v>
      </c>
      <c r="B5034" t="s">
        <v>1904</v>
      </c>
      <c r="C5034">
        <v>3</v>
      </c>
      <c r="D5034" t="s">
        <v>1447</v>
      </c>
      <c r="E5034" t="s">
        <v>1905</v>
      </c>
      <c r="F5034" t="s">
        <v>1741</v>
      </c>
      <c r="G5034" t="str">
        <f>IF(ISBLANK('Q 5'!C1329),"",IF('Q 5'!C1329="&lt;please select&gt;","",'Q 5'!C1329))</f>
        <v>PTD</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PTB</v>
      </c>
    </row>
    <row r="5083" spans="1:7" x14ac:dyDescent="0.3">
      <c r="A5083" t="s">
        <v>1902</v>
      </c>
      <c r="B5083" t="s">
        <v>1904</v>
      </c>
      <c r="C5083">
        <v>2</v>
      </c>
      <c r="D5083" t="s">
        <v>1447</v>
      </c>
      <c r="E5083" t="s">
        <v>1906</v>
      </c>
      <c r="F5083" t="s">
        <v>1741</v>
      </c>
      <c r="G5083" t="str">
        <f>IF(ISBLANK('Q 5'!E1328),"",IF('Q 5'!E1328="&lt;please select&gt;","",'Q 5'!E1328))</f>
        <v>PTC</v>
      </c>
    </row>
    <row r="5084" spans="1:7" x14ac:dyDescent="0.3">
      <c r="A5084" t="s">
        <v>1902</v>
      </c>
      <c r="B5084" t="s">
        <v>1904</v>
      </c>
      <c r="C5084">
        <v>3</v>
      </c>
      <c r="D5084" t="s">
        <v>1447</v>
      </c>
      <c r="E5084" t="s">
        <v>1906</v>
      </c>
      <c r="F5084" t="s">
        <v>1741</v>
      </c>
      <c r="G5084" t="str">
        <f>IF(ISBLANK('Q 5'!E1329),"",IF('Q 5'!E1329="&lt;please select&gt;","",'Q 5'!E1329))</f>
        <v>PTD</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28371</v>
      </c>
    </row>
    <row r="5133" spans="1:9" x14ac:dyDescent="0.3">
      <c r="A5133" t="s">
        <v>1902</v>
      </c>
      <c r="B5133" t="s">
        <v>1904</v>
      </c>
      <c r="C5133">
        <v>2</v>
      </c>
      <c r="D5133" t="s">
        <v>1447</v>
      </c>
      <c r="E5133" t="s">
        <v>1907</v>
      </c>
      <c r="F5133" t="s">
        <v>1806</v>
      </c>
      <c r="I5133" s="165" t="str">
        <f>IF(ISBLANK('Q 5'!G1328),"",IF('Q 5'!G1328="&lt;please select&gt;","",'Q 5'!G1328))</f>
        <v>19930</v>
      </c>
    </row>
    <row r="5134" spans="1:9" x14ac:dyDescent="0.3">
      <c r="A5134" t="s">
        <v>1902</v>
      </c>
      <c r="B5134" t="s">
        <v>1904</v>
      </c>
      <c r="C5134">
        <v>3</v>
      </c>
      <c r="D5134" t="s">
        <v>1447</v>
      </c>
      <c r="E5134" t="s">
        <v>1907</v>
      </c>
      <c r="F5134" t="s">
        <v>1806</v>
      </c>
      <c r="I5134" s="165" t="str">
        <f>IF(ISBLANK('Q 5'!G1329),"",IF('Q 5'!G1329="&lt;please select&gt;","",'Q 5'!G1329))</f>
        <v>17926</v>
      </c>
    </row>
    <row r="5135" spans="1:9" x14ac:dyDescent="0.3">
      <c r="A5135" t="s">
        <v>1902</v>
      </c>
      <c r="B5135" t="s">
        <v>1904</v>
      </c>
      <c r="C5135">
        <v>4</v>
      </c>
      <c r="D5135" t="s">
        <v>1447</v>
      </c>
      <c r="E5135" t="s">
        <v>1907</v>
      </c>
      <c r="F5135" t="s">
        <v>1806</v>
      </c>
      <c r="I5135" s="165" t="str">
        <f>IF(ISBLANK('Q 5'!G1330),"",IF('Q 5'!G1330="&lt;please select&gt;","",'Q 5'!G1330))</f>
        <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12632</v>
      </c>
    </row>
    <row r="5183" spans="1:9" x14ac:dyDescent="0.3">
      <c r="A5183" t="s">
        <v>1902</v>
      </c>
      <c r="B5183" t="s">
        <v>1904</v>
      </c>
      <c r="C5183">
        <v>2</v>
      </c>
      <c r="D5183" t="s">
        <v>1447</v>
      </c>
      <c r="E5183" t="s">
        <v>1908</v>
      </c>
      <c r="F5183" t="s">
        <v>1806</v>
      </c>
      <c r="I5183" s="165" t="str">
        <f>IF(ISBLANK('Q 5'!H1328),"",IF('Q 5'!H1328="&lt;please select&gt;","",'Q 5'!H1328))</f>
        <v>13907</v>
      </c>
    </row>
    <row r="5184" spans="1:9" x14ac:dyDescent="0.3">
      <c r="A5184" t="s">
        <v>1902</v>
      </c>
      <c r="B5184" t="s">
        <v>1904</v>
      </c>
      <c r="C5184">
        <v>3</v>
      </c>
      <c r="D5184" t="s">
        <v>1447</v>
      </c>
      <c r="E5184" t="s">
        <v>1908</v>
      </c>
      <c r="F5184" t="s">
        <v>1806</v>
      </c>
      <c r="I5184" s="165" t="str">
        <f>IF(ISBLANK('Q 5'!H1329),"",IF('Q 5'!H1329="&lt;please select&gt;","",'Q 5'!H1329))</f>
        <v>17552</v>
      </c>
    </row>
    <row r="5185" spans="1:9" x14ac:dyDescent="0.3">
      <c r="A5185" t="s">
        <v>1902</v>
      </c>
      <c r="B5185" t="s">
        <v>1904</v>
      </c>
      <c r="C5185">
        <v>4</v>
      </c>
      <c r="D5185" t="s">
        <v>1447</v>
      </c>
      <c r="E5185" t="s">
        <v>1908</v>
      </c>
      <c r="F5185" t="s">
        <v>1806</v>
      </c>
      <c r="I5185" s="165" t="str">
        <f>IF(ISBLANK('Q 5'!H1330),"",IF('Q 5'!H1330="&lt;please select&gt;","",'Q 5'!H1330))</f>
        <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No</v>
      </c>
    </row>
    <row r="5233" spans="1:11" x14ac:dyDescent="0.3">
      <c r="A5233" t="s">
        <v>1902</v>
      </c>
      <c r="B5233" t="s">
        <v>1904</v>
      </c>
      <c r="C5233">
        <v>2</v>
      </c>
      <c r="D5233" t="s">
        <v>1447</v>
      </c>
      <c r="E5233" t="s">
        <v>1909</v>
      </c>
      <c r="F5233" t="s">
        <v>1759</v>
      </c>
      <c r="K5233" t="str">
        <f>IF(ISBLANK('Q 5'!I1328),"",IF('Q 5'!I1328="&lt;please select&gt;","",'Q 5'!I1328))</f>
        <v>No</v>
      </c>
    </row>
    <row r="5234" spans="1:11" x14ac:dyDescent="0.3">
      <c r="A5234" t="s">
        <v>1902</v>
      </c>
      <c r="B5234" t="s">
        <v>1904</v>
      </c>
      <c r="C5234">
        <v>3</v>
      </c>
      <c r="D5234" t="s">
        <v>1447</v>
      </c>
      <c r="E5234" t="s">
        <v>1909</v>
      </c>
      <c r="F5234" t="s">
        <v>1759</v>
      </c>
      <c r="K5234" t="str">
        <f>IF(ISBLANK('Q 5'!I1329),"",IF('Q 5'!I1329="&lt;please select&gt;","",'Q 5'!I1329))</f>
        <v>No</v>
      </c>
    </row>
    <row r="5235" spans="1:11" x14ac:dyDescent="0.3">
      <c r="A5235" t="s">
        <v>1902</v>
      </c>
      <c r="B5235" t="s">
        <v>1904</v>
      </c>
      <c r="C5235">
        <v>4</v>
      </c>
      <c r="D5235" t="s">
        <v>1447</v>
      </c>
      <c r="E5235" t="s">
        <v>1909</v>
      </c>
      <c r="F5235" t="s">
        <v>1759</v>
      </c>
      <c r="K5235" t="str">
        <f>IF(ISBLANK('Q 5'!I1330),"",IF('Q 5'!I1330="&lt;please select&gt;","",'Q 5'!I1330))</f>
        <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n.a. – as foreseen in COMMISSION IMPLEMENTING REGULATION (EU) 2022/388, of 8 March 2022, Member States may consider as fulfilled the sustainability and greenhouse gas emissions saving criteria from 1 January 2022 to 31 December 2022.</v>
      </c>
    </row>
    <row r="5283" spans="1:11" x14ac:dyDescent="0.3">
      <c r="A5283" t="s">
        <v>1910</v>
      </c>
      <c r="B5283" t="s">
        <v>1912</v>
      </c>
      <c r="C5283">
        <v>1</v>
      </c>
      <c r="D5283" t="s">
        <v>1447</v>
      </c>
      <c r="E5283" t="s">
        <v>1888</v>
      </c>
      <c r="F5283" t="s">
        <v>1737</v>
      </c>
      <c r="K5283" t="str">
        <f>IF(ISBLANK('Q 5'!C1389),"",IF('Q 5'!C1389="&lt;please select&gt;","",'Q 5'!C1389))</f>
        <v>30 - Production of lime or calcination of dolomite or magnesite as specified in Annex I of Directive 2003/87/ EC</v>
      </c>
    </row>
    <row r="5284" spans="1:11" x14ac:dyDescent="0.3">
      <c r="A5284" t="s">
        <v>1910</v>
      </c>
      <c r="B5284" t="s">
        <v>1912</v>
      </c>
      <c r="C5284">
        <v>2</v>
      </c>
      <c r="D5284" t="s">
        <v>1447</v>
      </c>
      <c r="E5284" t="s">
        <v>1888</v>
      </c>
      <c r="F5284" t="s">
        <v>1737</v>
      </c>
      <c r="K5284" t="str">
        <f>IF(ISBLANK('Q 5'!C1390),"",IF('Q 5'!C1390="&lt;please select&gt;","",'Q 5'!C1390))</f>
        <v>30 - Production of lime or calcination of dolomite or magnesite as specified in Annex I of Directive 2003/87/ EC</v>
      </c>
    </row>
    <row r="5285" spans="1:11" x14ac:dyDescent="0.3">
      <c r="A5285" t="s">
        <v>1910</v>
      </c>
      <c r="B5285" t="s">
        <v>1912</v>
      </c>
      <c r="C5285">
        <v>3</v>
      </c>
      <c r="D5285" t="s">
        <v>1447</v>
      </c>
      <c r="E5285" t="s">
        <v>1888</v>
      </c>
      <c r="F5285" t="s">
        <v>1737</v>
      </c>
      <c r="K5285" t="str">
        <f>IF(ISBLANK('Q 5'!C1391),"",IF('Q 5'!C1391="&lt;please select&gt;","",'Q 5'!C1391))</f>
        <v>32 - Manufacture of ceramic products as specified in Annex I of Directive 2003/87/EC</v>
      </c>
    </row>
    <row r="5286" spans="1:11" x14ac:dyDescent="0.3">
      <c r="A5286" t="s">
        <v>1910</v>
      </c>
      <c r="B5286" t="s">
        <v>1912</v>
      </c>
      <c r="C5286">
        <v>4</v>
      </c>
      <c r="D5286" t="s">
        <v>1447</v>
      </c>
      <c r="E5286" t="s">
        <v>1888</v>
      </c>
      <c r="F5286" t="s">
        <v>1737</v>
      </c>
      <c r="K5286" t="str">
        <f>IF(ISBLANK('Q 5'!C1392),"",IF('Q 5'!C1392="&lt;please select&gt;","",'Q 5'!C1392))</f>
        <v>29 - Production of cement clinker in rotary kilns as specified in Annex I of Directive 2003/87/ EC</v>
      </c>
    </row>
    <row r="5287" spans="1:11" x14ac:dyDescent="0.3">
      <c r="A5287" t="s">
        <v>1910</v>
      </c>
      <c r="B5287" t="s">
        <v>1912</v>
      </c>
      <c r="C5287">
        <v>5</v>
      </c>
      <c r="D5287" t="s">
        <v>1447</v>
      </c>
      <c r="E5287" t="s">
        <v>1888</v>
      </c>
      <c r="F5287" t="s">
        <v>1737</v>
      </c>
      <c r="K5287" t="str">
        <f>IF(ISBLANK('Q 5'!C1393),"",IF('Q 5'!C1393="&lt;please select&gt;","",'Q 5'!C1393))</f>
        <v>29 - Production of cement clinker in rotary kilns as specified in Annex I of Directive 2003/87/ EC</v>
      </c>
    </row>
    <row r="5288" spans="1:11" x14ac:dyDescent="0.3">
      <c r="A5288" t="s">
        <v>1910</v>
      </c>
      <c r="B5288" t="s">
        <v>1912</v>
      </c>
      <c r="C5288">
        <v>6</v>
      </c>
      <c r="D5288" t="s">
        <v>1447</v>
      </c>
      <c r="E5288" t="s">
        <v>1888</v>
      </c>
      <c r="F5288" t="s">
        <v>1737</v>
      </c>
      <c r="K5288" t="str">
        <f>IF(ISBLANK('Q 5'!C1394),"",IF('Q 5'!C1394="&lt;please select&gt;","",'Q 5'!C1394))</f>
        <v>20 - Combustion of fuels as specified in Annex I of Directive 2003/87/EC</v>
      </c>
    </row>
    <row r="5289" spans="1:11" x14ac:dyDescent="0.3">
      <c r="A5289" t="s">
        <v>1910</v>
      </c>
      <c r="B5289" t="s">
        <v>1912</v>
      </c>
      <c r="C5289">
        <v>7</v>
      </c>
      <c r="D5289" t="s">
        <v>1447</v>
      </c>
      <c r="E5289" t="s">
        <v>1888</v>
      </c>
      <c r="F5289" t="s">
        <v>1737</v>
      </c>
      <c r="K5289" t="str">
        <f>IF(ISBLANK('Q 5'!C1395),"",IF('Q 5'!C1395="&lt;please select&gt;","",'Q 5'!C1395))</f>
        <v>20 - Combustion of fuels as specified in Annex I of Directive 2003/87/EC</v>
      </c>
    </row>
    <row r="5290" spans="1:11" x14ac:dyDescent="0.3">
      <c r="A5290" t="s">
        <v>1910</v>
      </c>
      <c r="B5290" t="s">
        <v>1912</v>
      </c>
      <c r="C5290">
        <v>8</v>
      </c>
      <c r="D5290" t="s">
        <v>1447</v>
      </c>
      <c r="E5290" t="s">
        <v>1888</v>
      </c>
      <c r="F5290" t="s">
        <v>1737</v>
      </c>
      <c r="K5290" t="str">
        <f>IF(ISBLANK('Q 5'!C1396),"",IF('Q 5'!C1396="&lt;please select&gt;","",'Q 5'!C1396))</f>
        <v xml:space="preserve">36 - Production of paper or cardboard as specified in Annex I of Directive 2003/87/EC </v>
      </c>
    </row>
    <row r="5291" spans="1:11" x14ac:dyDescent="0.3">
      <c r="A5291" t="s">
        <v>1910</v>
      </c>
      <c r="B5291" t="s">
        <v>1912</v>
      </c>
      <c r="C5291">
        <v>9</v>
      </c>
      <c r="D5291" t="s">
        <v>1447</v>
      </c>
      <c r="E5291" t="s">
        <v>1888</v>
      </c>
      <c r="F5291" t="s">
        <v>1737</v>
      </c>
      <c r="K5291" t="str">
        <f>IF(ISBLANK('Q 5'!C1397),"",IF('Q 5'!C1397="&lt;please select&gt;","",'Q 5'!C1397))</f>
        <v>35 - Production of pulp as specified in Annex I of Directive 2003/87/EC</v>
      </c>
    </row>
    <row r="5292" spans="1:11" x14ac:dyDescent="0.3">
      <c r="A5292" t="s">
        <v>1910</v>
      </c>
      <c r="B5292" t="s">
        <v>1912</v>
      </c>
      <c r="C5292">
        <v>10</v>
      </c>
      <c r="D5292" t="s">
        <v>1447</v>
      </c>
      <c r="E5292" t="s">
        <v>1888</v>
      </c>
      <c r="F5292" t="s">
        <v>1737</v>
      </c>
      <c r="K5292" t="str">
        <f>IF(ISBLANK('Q 5'!C1398),"",IF('Q 5'!C1398="&lt;please select&gt;","",'Q 5'!C1398))</f>
        <v>35 - Production of pulp as specified in Annex I of Directive 2003/87/EC</v>
      </c>
    </row>
    <row r="5293" spans="1:11" x14ac:dyDescent="0.3">
      <c r="A5293" t="s">
        <v>1910</v>
      </c>
      <c r="B5293" t="s">
        <v>1912</v>
      </c>
      <c r="C5293">
        <v>11</v>
      </c>
      <c r="D5293" t="s">
        <v>1447</v>
      </c>
      <c r="E5293" t="s">
        <v>1888</v>
      </c>
      <c r="F5293" t="s">
        <v>1737</v>
      </c>
      <c r="K5293" t="str">
        <f>IF(ISBLANK('Q 5'!C1399),"",IF('Q 5'!C1399="&lt;please select&gt;","",'Q 5'!C1399))</f>
        <v>21 - Refining of mineral oil</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A</v>
      </c>
    </row>
    <row r="5336" spans="1:11" x14ac:dyDescent="0.3">
      <c r="A5336" t="s">
        <v>1910</v>
      </c>
      <c r="B5336" t="s">
        <v>1912</v>
      </c>
      <c r="C5336">
        <v>4</v>
      </c>
      <c r="D5336" t="s">
        <v>1447</v>
      </c>
      <c r="E5336" t="s">
        <v>1913</v>
      </c>
      <c r="F5336" t="s">
        <v>1737</v>
      </c>
      <c r="K5336" t="str">
        <f>IF(ISBLANK('Q 5'!D1392),"",IF('Q 5'!D1392="&lt;please select&gt;","",'Q 5'!D1392))</f>
        <v>Category B</v>
      </c>
    </row>
    <row r="5337" spans="1:11" x14ac:dyDescent="0.3">
      <c r="A5337" t="s">
        <v>1910</v>
      </c>
      <c r="B5337" t="s">
        <v>1912</v>
      </c>
      <c r="C5337">
        <v>5</v>
      </c>
      <c r="D5337" t="s">
        <v>1447</v>
      </c>
      <c r="E5337" t="s">
        <v>1913</v>
      </c>
      <c r="F5337" t="s">
        <v>1737</v>
      </c>
      <c r="K5337" t="str">
        <f>IF(ISBLANK('Q 5'!D1393),"",IF('Q 5'!D1393="&lt;please select&gt;","",'Q 5'!D1393))</f>
        <v>Category C</v>
      </c>
    </row>
    <row r="5338" spans="1:11" x14ac:dyDescent="0.3">
      <c r="A5338" t="s">
        <v>1910</v>
      </c>
      <c r="B5338" t="s">
        <v>1912</v>
      </c>
      <c r="C5338">
        <v>6</v>
      </c>
      <c r="D5338" t="s">
        <v>1447</v>
      </c>
      <c r="E5338" t="s">
        <v>1913</v>
      </c>
      <c r="F5338" t="s">
        <v>1737</v>
      </c>
      <c r="K5338" t="str">
        <f>IF(ISBLANK('Q 5'!D1394),"",IF('Q 5'!D1394="&lt;please select&gt;","",'Q 5'!D1394))</f>
        <v>Category A</v>
      </c>
    </row>
    <row r="5339" spans="1:11" x14ac:dyDescent="0.3">
      <c r="A5339" t="s">
        <v>1910</v>
      </c>
      <c r="B5339" t="s">
        <v>1912</v>
      </c>
      <c r="C5339">
        <v>7</v>
      </c>
      <c r="D5339" t="s">
        <v>1447</v>
      </c>
      <c r="E5339" t="s">
        <v>1913</v>
      </c>
      <c r="F5339" t="s">
        <v>1737</v>
      </c>
      <c r="K5339" t="str">
        <f>IF(ISBLANK('Q 5'!D1395),"",IF('Q 5'!D1395="&lt;please select&gt;","",'Q 5'!D1395))</f>
        <v>Category B</v>
      </c>
    </row>
    <row r="5340" spans="1:11" x14ac:dyDescent="0.3">
      <c r="A5340" t="s">
        <v>1910</v>
      </c>
      <c r="B5340" t="s">
        <v>1912</v>
      </c>
      <c r="C5340">
        <v>8</v>
      </c>
      <c r="D5340" t="s">
        <v>1447</v>
      </c>
      <c r="E5340" t="s">
        <v>1913</v>
      </c>
      <c r="F5340" t="s">
        <v>1737</v>
      </c>
      <c r="K5340" t="str">
        <f>IF(ISBLANK('Q 5'!D1396),"",IF('Q 5'!D1396="&lt;please select&gt;","",'Q 5'!D1396))</f>
        <v>Category A</v>
      </c>
    </row>
    <row r="5341" spans="1:11" x14ac:dyDescent="0.3">
      <c r="A5341" t="s">
        <v>1910</v>
      </c>
      <c r="B5341" t="s">
        <v>1912</v>
      </c>
      <c r="C5341">
        <v>9</v>
      </c>
      <c r="D5341" t="s">
        <v>1447</v>
      </c>
      <c r="E5341" t="s">
        <v>1913</v>
      </c>
      <c r="F5341" t="s">
        <v>1737</v>
      </c>
      <c r="K5341" t="str">
        <f>IF(ISBLANK('Q 5'!D1397),"",IF('Q 5'!D1397="&lt;please select&gt;","",'Q 5'!D1397))</f>
        <v>Category A</v>
      </c>
    </row>
    <row r="5342" spans="1:11" x14ac:dyDescent="0.3">
      <c r="A5342" t="s">
        <v>1910</v>
      </c>
      <c r="B5342" t="s">
        <v>1912</v>
      </c>
      <c r="C5342">
        <v>10</v>
      </c>
      <c r="D5342" t="s">
        <v>1447</v>
      </c>
      <c r="E5342" t="s">
        <v>1913</v>
      </c>
      <c r="F5342" t="s">
        <v>1737</v>
      </c>
      <c r="K5342" t="str">
        <f>IF(ISBLANK('Q 5'!D1398),"",IF('Q 5'!D1398="&lt;please select&gt;","",'Q 5'!D1398))</f>
        <v>Category B</v>
      </c>
    </row>
    <row r="5343" spans="1:11" x14ac:dyDescent="0.3">
      <c r="A5343" t="s">
        <v>1910</v>
      </c>
      <c r="B5343" t="s">
        <v>1912</v>
      </c>
      <c r="C5343">
        <v>11</v>
      </c>
      <c r="D5343" t="s">
        <v>1447</v>
      </c>
      <c r="E5343" t="s">
        <v>1913</v>
      </c>
      <c r="F5343" t="s">
        <v>1737</v>
      </c>
      <c r="K5343" t="str">
        <f>IF(ISBLANK('Q 5'!D1399),"",IF('Q 5'!D1399="&lt;please select&gt;","",'Q 5'!D1399))</f>
        <v>Category C</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2</v>
      </c>
    </row>
    <row r="5384" spans="1:11" x14ac:dyDescent="0.3">
      <c r="A5384" t="s">
        <v>1910</v>
      </c>
      <c r="B5384" t="s">
        <v>1912</v>
      </c>
      <c r="C5384">
        <v>2</v>
      </c>
      <c r="D5384" t="s">
        <v>1447</v>
      </c>
      <c r="E5384" t="s">
        <v>1914</v>
      </c>
      <c r="F5384" t="s">
        <v>1748</v>
      </c>
      <c r="H5384" t="str">
        <f>IF(ISBLANK('Q 5'!E1390),"",IF('Q 5'!E1390="&lt;please select&gt;","",'Q 5'!E1390))</f>
        <v>2</v>
      </c>
    </row>
    <row r="5385" spans="1:11" x14ac:dyDescent="0.3">
      <c r="A5385" t="s">
        <v>1910</v>
      </c>
      <c r="B5385" t="s">
        <v>1912</v>
      </c>
      <c r="C5385">
        <v>3</v>
      </c>
      <c r="D5385" t="s">
        <v>1447</v>
      </c>
      <c r="E5385" t="s">
        <v>1914</v>
      </c>
      <c r="F5385" t="s">
        <v>1748</v>
      </c>
      <c r="H5385" t="str">
        <f>IF(ISBLANK('Q 5'!E1391),"",IF('Q 5'!E1391="&lt;please select&gt;","",'Q 5'!E1391))</f>
        <v>14</v>
      </c>
    </row>
    <row r="5386" spans="1:11" x14ac:dyDescent="0.3">
      <c r="A5386" t="s">
        <v>1910</v>
      </c>
      <c r="B5386" t="s">
        <v>1912</v>
      </c>
      <c r="C5386">
        <v>4</v>
      </c>
      <c r="D5386" t="s">
        <v>1447</v>
      </c>
      <c r="E5386" t="s">
        <v>1914</v>
      </c>
      <c r="F5386" t="s">
        <v>1748</v>
      </c>
      <c r="H5386" t="str">
        <f>IF(ISBLANK('Q 5'!E1392),"",IF('Q 5'!E1392="&lt;please select&gt;","",'Q 5'!E1392))</f>
        <v>1</v>
      </c>
    </row>
    <row r="5387" spans="1:11" x14ac:dyDescent="0.3">
      <c r="A5387" t="s">
        <v>1910</v>
      </c>
      <c r="B5387" t="s">
        <v>1912</v>
      </c>
      <c r="C5387">
        <v>5</v>
      </c>
      <c r="D5387" t="s">
        <v>1447</v>
      </c>
      <c r="E5387" t="s">
        <v>1914</v>
      </c>
      <c r="F5387" t="s">
        <v>1748</v>
      </c>
      <c r="H5387" t="str">
        <f>IF(ISBLANK('Q 5'!E1393),"",IF('Q 5'!E1393="&lt;please select&gt;","",'Q 5'!E1393))</f>
        <v>2</v>
      </c>
    </row>
    <row r="5388" spans="1:11" x14ac:dyDescent="0.3">
      <c r="A5388" t="s">
        <v>1910</v>
      </c>
      <c r="B5388" t="s">
        <v>1912</v>
      </c>
      <c r="C5388">
        <v>6</v>
      </c>
      <c r="D5388" t="s">
        <v>1447</v>
      </c>
      <c r="E5388" t="s">
        <v>1914</v>
      </c>
      <c r="F5388" t="s">
        <v>1748</v>
      </c>
      <c r="H5388" t="str">
        <f>IF(ISBLANK('Q 5'!E1394),"",IF('Q 5'!E1394="&lt;please select&gt;","",'Q 5'!E1394))</f>
        <v>3</v>
      </c>
    </row>
    <row r="5389" spans="1:11" x14ac:dyDescent="0.3">
      <c r="A5389" t="s">
        <v>1910</v>
      </c>
      <c r="B5389" t="s">
        <v>1912</v>
      </c>
      <c r="C5389">
        <v>7</v>
      </c>
      <c r="D5389" t="s">
        <v>1447</v>
      </c>
      <c r="E5389" t="s">
        <v>1914</v>
      </c>
      <c r="F5389" t="s">
        <v>1748</v>
      </c>
      <c r="H5389" t="str">
        <f>IF(ISBLANK('Q 5'!E1395),"",IF('Q 5'!E1395="&lt;please select&gt;","",'Q 5'!E1395))</f>
        <v>1</v>
      </c>
    </row>
    <row r="5390" spans="1:11" x14ac:dyDescent="0.3">
      <c r="A5390" t="s">
        <v>1910</v>
      </c>
      <c r="B5390" t="s">
        <v>1912</v>
      </c>
      <c r="C5390">
        <v>8</v>
      </c>
      <c r="D5390" t="s">
        <v>1447</v>
      </c>
      <c r="E5390" t="s">
        <v>1914</v>
      </c>
      <c r="F5390" t="s">
        <v>1748</v>
      </c>
      <c r="H5390" t="str">
        <f>IF(ISBLANK('Q 5'!E1396),"",IF('Q 5'!E1396="&lt;please select&gt;","",'Q 5'!E1396))</f>
        <v>1</v>
      </c>
    </row>
    <row r="5391" spans="1:11" x14ac:dyDescent="0.3">
      <c r="A5391" t="s">
        <v>1910</v>
      </c>
      <c r="B5391" t="s">
        <v>1912</v>
      </c>
      <c r="C5391">
        <v>9</v>
      </c>
      <c r="D5391" t="s">
        <v>1447</v>
      </c>
      <c r="E5391" t="s">
        <v>1914</v>
      </c>
      <c r="F5391" t="s">
        <v>1748</v>
      </c>
      <c r="H5391" t="str">
        <f>IF(ISBLANK('Q 5'!E1397),"",IF('Q 5'!E1397="&lt;please select&gt;","",'Q 5'!E1397))</f>
        <v>1</v>
      </c>
    </row>
    <row r="5392" spans="1:11" x14ac:dyDescent="0.3">
      <c r="A5392" t="s">
        <v>1910</v>
      </c>
      <c r="B5392" t="s">
        <v>1912</v>
      </c>
      <c r="C5392">
        <v>10</v>
      </c>
      <c r="D5392" t="s">
        <v>1447</v>
      </c>
      <c r="E5392" t="s">
        <v>1914</v>
      </c>
      <c r="F5392" t="s">
        <v>1748</v>
      </c>
      <c r="H5392" t="str">
        <f>IF(ISBLANK('Q 5'!E1398),"",IF('Q 5'!E1398="&lt;please select&gt;","",'Q 5'!E1398))</f>
        <v>4</v>
      </c>
    </row>
    <row r="5393" spans="1:8" x14ac:dyDescent="0.3">
      <c r="A5393" t="s">
        <v>1910</v>
      </c>
      <c r="B5393" t="s">
        <v>1912</v>
      </c>
      <c r="C5393">
        <v>11</v>
      </c>
      <c r="D5393" t="s">
        <v>1447</v>
      </c>
      <c r="E5393" t="s">
        <v>1914</v>
      </c>
      <c r="F5393" t="s">
        <v>1748</v>
      </c>
      <c r="H5393" t="str">
        <f>IF(ISBLANK('Q 5'!E1399),"",IF('Q 5'!E1399="&lt;please select&gt;","",'Q 5'!E1399))</f>
        <v>1</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0</v>
      </c>
    </row>
    <row r="5434" spans="1:9" x14ac:dyDescent="0.3">
      <c r="A5434" t="s">
        <v>1910</v>
      </c>
      <c r="B5434" t="s">
        <v>1912</v>
      </c>
      <c r="C5434">
        <v>2</v>
      </c>
      <c r="D5434" t="s">
        <v>1447</v>
      </c>
      <c r="E5434" t="s">
        <v>1915</v>
      </c>
      <c r="F5434" t="s">
        <v>1806</v>
      </c>
      <c r="I5434" t="str">
        <f>IF(ISBLANK('Q 5'!F1390),"",IF('Q 5'!F1390="&lt;please select&gt;","",'Q 5'!F1390))</f>
        <v>0</v>
      </c>
    </row>
    <row r="5435" spans="1:9" x14ac:dyDescent="0.3">
      <c r="A5435" t="s">
        <v>1910</v>
      </c>
      <c r="B5435" t="s">
        <v>1912</v>
      </c>
      <c r="C5435">
        <v>3</v>
      </c>
      <c r="D5435" t="s">
        <v>1447</v>
      </c>
      <c r="E5435" t="s">
        <v>1915</v>
      </c>
      <c r="F5435" t="s">
        <v>1806</v>
      </c>
      <c r="I5435" t="str">
        <f>IF(ISBLANK('Q 5'!F1391),"",IF('Q 5'!F1391="&lt;please select&gt;","",'Q 5'!F1391))</f>
        <v>0</v>
      </c>
    </row>
    <row r="5436" spans="1:9" x14ac:dyDescent="0.3">
      <c r="A5436" t="s">
        <v>1910</v>
      </c>
      <c r="B5436" t="s">
        <v>1912</v>
      </c>
      <c r="C5436">
        <v>4</v>
      </c>
      <c r="D5436" t="s">
        <v>1447</v>
      </c>
      <c r="E5436" t="s">
        <v>1915</v>
      </c>
      <c r="F5436" t="s">
        <v>1806</v>
      </c>
      <c r="I5436" t="str">
        <f>IF(ISBLANK('Q 5'!F1392),"",IF('Q 5'!F1392="&lt;please select&gt;","",'Q 5'!F1392))</f>
        <v>7922.6</v>
      </c>
    </row>
    <row r="5437" spans="1:9" x14ac:dyDescent="0.3">
      <c r="A5437" t="s">
        <v>1910</v>
      </c>
      <c r="B5437" t="s">
        <v>1912</v>
      </c>
      <c r="C5437">
        <v>5</v>
      </c>
      <c r="D5437" t="s">
        <v>1447</v>
      </c>
      <c r="E5437" t="s">
        <v>1915</v>
      </c>
      <c r="F5437" t="s">
        <v>1806</v>
      </c>
      <c r="I5437" t="str">
        <f>IF(ISBLANK('Q 5'!F1393),"",IF('Q 5'!F1393="&lt;please select&gt;","",'Q 5'!F1393))</f>
        <v>13510.2</v>
      </c>
    </row>
    <row r="5438" spans="1:9" x14ac:dyDescent="0.3">
      <c r="A5438" t="s">
        <v>1910</v>
      </c>
      <c r="B5438" t="s">
        <v>1912</v>
      </c>
      <c r="C5438">
        <v>6</v>
      </c>
      <c r="D5438" t="s">
        <v>1447</v>
      </c>
      <c r="E5438" t="s">
        <v>1915</v>
      </c>
      <c r="F5438" t="s">
        <v>1806</v>
      </c>
      <c r="I5438" t="str">
        <f>IF(ISBLANK('Q 5'!F1394),"",IF('Q 5'!F1394="&lt;please select&gt;","",'Q 5'!F1394))</f>
        <v>0</v>
      </c>
    </row>
    <row r="5439" spans="1:9" x14ac:dyDescent="0.3">
      <c r="A5439" t="s">
        <v>1910</v>
      </c>
      <c r="B5439" t="s">
        <v>1912</v>
      </c>
      <c r="C5439">
        <v>7</v>
      </c>
      <c r="D5439" t="s">
        <v>1447</v>
      </c>
      <c r="E5439" t="s">
        <v>1915</v>
      </c>
      <c r="F5439" t="s">
        <v>1806</v>
      </c>
      <c r="I5439" t="str">
        <f>IF(ISBLANK('Q 5'!F1395),"",IF('Q 5'!F1395="&lt;please select&gt;","",'Q 5'!F1395))</f>
        <v>0</v>
      </c>
    </row>
    <row r="5440" spans="1:9" x14ac:dyDescent="0.3">
      <c r="A5440" t="s">
        <v>1910</v>
      </c>
      <c r="B5440" t="s">
        <v>1912</v>
      </c>
      <c r="C5440">
        <v>8</v>
      </c>
      <c r="D5440" t="s">
        <v>1447</v>
      </c>
      <c r="E5440" t="s">
        <v>1915</v>
      </c>
      <c r="F5440" t="s">
        <v>1806</v>
      </c>
      <c r="I5440" t="str">
        <f>IF(ISBLANK('Q 5'!F1396),"",IF('Q 5'!F1396="&lt;please select&gt;","",'Q 5'!F1396))</f>
        <v>0</v>
      </c>
    </row>
    <row r="5441" spans="1:9" x14ac:dyDescent="0.3">
      <c r="A5441" t="s">
        <v>1910</v>
      </c>
      <c r="B5441" t="s">
        <v>1912</v>
      </c>
      <c r="C5441">
        <v>9</v>
      </c>
      <c r="D5441" t="s">
        <v>1447</v>
      </c>
      <c r="E5441" t="s">
        <v>1915</v>
      </c>
      <c r="F5441" t="s">
        <v>1806</v>
      </c>
      <c r="I5441" t="str">
        <f>IF(ISBLANK('Q 5'!F1397),"",IF('Q 5'!F1397="&lt;please select&gt;","",'Q 5'!F1397))</f>
        <v>0</v>
      </c>
    </row>
    <row r="5442" spans="1:9" x14ac:dyDescent="0.3">
      <c r="A5442" t="s">
        <v>1910</v>
      </c>
      <c r="B5442" t="s">
        <v>1912</v>
      </c>
      <c r="C5442">
        <v>10</v>
      </c>
      <c r="D5442" t="s">
        <v>1447</v>
      </c>
      <c r="E5442" t="s">
        <v>1915</v>
      </c>
      <c r="F5442" t="s">
        <v>1806</v>
      </c>
      <c r="I5442" t="str">
        <f>IF(ISBLANK('Q 5'!F1398),"",IF('Q 5'!F1398="&lt;please select&gt;","",'Q 5'!F1398))</f>
        <v>0</v>
      </c>
    </row>
    <row r="5443" spans="1:9" x14ac:dyDescent="0.3">
      <c r="A5443" t="s">
        <v>1910</v>
      </c>
      <c r="B5443" t="s">
        <v>1912</v>
      </c>
      <c r="C5443">
        <v>11</v>
      </c>
      <c r="D5443" t="s">
        <v>1447</v>
      </c>
      <c r="E5443" t="s">
        <v>1915</v>
      </c>
      <c r="F5443" t="s">
        <v>1806</v>
      </c>
      <c r="I5443" t="str">
        <f>IF(ISBLANK('Q 5'!F1399),"",IF('Q 5'!F1399="&lt;please select&gt;","",'Q 5'!F1399))</f>
        <v>0</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0</v>
      </c>
    </row>
    <row r="5491" spans="1:9" x14ac:dyDescent="0.3">
      <c r="A5491" t="s">
        <v>1910</v>
      </c>
      <c r="B5491" t="s">
        <v>1912</v>
      </c>
      <c r="C5491">
        <v>9</v>
      </c>
      <c r="D5491" t="s">
        <v>1447</v>
      </c>
      <c r="E5491" t="s">
        <v>1916</v>
      </c>
      <c r="F5491" t="s">
        <v>1806</v>
      </c>
      <c r="I5491" t="str">
        <f>IF(ISBLANK('Q 5'!G1397),"",IF('Q 5'!G1397="&lt;please select&gt;","",'Q 5'!G1397))</f>
        <v>0</v>
      </c>
    </row>
    <row r="5492" spans="1:9" x14ac:dyDescent="0.3">
      <c r="A5492" t="s">
        <v>1910</v>
      </c>
      <c r="B5492" t="s">
        <v>1912</v>
      </c>
      <c r="C5492">
        <v>10</v>
      </c>
      <c r="D5492" t="s">
        <v>1447</v>
      </c>
      <c r="E5492" t="s">
        <v>1916</v>
      </c>
      <c r="F5492" t="s">
        <v>1806</v>
      </c>
      <c r="I5492" t="str">
        <f>IF(ISBLANK('Q 5'!G1398),"",IF('Q 5'!G1398="&lt;please select&gt;","",'Q 5'!G1398))</f>
        <v>0</v>
      </c>
    </row>
    <row r="5493" spans="1:9" x14ac:dyDescent="0.3">
      <c r="A5493" t="s">
        <v>1910</v>
      </c>
      <c r="B5493" t="s">
        <v>1912</v>
      </c>
      <c r="C5493">
        <v>11</v>
      </c>
      <c r="D5493" t="s">
        <v>1447</v>
      </c>
      <c r="E5493" t="s">
        <v>1916</v>
      </c>
      <c r="F5493" t="s">
        <v>1806</v>
      </c>
      <c r="I5493" t="str">
        <f>IF(ISBLANK('Q 5'!G1399),"",IF('Q 5'!G1399="&lt;please select&gt;","",'Q 5'!G1399))</f>
        <v>0</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0</v>
      </c>
    </row>
    <row r="5534" spans="1:9" x14ac:dyDescent="0.3">
      <c r="A5534" t="s">
        <v>1910</v>
      </c>
      <c r="B5534" t="s">
        <v>1912</v>
      </c>
      <c r="C5534">
        <v>2</v>
      </c>
      <c r="D5534" t="s">
        <v>1447</v>
      </c>
      <c r="E5534" t="s">
        <v>1917</v>
      </c>
      <c r="F5534" t="s">
        <v>1806</v>
      </c>
      <c r="I5534" t="str">
        <f>IF(ISBLANK('Q 5'!H1390),"",IF('Q 5'!H1390="&lt;please select&gt;","",'Q 5'!H1390))</f>
        <v>0</v>
      </c>
    </row>
    <row r="5535" spans="1:9" x14ac:dyDescent="0.3">
      <c r="A5535" t="s">
        <v>1910</v>
      </c>
      <c r="B5535" t="s">
        <v>1912</v>
      </c>
      <c r="C5535">
        <v>3</v>
      </c>
      <c r="D5535" t="s">
        <v>1447</v>
      </c>
      <c r="E5535" t="s">
        <v>1917</v>
      </c>
      <c r="F5535" t="s">
        <v>1806</v>
      </c>
      <c r="I5535" t="str">
        <f>IF(ISBLANK('Q 5'!H1391),"",IF('Q 5'!H1391="&lt;please select&gt;","",'Q 5'!H1391))</f>
        <v>0</v>
      </c>
    </row>
    <row r="5536" spans="1:9" x14ac:dyDescent="0.3">
      <c r="A5536" t="s">
        <v>1910</v>
      </c>
      <c r="B5536" t="s">
        <v>1912</v>
      </c>
      <c r="C5536">
        <v>4</v>
      </c>
      <c r="D5536" t="s">
        <v>1447</v>
      </c>
      <c r="E5536" t="s">
        <v>1917</v>
      </c>
      <c r="F5536" t="s">
        <v>1806</v>
      </c>
      <c r="I5536" t="str">
        <f>IF(ISBLANK('Q 5'!H1392),"",IF('Q 5'!H1392="&lt;please select&gt;","",'Q 5'!H1392))</f>
        <v>0</v>
      </c>
    </row>
    <row r="5537" spans="1:9" x14ac:dyDescent="0.3">
      <c r="A5537" t="s">
        <v>1910</v>
      </c>
      <c r="B5537" t="s">
        <v>1912</v>
      </c>
      <c r="C5537">
        <v>5</v>
      </c>
      <c r="D5537" t="s">
        <v>1447</v>
      </c>
      <c r="E5537" t="s">
        <v>1917</v>
      </c>
      <c r="F5537" t="s">
        <v>1806</v>
      </c>
      <c r="I5537" t="str">
        <f>IF(ISBLANK('Q 5'!H1393),"",IF('Q 5'!H1393="&lt;please select&gt;","",'Q 5'!H1393))</f>
        <v>0</v>
      </c>
    </row>
    <row r="5538" spans="1:9" x14ac:dyDescent="0.3">
      <c r="A5538" t="s">
        <v>1910</v>
      </c>
      <c r="B5538" t="s">
        <v>1912</v>
      </c>
      <c r="C5538">
        <v>6</v>
      </c>
      <c r="D5538" t="s">
        <v>1447</v>
      </c>
      <c r="E5538" t="s">
        <v>1917</v>
      </c>
      <c r="F5538" t="s">
        <v>1806</v>
      </c>
      <c r="I5538" t="str">
        <f>IF(ISBLANK('Q 5'!H1394),"",IF('Q 5'!H1394="&lt;please select&gt;","",'Q 5'!H1394))</f>
        <v>0</v>
      </c>
    </row>
    <row r="5539" spans="1:9" x14ac:dyDescent="0.3">
      <c r="A5539" t="s">
        <v>1910</v>
      </c>
      <c r="B5539" t="s">
        <v>1912</v>
      </c>
      <c r="C5539">
        <v>7</v>
      </c>
      <c r="D5539" t="s">
        <v>1447</v>
      </c>
      <c r="E5539" t="s">
        <v>1917</v>
      </c>
      <c r="F5539" t="s">
        <v>1806</v>
      </c>
      <c r="I5539" t="str">
        <f>IF(ISBLANK('Q 5'!H1395),"",IF('Q 5'!H1395="&lt;please select&gt;","",'Q 5'!H1395))</f>
        <v>0</v>
      </c>
    </row>
    <row r="5540" spans="1:9" x14ac:dyDescent="0.3">
      <c r="A5540" t="s">
        <v>1910</v>
      </c>
      <c r="B5540" t="s">
        <v>1912</v>
      </c>
      <c r="C5540">
        <v>8</v>
      </c>
      <c r="D5540" t="s">
        <v>1447</v>
      </c>
      <c r="E5540" t="s">
        <v>1917</v>
      </c>
      <c r="F5540" t="s">
        <v>1806</v>
      </c>
      <c r="I5540" t="str">
        <f>IF(ISBLANK('Q 5'!H1396),"",IF('Q 5'!H1396="&lt;please select&gt;","",'Q 5'!H1396))</f>
        <v>0</v>
      </c>
    </row>
    <row r="5541" spans="1:9" x14ac:dyDescent="0.3">
      <c r="A5541" t="s">
        <v>1910</v>
      </c>
      <c r="B5541" t="s">
        <v>1912</v>
      </c>
      <c r="C5541">
        <v>9</v>
      </c>
      <c r="D5541" t="s">
        <v>1447</v>
      </c>
      <c r="E5541" t="s">
        <v>1917</v>
      </c>
      <c r="F5541" t="s">
        <v>1806</v>
      </c>
      <c r="I5541" t="str">
        <f>IF(ISBLANK('Q 5'!H1397),"",IF('Q 5'!H1397="&lt;please select&gt;","",'Q 5'!H1397))</f>
        <v>0</v>
      </c>
    </row>
    <row r="5542" spans="1:9" x14ac:dyDescent="0.3">
      <c r="A5542" t="s">
        <v>1910</v>
      </c>
      <c r="B5542" t="s">
        <v>1912</v>
      </c>
      <c r="C5542">
        <v>10</v>
      </c>
      <c r="D5542" t="s">
        <v>1447</v>
      </c>
      <c r="E5542" t="s">
        <v>1917</v>
      </c>
      <c r="F5542" t="s">
        <v>1806</v>
      </c>
      <c r="I5542" t="str">
        <f>IF(ISBLANK('Q 5'!H1398),"",IF('Q 5'!H1398="&lt;please select&gt;","",'Q 5'!H1398))</f>
        <v>0</v>
      </c>
    </row>
    <row r="5543" spans="1:9" x14ac:dyDescent="0.3">
      <c r="A5543" t="s">
        <v>1910</v>
      </c>
      <c r="B5543" t="s">
        <v>1912</v>
      </c>
      <c r="C5543">
        <v>11</v>
      </c>
      <c r="D5543" t="s">
        <v>1447</v>
      </c>
      <c r="E5543" t="s">
        <v>1917</v>
      </c>
      <c r="F5543" t="s">
        <v>1806</v>
      </c>
      <c r="I5543" t="str">
        <f>IF(ISBLANK('Q 5'!H1399),"",IF('Q 5'!H1399="&lt;please select&gt;","",'Q 5'!H1399))</f>
        <v>0</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267.14</v>
      </c>
    </row>
    <row r="5584" spans="1:9" x14ac:dyDescent="0.3">
      <c r="A5584" t="s">
        <v>1910</v>
      </c>
      <c r="B5584" t="s">
        <v>1912</v>
      </c>
      <c r="C5584">
        <v>2</v>
      </c>
      <c r="D5584" t="s">
        <v>1447</v>
      </c>
      <c r="E5584" t="s">
        <v>1918</v>
      </c>
      <c r="F5584" t="s">
        <v>1806</v>
      </c>
      <c r="I5584" t="str">
        <f>IF(ISBLANK('Q 5'!I1390),"",IF('Q 5'!I1390="&lt;please select&gt;","",'Q 5'!I1390))</f>
        <v>96.66</v>
      </c>
    </row>
    <row r="5585" spans="1:9" x14ac:dyDescent="0.3">
      <c r="A5585" t="s">
        <v>1910</v>
      </c>
      <c r="B5585" t="s">
        <v>1912</v>
      </c>
      <c r="C5585">
        <v>3</v>
      </c>
      <c r="D5585" t="s">
        <v>1447</v>
      </c>
      <c r="E5585" t="s">
        <v>1918</v>
      </c>
      <c r="F5585" t="s">
        <v>1806</v>
      </c>
      <c r="I5585" t="str">
        <f>IF(ISBLANK('Q 5'!I1391),"",IF('Q 5'!I1391="&lt;please select&gt;","",'Q 5'!I1391))</f>
        <v>1020.4</v>
      </c>
    </row>
    <row r="5586" spans="1:9" x14ac:dyDescent="0.3">
      <c r="A5586" t="s">
        <v>1910</v>
      </c>
      <c r="B5586" t="s">
        <v>1912</v>
      </c>
      <c r="C5586">
        <v>4</v>
      </c>
      <c r="D5586" t="s">
        <v>1447</v>
      </c>
      <c r="E5586" t="s">
        <v>1918</v>
      </c>
      <c r="F5586" t="s">
        <v>1806</v>
      </c>
      <c r="I5586" t="str">
        <f>IF(ISBLANK('Q 5'!I1392),"",IF('Q 5'!I1392="&lt;please select&gt;","",'Q 5'!I1392))</f>
        <v>80.38</v>
      </c>
    </row>
    <row r="5587" spans="1:9" x14ac:dyDescent="0.3">
      <c r="A5587" t="s">
        <v>1910</v>
      </c>
      <c r="B5587" t="s">
        <v>1912</v>
      </c>
      <c r="C5587">
        <v>5</v>
      </c>
      <c r="D5587" t="s">
        <v>1447</v>
      </c>
      <c r="E5587" t="s">
        <v>1918</v>
      </c>
      <c r="F5587" t="s">
        <v>1806</v>
      </c>
      <c r="I5587" t="str">
        <f>IF(ISBLANK('Q 5'!I1393),"",IF('Q 5'!I1393="&lt;please select&gt;","",'Q 5'!I1393))</f>
        <v>179.42</v>
      </c>
    </row>
    <row r="5588" spans="1:9" x14ac:dyDescent="0.3">
      <c r="A5588" t="s">
        <v>1910</v>
      </c>
      <c r="B5588" t="s">
        <v>1912</v>
      </c>
      <c r="C5588">
        <v>6</v>
      </c>
      <c r="D5588" t="s">
        <v>1447</v>
      </c>
      <c r="E5588" t="s">
        <v>1918</v>
      </c>
      <c r="F5588" t="s">
        <v>1806</v>
      </c>
      <c r="I5588" t="str">
        <f>IF(ISBLANK('Q 5'!I1394),"",IF('Q 5'!I1394="&lt;please select&gt;","",'Q 5'!I1394))</f>
        <v>1228.36</v>
      </c>
    </row>
    <row r="5589" spans="1:9" x14ac:dyDescent="0.3">
      <c r="A5589" t="s">
        <v>1910</v>
      </c>
      <c r="B5589" t="s">
        <v>1912</v>
      </c>
      <c r="C5589">
        <v>7</v>
      </c>
      <c r="D5589" t="s">
        <v>1447</v>
      </c>
      <c r="E5589" t="s">
        <v>1918</v>
      </c>
      <c r="F5589" t="s">
        <v>1806</v>
      </c>
      <c r="I5589" t="str">
        <f>IF(ISBLANK('Q 5'!I1395),"",IF('Q 5'!I1395="&lt;please select&gt;","",'Q 5'!I1395))</f>
        <v>3593.87</v>
      </c>
    </row>
    <row r="5590" spans="1:9" x14ac:dyDescent="0.3">
      <c r="A5590" t="s">
        <v>1910</v>
      </c>
      <c r="B5590" t="s">
        <v>1912</v>
      </c>
      <c r="C5590">
        <v>8</v>
      </c>
      <c r="D5590" t="s">
        <v>1447</v>
      </c>
      <c r="E5590" t="s">
        <v>1918</v>
      </c>
      <c r="F5590" t="s">
        <v>1806</v>
      </c>
      <c r="I5590" t="str">
        <f>IF(ISBLANK('Q 5'!I1396),"",IF('Q 5'!I1396="&lt;please select&gt;","",'Q 5'!I1396))</f>
        <v>30.55</v>
      </c>
    </row>
    <row r="5591" spans="1:9" x14ac:dyDescent="0.3">
      <c r="A5591" t="s">
        <v>1910</v>
      </c>
      <c r="B5591" t="s">
        <v>1912</v>
      </c>
      <c r="C5591">
        <v>9</v>
      </c>
      <c r="D5591" t="s">
        <v>1447</v>
      </c>
      <c r="E5591" t="s">
        <v>1918</v>
      </c>
      <c r="F5591" t="s">
        <v>1806</v>
      </c>
      <c r="I5591" t="str">
        <f>IF(ISBLANK('Q 5'!I1397),"",IF('Q 5'!I1397="&lt;please select&gt;","",'Q 5'!I1397))</f>
        <v>3992.66</v>
      </c>
    </row>
    <row r="5592" spans="1:9" x14ac:dyDescent="0.3">
      <c r="A5592" t="s">
        <v>1910</v>
      </c>
      <c r="B5592" t="s">
        <v>1912</v>
      </c>
      <c r="C5592">
        <v>10</v>
      </c>
      <c r="D5592" t="s">
        <v>1447</v>
      </c>
      <c r="E5592" t="s">
        <v>1918</v>
      </c>
      <c r="F5592" t="s">
        <v>1806</v>
      </c>
      <c r="I5592" t="str">
        <f>IF(ISBLANK('Q 5'!I1398),"",IF('Q 5'!I1398="&lt;please select&gt;","",'Q 5'!I1398))</f>
        <v>38049.1</v>
      </c>
    </row>
    <row r="5593" spans="1:9" x14ac:dyDescent="0.3">
      <c r="A5593" t="s">
        <v>1910</v>
      </c>
      <c r="B5593" t="s">
        <v>1912</v>
      </c>
      <c r="C5593">
        <v>11</v>
      </c>
      <c r="D5593" t="s">
        <v>1447</v>
      </c>
      <c r="E5593" t="s">
        <v>1918</v>
      </c>
      <c r="F5593" t="s">
        <v>1806</v>
      </c>
      <c r="I5593" t="str">
        <f>IF(ISBLANK('Q 5'!I1399),"",IF('Q 5'!I1399="&lt;please select&gt;","",'Q 5'!I1399))</f>
        <v>7.28</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0</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0</v>
      </c>
    </row>
    <row r="5641" spans="1:9" x14ac:dyDescent="0.3">
      <c r="A5641" t="s">
        <v>1910</v>
      </c>
      <c r="B5641" t="s">
        <v>1912</v>
      </c>
      <c r="C5641">
        <v>9</v>
      </c>
      <c r="D5641" t="s">
        <v>1447</v>
      </c>
      <c r="E5641" t="s">
        <v>1919</v>
      </c>
      <c r="F5641" t="s">
        <v>1806</v>
      </c>
      <c r="I5641" t="str">
        <f>IF(ISBLANK('Q 5'!J1397),"",IF('Q 5'!J1397="&lt;please select&gt;","",'Q 5'!J1397))</f>
        <v>0</v>
      </c>
    </row>
    <row r="5642" spans="1:9" x14ac:dyDescent="0.3">
      <c r="A5642" t="s">
        <v>1910</v>
      </c>
      <c r="B5642" t="s">
        <v>1912</v>
      </c>
      <c r="C5642">
        <v>10</v>
      </c>
      <c r="D5642" t="s">
        <v>1447</v>
      </c>
      <c r="E5642" t="s">
        <v>1919</v>
      </c>
      <c r="F5642" t="s">
        <v>1806</v>
      </c>
      <c r="I5642" t="str">
        <f>IF(ISBLANK('Q 5'!J1398),"",IF('Q 5'!J1398="&lt;please select&gt;","",'Q 5'!J1398))</f>
        <v>0</v>
      </c>
    </row>
    <row r="5643" spans="1:9" x14ac:dyDescent="0.3">
      <c r="A5643" t="s">
        <v>1910</v>
      </c>
      <c r="B5643" t="s">
        <v>1912</v>
      </c>
      <c r="C5643">
        <v>11</v>
      </c>
      <c r="D5643" t="s">
        <v>1447</v>
      </c>
      <c r="E5643" t="s">
        <v>1919</v>
      </c>
      <c r="F5643" t="s">
        <v>1806</v>
      </c>
      <c r="I5643" t="str">
        <f>IF(ISBLANK('Q 5'!J1399),"",IF('Q 5'!J1399="&lt;please select&gt;","",'Q 5'!J1399))</f>
        <v>0</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0</v>
      </c>
    </row>
    <row r="5684" spans="1:9" x14ac:dyDescent="0.3">
      <c r="A5684" t="s">
        <v>1910</v>
      </c>
      <c r="B5684" t="s">
        <v>1912</v>
      </c>
      <c r="C5684">
        <v>2</v>
      </c>
      <c r="D5684" t="s">
        <v>1447</v>
      </c>
      <c r="E5684" t="s">
        <v>1920</v>
      </c>
      <c r="F5684" t="s">
        <v>1806</v>
      </c>
      <c r="I5684" t="str">
        <f>IF(ISBLANK('Q 5'!K1390),"",IF('Q 5'!K1390="&lt;please select&gt;","",'Q 5'!K1390))</f>
        <v>0</v>
      </c>
    </row>
    <row r="5685" spans="1:9" x14ac:dyDescent="0.3">
      <c r="A5685" t="s">
        <v>1910</v>
      </c>
      <c r="B5685" t="s">
        <v>1912</v>
      </c>
      <c r="C5685">
        <v>3</v>
      </c>
      <c r="D5685" t="s">
        <v>1447</v>
      </c>
      <c r="E5685" t="s">
        <v>1920</v>
      </c>
      <c r="F5685" t="s">
        <v>1806</v>
      </c>
      <c r="I5685" t="str">
        <f>IF(ISBLANK('Q 5'!K1391),"",IF('Q 5'!K1391="&lt;please select&gt;","",'Q 5'!K1391))</f>
        <v>0</v>
      </c>
    </row>
    <row r="5686" spans="1:9" x14ac:dyDescent="0.3">
      <c r="A5686" t="s">
        <v>1910</v>
      </c>
      <c r="B5686" t="s">
        <v>1912</v>
      </c>
      <c r="C5686">
        <v>4</v>
      </c>
      <c r="D5686" t="s">
        <v>1447</v>
      </c>
      <c r="E5686" t="s">
        <v>1920</v>
      </c>
      <c r="F5686" t="s">
        <v>1806</v>
      </c>
      <c r="I5686" t="str">
        <f>IF(ISBLANK('Q 5'!K1392),"",IF('Q 5'!K1392="&lt;please select&gt;","",'Q 5'!K1392))</f>
        <v>0</v>
      </c>
    </row>
    <row r="5687" spans="1:9" x14ac:dyDescent="0.3">
      <c r="A5687" t="s">
        <v>1910</v>
      </c>
      <c r="B5687" t="s">
        <v>1912</v>
      </c>
      <c r="C5687">
        <v>5</v>
      </c>
      <c r="D5687" t="s">
        <v>1447</v>
      </c>
      <c r="E5687" t="s">
        <v>1920</v>
      </c>
      <c r="F5687" t="s">
        <v>1806</v>
      </c>
      <c r="I5687" t="str">
        <f>IF(ISBLANK('Q 5'!K1393),"",IF('Q 5'!K1393="&lt;please select&gt;","",'Q 5'!K1393))</f>
        <v>0</v>
      </c>
    </row>
    <row r="5688" spans="1:9" x14ac:dyDescent="0.3">
      <c r="A5688" t="s">
        <v>1910</v>
      </c>
      <c r="B5688" t="s">
        <v>1912</v>
      </c>
      <c r="C5688">
        <v>6</v>
      </c>
      <c r="D5688" t="s">
        <v>1447</v>
      </c>
      <c r="E5688" t="s">
        <v>1920</v>
      </c>
      <c r="F5688" t="s">
        <v>1806</v>
      </c>
      <c r="I5688" t="str">
        <f>IF(ISBLANK('Q 5'!K1394),"",IF('Q 5'!K1394="&lt;please select&gt;","",'Q 5'!K1394))</f>
        <v>0</v>
      </c>
    </row>
    <row r="5689" spans="1:9" x14ac:dyDescent="0.3">
      <c r="A5689" t="s">
        <v>1910</v>
      </c>
      <c r="B5689" t="s">
        <v>1912</v>
      </c>
      <c r="C5689">
        <v>7</v>
      </c>
      <c r="D5689" t="s">
        <v>1447</v>
      </c>
      <c r="E5689" t="s">
        <v>1920</v>
      </c>
      <c r="F5689" t="s">
        <v>1806</v>
      </c>
      <c r="I5689" t="str">
        <f>IF(ISBLANK('Q 5'!K1395),"",IF('Q 5'!K1395="&lt;please select&gt;","",'Q 5'!K1395))</f>
        <v>0</v>
      </c>
    </row>
    <row r="5690" spans="1:9" x14ac:dyDescent="0.3">
      <c r="A5690" t="s">
        <v>1910</v>
      </c>
      <c r="B5690" t="s">
        <v>1912</v>
      </c>
      <c r="C5690">
        <v>8</v>
      </c>
      <c r="D5690" t="s">
        <v>1447</v>
      </c>
      <c r="E5690" t="s">
        <v>1920</v>
      </c>
      <c r="F5690" t="s">
        <v>1806</v>
      </c>
      <c r="I5690" t="str">
        <f>IF(ISBLANK('Q 5'!K1396),"",IF('Q 5'!K1396="&lt;please select&gt;","",'Q 5'!K1396))</f>
        <v>0</v>
      </c>
    </row>
    <row r="5691" spans="1:9" x14ac:dyDescent="0.3">
      <c r="A5691" t="s">
        <v>1910</v>
      </c>
      <c r="B5691" t="s">
        <v>1912</v>
      </c>
      <c r="C5691">
        <v>9</v>
      </c>
      <c r="D5691" t="s">
        <v>1447</v>
      </c>
      <c r="E5691" t="s">
        <v>1920</v>
      </c>
      <c r="F5691" t="s">
        <v>1806</v>
      </c>
      <c r="I5691" t="str">
        <f>IF(ISBLANK('Q 5'!K1397),"",IF('Q 5'!K1397="&lt;please select&gt;","",'Q 5'!K1397))</f>
        <v>0</v>
      </c>
    </row>
    <row r="5692" spans="1:9" x14ac:dyDescent="0.3">
      <c r="A5692" t="s">
        <v>1910</v>
      </c>
      <c r="B5692" t="s">
        <v>1912</v>
      </c>
      <c r="C5692">
        <v>10</v>
      </c>
      <c r="D5692" t="s">
        <v>1447</v>
      </c>
      <c r="E5692" t="s">
        <v>1920</v>
      </c>
      <c r="F5692" t="s">
        <v>1806</v>
      </c>
      <c r="I5692" t="str">
        <f>IF(ISBLANK('Q 5'!K1398),"",IF('Q 5'!K1398="&lt;please select&gt;","",'Q 5'!K1398))</f>
        <v>0</v>
      </c>
    </row>
    <row r="5693" spans="1:9" x14ac:dyDescent="0.3">
      <c r="A5693" t="s">
        <v>1910</v>
      </c>
      <c r="B5693" t="s">
        <v>1912</v>
      </c>
      <c r="C5693">
        <v>11</v>
      </c>
      <c r="D5693" t="s">
        <v>1447</v>
      </c>
      <c r="E5693" t="s">
        <v>1920</v>
      </c>
      <c r="F5693" t="s">
        <v>1806</v>
      </c>
      <c r="I5693" t="str">
        <f>IF(ISBLANK('Q 5'!K1399),"",IF('Q 5'!K1399="&lt;please select&gt;","",'Q 5'!K1399))</f>
        <v>0</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363375.9</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1</v>
      </c>
    </row>
    <row r="5746" spans="1:9" x14ac:dyDescent="0.3">
      <c r="A5746" t="s">
        <v>1928</v>
      </c>
      <c r="B5746" t="s">
        <v>1929</v>
      </c>
      <c r="C5746">
        <v>2</v>
      </c>
      <c r="D5746" t="s">
        <v>1447</v>
      </c>
      <c r="E5746" t="s">
        <v>1930</v>
      </c>
      <c r="F5746" t="s">
        <v>1748</v>
      </c>
      <c r="H5746" s="165" t="str">
        <f>IF(ISBLANK('Q 5'!E1463),"",IF('Q 5'!E1463="&lt;please select&gt;","",'Q 5'!E1463))</f>
        <v>2</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622977</v>
      </c>
    </row>
    <row r="5752" spans="1:9" x14ac:dyDescent="0.3">
      <c r="A5752" t="s">
        <v>1932</v>
      </c>
      <c r="B5752" t="s">
        <v>1933</v>
      </c>
      <c r="C5752">
        <v>2</v>
      </c>
      <c r="D5752" t="s">
        <v>1447</v>
      </c>
      <c r="E5752" t="s">
        <v>1934</v>
      </c>
      <c r="F5752" t="s">
        <v>1806</v>
      </c>
      <c r="I5752" t="str">
        <f>IF(ISBLANK('Q 5'!G1473),"",IF('Q 5'!G1473="&lt;please select&gt;","",'Q 5'!G1473))</f>
        <v>42926</v>
      </c>
    </row>
    <row r="5753" spans="1:9" x14ac:dyDescent="0.3">
      <c r="A5753" t="s">
        <v>1932</v>
      </c>
      <c r="B5753" t="s">
        <v>1933</v>
      </c>
      <c r="C5753">
        <v>3</v>
      </c>
      <c r="D5753" t="s">
        <v>1447</v>
      </c>
      <c r="E5753" t="s">
        <v>1934</v>
      </c>
      <c r="F5753" t="s">
        <v>1806</v>
      </c>
      <c r="I5753" t="str">
        <f>IF(ISBLANK('Q 5'!G1474),"",IF('Q 5'!G1474="&lt;please select&gt;","",'Q 5'!G1474))</f>
        <v>1990951</v>
      </c>
    </row>
    <row r="5754" spans="1:9" x14ac:dyDescent="0.3">
      <c r="A5754" t="s">
        <v>1932</v>
      </c>
      <c r="B5754" t="s">
        <v>1933</v>
      </c>
      <c r="C5754">
        <v>4</v>
      </c>
      <c r="D5754" t="s">
        <v>1447</v>
      </c>
      <c r="E5754" t="s">
        <v>1934</v>
      </c>
      <c r="F5754" t="s">
        <v>1806</v>
      </c>
      <c r="I5754" t="str">
        <f>IF(ISBLANK('Q 5'!G1475),"",IF('Q 5'!G1475="&lt;please select&gt;","",'Q 5'!G1475))</f>
        <v>1158564.35505</v>
      </c>
    </row>
    <row r="5755" spans="1:9" x14ac:dyDescent="0.3">
      <c r="A5755" t="s">
        <v>1932</v>
      </c>
      <c r="B5755" t="s">
        <v>1933</v>
      </c>
      <c r="C5755">
        <v>5</v>
      </c>
      <c r="D5755" t="s">
        <v>1447</v>
      </c>
      <c r="E5755" t="s">
        <v>1934</v>
      </c>
      <c r="F5755" t="s">
        <v>1806</v>
      </c>
      <c r="I5755" t="str">
        <f>IF(ISBLANK('Q 5'!G1476),"",IF('Q 5'!G1476="&lt;please select&gt;","",'Q 5'!G1476))</f>
        <v>34370</v>
      </c>
    </row>
    <row r="5756" spans="1:9" x14ac:dyDescent="0.3">
      <c r="A5756" t="s">
        <v>1932</v>
      </c>
      <c r="B5756" t="s">
        <v>1935</v>
      </c>
      <c r="C5756">
        <v>0</v>
      </c>
      <c r="D5756" t="s">
        <v>1447</v>
      </c>
      <c r="E5756" t="s">
        <v>1935</v>
      </c>
      <c r="F5756" t="s">
        <v>1748</v>
      </c>
      <c r="H5756" s="167" t="str">
        <f>IF(ISBLANK('Q 5'!$G$1479),"",IF('Q 5'!$G$1479="&lt;please select&gt;","",'Q 5'!$G$1479))</f>
        <v>5</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
      </c>
    </row>
    <row r="5759" spans="1:9" x14ac:dyDescent="0.3">
      <c r="A5759" t="s">
        <v>1936</v>
      </c>
      <c r="B5759" t="s">
        <v>1939</v>
      </c>
      <c r="C5759">
        <v>0</v>
      </c>
      <c r="D5759" t="s">
        <v>1447</v>
      </c>
      <c r="E5759" t="s">
        <v>1939</v>
      </c>
      <c r="F5759" t="s">
        <v>1806</v>
      </c>
      <c r="I5759" s="165" t="str">
        <f>IF(ISBLANK('Q 5'!$G$1486),"",IF('Q 5'!$G$1486="&lt;please select&gt;","",'Q 5'!$G$1486))</f>
        <v/>
      </c>
    </row>
    <row r="5760" spans="1:9" x14ac:dyDescent="0.3">
      <c r="A5760" t="s">
        <v>1940</v>
      </c>
      <c r="B5760" t="s">
        <v>1941</v>
      </c>
      <c r="C5760">
        <v>1</v>
      </c>
      <c r="D5760" t="s">
        <v>1447</v>
      </c>
      <c r="E5760" t="s">
        <v>1942</v>
      </c>
      <c r="F5760" t="s">
        <v>1748</v>
      </c>
      <c r="H5760" s="165" t="str">
        <f>IF(ISBLANK('Q 5'!H1493),"",IF('Q 5'!H1493="&lt;please select&gt;","",'Q 5'!H1493))</f>
        <v>1</v>
      </c>
    </row>
    <row r="5761" spans="1:11" x14ac:dyDescent="0.3">
      <c r="A5761" t="s">
        <v>1940</v>
      </c>
      <c r="B5761" t="s">
        <v>1941</v>
      </c>
      <c r="C5761">
        <v>2</v>
      </c>
      <c r="D5761" t="s">
        <v>1447</v>
      </c>
      <c r="E5761" t="s">
        <v>1942</v>
      </c>
      <c r="F5761" t="s">
        <v>1748</v>
      </c>
      <c r="H5761" s="165" t="str">
        <f>IF(ISBLANK('Q 5'!H1494),"",IF('Q 5'!H1494="&lt;please select&gt;","",'Q 5'!H1494))</f>
        <v>1</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2</v>
      </c>
    </row>
    <row r="5764" spans="1:11" x14ac:dyDescent="0.3">
      <c r="A5764" t="s">
        <v>1943</v>
      </c>
      <c r="B5764" t="s">
        <v>1944</v>
      </c>
      <c r="C5764">
        <v>0</v>
      </c>
      <c r="D5764" t="s">
        <v>1447</v>
      </c>
      <c r="E5764" t="s">
        <v>1944</v>
      </c>
      <c r="F5764" t="s">
        <v>1748</v>
      </c>
      <c r="H5764" s="165" t="str">
        <f>IF(ISBLANK('Q 5'!$C$1500),"",IF('Q 5'!$C$1500="&lt;please select&gt;","",'Q 5'!$C$1500))</f>
        <v>1</v>
      </c>
    </row>
    <row r="5765" spans="1:11" x14ac:dyDescent="0.3">
      <c r="A5765" t="s">
        <v>1943</v>
      </c>
      <c r="B5765" t="s">
        <v>1945</v>
      </c>
      <c r="C5765">
        <v>0</v>
      </c>
      <c r="D5765" t="s">
        <v>1447</v>
      </c>
      <c r="E5765" t="s">
        <v>1945</v>
      </c>
      <c r="F5765" t="s">
        <v>1748</v>
      </c>
      <c r="H5765" s="165" t="str">
        <f>IF(ISBLANK('Q 5'!$G$1500),"",IF('Q 5'!$G$1500="&lt;please select&gt;","",'Q 5'!$G$1500))</f>
        <v>1</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3</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1</v>
      </c>
    </row>
    <row r="5780" spans="1:11" x14ac:dyDescent="0.3">
      <c r="A5780" t="s">
        <v>1951</v>
      </c>
      <c r="B5780" t="s">
        <v>1952</v>
      </c>
      <c r="C5780">
        <v>4</v>
      </c>
      <c r="D5780" t="s">
        <v>1447</v>
      </c>
      <c r="E5780" t="s">
        <v>1953</v>
      </c>
      <c r="F5780" t="s">
        <v>1748</v>
      </c>
      <c r="H5780" s="165" t="str">
        <f>IF(ISBLANK('Q 6'!F11),"",IF('Q 6'!F11="&lt;please select&gt;","",'Q 6'!F11))</f>
        <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2</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1</v>
      </c>
    </row>
    <row r="5786" spans="1:11" x14ac:dyDescent="0.3">
      <c r="A5786" t="s">
        <v>1951</v>
      </c>
      <c r="B5786" t="s">
        <v>1952</v>
      </c>
      <c r="C5786">
        <v>4</v>
      </c>
      <c r="D5786" t="s">
        <v>1447</v>
      </c>
      <c r="E5786" t="s">
        <v>1955</v>
      </c>
      <c r="F5786" t="s">
        <v>1748</v>
      </c>
      <c r="H5786" s="165" t="str">
        <f>IF(ISBLANK('Q 6'!H11),"",IF('Q 6'!H11="&lt;please select&gt;","",'Q 6'!H11))</f>
        <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Production of coke </v>
      </c>
    </row>
    <row r="5793" spans="1:11" x14ac:dyDescent="0.3">
      <c r="A5793" t="s">
        <v>1951</v>
      </c>
      <c r="B5793" t="s">
        <v>1957</v>
      </c>
      <c r="C5793">
        <v>5</v>
      </c>
      <c r="D5793" t="s">
        <v>1447</v>
      </c>
      <c r="E5793" t="s">
        <v>1958</v>
      </c>
      <c r="F5793" t="s">
        <v>1737</v>
      </c>
      <c r="K5793" t="str">
        <f>IF(ISBLANK('Q 6'!C21),"",IF('Q 6'!C21="&lt;please select&gt;","",'Q 6'!C21))</f>
        <v xml:space="preserve">3 - Metal ore (including sulphide ore) roasting or sintering, including pelletisation </v>
      </c>
    </row>
    <row r="5794" spans="1:11" x14ac:dyDescent="0.3">
      <c r="A5794" t="s">
        <v>1951</v>
      </c>
      <c r="B5794" t="s">
        <v>1957</v>
      </c>
      <c r="C5794">
        <v>6</v>
      </c>
      <c r="D5794" t="s">
        <v>1447</v>
      </c>
      <c r="E5794" t="s">
        <v>1958</v>
      </c>
      <c r="F5794" t="s">
        <v>1737</v>
      </c>
      <c r="K5794" t="str">
        <f>IF(ISBLANK('Q 6'!C22),"",IF('Q 6'!C22="&lt;please select&gt;","",'Q 6'!C22))</f>
        <v>3 - Production of pig iron or steel (primary or secondary fusion) including continuous casting</v>
      </c>
    </row>
    <row r="5795" spans="1:11" x14ac:dyDescent="0.3">
      <c r="A5795" t="s">
        <v>1951</v>
      </c>
      <c r="B5795" t="s">
        <v>1957</v>
      </c>
      <c r="C5795">
        <v>7</v>
      </c>
      <c r="D5795" t="s">
        <v>1447</v>
      </c>
      <c r="E5795" t="s">
        <v>1958</v>
      </c>
      <c r="F5795" t="s">
        <v>1737</v>
      </c>
      <c r="K5795" t="str">
        <f>IF(ISBLANK('Q 6'!C23),"",IF('Q 6'!C23="&lt;please select&gt;","",'Q 6'!C23))</f>
        <v xml:space="preserve">4 - Production or processing of ferrous metals (including ferro-alloys) </v>
      </c>
    </row>
    <row r="5796" spans="1:11" x14ac:dyDescent="0.3">
      <c r="A5796" t="s">
        <v>1951</v>
      </c>
      <c r="B5796" t="s">
        <v>1957</v>
      </c>
      <c r="C5796">
        <v>8</v>
      </c>
      <c r="D5796" t="s">
        <v>1447</v>
      </c>
      <c r="E5796" t="s">
        <v>1958</v>
      </c>
      <c r="F5796" t="s">
        <v>1737</v>
      </c>
      <c r="K5796" t="str">
        <f>IF(ISBLANK('Q 6'!C24),"",IF('Q 6'!C24="&lt;please select&gt;","",'Q 6'!C24))</f>
        <v xml:space="preserve">4 - Production of secondary aluminium </v>
      </c>
    </row>
    <row r="5797" spans="1:11" x14ac:dyDescent="0.3">
      <c r="A5797" t="s">
        <v>1951</v>
      </c>
      <c r="B5797" t="s">
        <v>1957</v>
      </c>
      <c r="C5797">
        <v>9</v>
      </c>
      <c r="D5797" t="s">
        <v>1447</v>
      </c>
      <c r="E5797" t="s">
        <v>1958</v>
      </c>
      <c r="F5797" t="s">
        <v>1737</v>
      </c>
      <c r="K5797" t="str">
        <f>IF(ISBLANK('Q 6'!C25),"",IF('Q 6'!C25="&lt;please select&gt;","",'Q 6'!C25))</f>
        <v xml:space="preserve">4 - Production or processing of ferrous metals (including ferro-alloys) </v>
      </c>
    </row>
    <row r="5798" spans="1:11" x14ac:dyDescent="0.3">
      <c r="A5798" t="s">
        <v>1951</v>
      </c>
      <c r="B5798" t="s">
        <v>1957</v>
      </c>
      <c r="C5798">
        <v>10</v>
      </c>
      <c r="D5798" t="s">
        <v>1447</v>
      </c>
      <c r="E5798" t="s">
        <v>1958</v>
      </c>
      <c r="F5798" t="s">
        <v>1737</v>
      </c>
      <c r="K5798" t="str">
        <f>IF(ISBLANK('Q 6'!C26),"",IF('Q 6'!C26="&lt;please select&gt;","",'Q 6'!C26))</f>
        <v xml:space="preserve">6 - Production of cement clinker </v>
      </c>
    </row>
    <row r="5799" spans="1:11" x14ac:dyDescent="0.3">
      <c r="A5799" t="s">
        <v>1951</v>
      </c>
      <c r="B5799" t="s">
        <v>1957</v>
      </c>
      <c r="C5799">
        <v>11</v>
      </c>
      <c r="D5799" t="s">
        <v>1447</v>
      </c>
      <c r="E5799" t="s">
        <v>1958</v>
      </c>
      <c r="F5799" t="s">
        <v>1737</v>
      </c>
      <c r="K5799" t="str">
        <f>IF(ISBLANK('Q 6'!C27),"",IF('Q 6'!C27="&lt;please select&gt;","",'Q 6'!C27))</f>
        <v xml:space="preserve">6 - Production of lime or calcination of dolomite or magnesite </v>
      </c>
    </row>
    <row r="5800" spans="1:11" x14ac:dyDescent="0.3">
      <c r="A5800" t="s">
        <v>1951</v>
      </c>
      <c r="B5800" t="s">
        <v>1957</v>
      </c>
      <c r="C5800">
        <v>12</v>
      </c>
      <c r="D5800" t="s">
        <v>1447</v>
      </c>
      <c r="E5800" t="s">
        <v>1958</v>
      </c>
      <c r="F5800" t="s">
        <v>1737</v>
      </c>
      <c r="K5800" t="str">
        <f>IF(ISBLANK('Q 6'!C28),"",IF('Q 6'!C28="&lt;please select&gt;","",'Q 6'!C28))</f>
        <v xml:space="preserve">6 - Manufacture of glass including glass fibre </v>
      </c>
    </row>
    <row r="5801" spans="1:11" x14ac:dyDescent="0.3">
      <c r="A5801" t="s">
        <v>1951</v>
      </c>
      <c r="B5801" t="s">
        <v>1957</v>
      </c>
      <c r="C5801">
        <v>13</v>
      </c>
      <c r="D5801" t="s">
        <v>1447</v>
      </c>
      <c r="E5801" t="s">
        <v>1958</v>
      </c>
      <c r="F5801" t="s">
        <v>1737</v>
      </c>
      <c r="K5801" t="str">
        <f>IF(ISBLANK('Q 6'!C29),"",IF('Q 6'!C29="&lt;please select&gt;","",'Q 6'!C29))</f>
        <v xml:space="preserve">6 - Manufacture of mineral wool insulation material </v>
      </c>
    </row>
    <row r="5802" spans="1:11" x14ac:dyDescent="0.3">
      <c r="A5802" t="s">
        <v>1951</v>
      </c>
      <c r="B5802" t="s">
        <v>1957</v>
      </c>
      <c r="C5802">
        <v>14</v>
      </c>
      <c r="D5802" t="s">
        <v>1447</v>
      </c>
      <c r="E5802" t="s">
        <v>1958</v>
      </c>
      <c r="F5802" t="s">
        <v>1737</v>
      </c>
      <c r="K5802" t="str">
        <f>IF(ISBLANK('Q 6'!C30),"",IF('Q 6'!C30="&lt;please select&gt;","",'Q 6'!C30))</f>
        <v>6 - Drying or calcination of gypsum or production of plaster boards and other gypsum products</v>
      </c>
    </row>
    <row r="5803" spans="1:11" x14ac:dyDescent="0.3">
      <c r="A5803" t="s">
        <v>1951</v>
      </c>
      <c r="B5803" t="s">
        <v>1957</v>
      </c>
      <c r="C5803">
        <v>15</v>
      </c>
      <c r="D5803" t="s">
        <v>1447</v>
      </c>
      <c r="E5803" t="s">
        <v>1958</v>
      </c>
      <c r="F5803" t="s">
        <v>1737</v>
      </c>
      <c r="K5803" t="str">
        <f>IF(ISBLANK('Q 6'!C31),"",IF('Q 6'!C31="&lt;please select&gt;","",'Q 6'!C31))</f>
        <v xml:space="preserve">7 - Production of pulp from timber or other fibrous materials </v>
      </c>
    </row>
    <row r="5804" spans="1:11" x14ac:dyDescent="0.3">
      <c r="A5804" t="s">
        <v>1951</v>
      </c>
      <c r="B5804" t="s">
        <v>1957</v>
      </c>
      <c r="C5804">
        <v>16</v>
      </c>
      <c r="D5804" t="s">
        <v>1447</v>
      </c>
      <c r="E5804" t="s">
        <v>1958</v>
      </c>
      <c r="F5804" t="s">
        <v>1737</v>
      </c>
      <c r="K5804" t="str">
        <f>IF(ISBLANK('Q 6'!C32),"",IF('Q 6'!C32="&lt;please select&gt;","",'Q 6'!C32))</f>
        <v>7 - Production of paper or cardboard</v>
      </c>
    </row>
    <row r="5805" spans="1:11" x14ac:dyDescent="0.3">
      <c r="A5805" t="s">
        <v>1951</v>
      </c>
      <c r="B5805" t="s">
        <v>1957</v>
      </c>
      <c r="C5805">
        <v>17</v>
      </c>
      <c r="D5805" t="s">
        <v>1447</v>
      </c>
      <c r="E5805" t="s">
        <v>1958</v>
      </c>
      <c r="F5805" t="s">
        <v>1737</v>
      </c>
      <c r="K5805" t="str">
        <f>IF(ISBLANK('Q 6'!C33),"",IF('Q 6'!C33="&lt;please select&gt;","",'Q 6'!C33))</f>
        <v xml:space="preserve">8 - Production of carbon black </v>
      </c>
    </row>
    <row r="5806" spans="1:11" x14ac:dyDescent="0.3">
      <c r="A5806" t="s">
        <v>1951</v>
      </c>
      <c r="B5806" t="s">
        <v>1957</v>
      </c>
      <c r="C5806">
        <v>18</v>
      </c>
      <c r="D5806" t="s">
        <v>1447</v>
      </c>
      <c r="E5806" t="s">
        <v>1958</v>
      </c>
      <c r="F5806" t="s">
        <v>1737</v>
      </c>
      <c r="K5806" t="str">
        <f>IF(ISBLANK('Q 6'!C34),"",IF('Q 6'!C34="&lt;please select&gt;","",'Q 6'!C34))</f>
        <v xml:space="preserve">8 - Production of ammonia </v>
      </c>
    </row>
    <row r="5807" spans="1:11" x14ac:dyDescent="0.3">
      <c r="A5807" t="s">
        <v>1951</v>
      </c>
      <c r="B5807" t="s">
        <v>1957</v>
      </c>
      <c r="C5807">
        <v>19</v>
      </c>
      <c r="D5807" t="s">
        <v>1447</v>
      </c>
      <c r="E5807" t="s">
        <v>1958</v>
      </c>
      <c r="F5807" t="s">
        <v>1737</v>
      </c>
      <c r="K5807" t="str">
        <f>IF(ISBLANK('Q 6'!C35),"",IF('Q 6'!C35="&lt;please select&gt;","",'Q 6'!C35))</f>
        <v xml:space="preserve">8 - Production of bulk organic chemicals by cracking, reforming, partial or full oxidation or by similar processes </v>
      </c>
    </row>
    <row r="5808" spans="1:11" x14ac:dyDescent="0.3">
      <c r="A5808" t="s">
        <v>1951</v>
      </c>
      <c r="B5808" t="s">
        <v>1957</v>
      </c>
      <c r="C5808">
        <v>20</v>
      </c>
      <c r="D5808" t="s">
        <v>1447</v>
      </c>
      <c r="E5808" t="s">
        <v>1958</v>
      </c>
      <c r="F5808" t="s">
        <v>1737</v>
      </c>
      <c r="K5808" t="str">
        <f>IF(ISBLANK('Q 6'!C36),"",IF('Q 6'!C36="&lt;please select&gt;","",'Q 6'!C36))</f>
        <v xml:space="preserve">8 - Production of hydrogen (H2) and synthesis gas by reforming or partial oxidation </v>
      </c>
    </row>
    <row r="5809" spans="1:11" x14ac:dyDescent="0.3">
      <c r="A5809" t="s">
        <v>1951</v>
      </c>
      <c r="B5809" t="s">
        <v>1957</v>
      </c>
      <c r="C5809">
        <v>21</v>
      </c>
      <c r="D5809" t="s">
        <v>1447</v>
      </c>
      <c r="E5809" t="s">
        <v>1958</v>
      </c>
      <c r="F5809" t="s">
        <v>1737</v>
      </c>
      <c r="K5809" t="str">
        <f>IF(ISBLANK('Q 6'!C37),"",IF('Q 6'!C37="&lt;please select&gt;","",'Q 6'!C37))</f>
        <v>8 - Production of soda ash (Na2CO3) and sodium bicarbonate (NaHCO3)</v>
      </c>
    </row>
    <row r="5810" spans="1:11" x14ac:dyDescent="0.3">
      <c r="A5810" t="s">
        <v>1951</v>
      </c>
      <c r="B5810" t="s">
        <v>1957</v>
      </c>
      <c r="C5810">
        <v>22</v>
      </c>
      <c r="D5810" t="s">
        <v>1447</v>
      </c>
      <c r="E5810" t="s">
        <v>1958</v>
      </c>
      <c r="F5810" t="s">
        <v>1737</v>
      </c>
      <c r="K5810" t="str">
        <f>IF(ISBLANK('Q 6'!C38),"",IF('Q 6'!C38="&lt;please select&gt;","",'Q 6'!C38))</f>
        <v>12 - Aviation activities (emissions and tonne-kilometre data)</v>
      </c>
    </row>
    <row r="5811" spans="1:11" x14ac:dyDescent="0.3">
      <c r="A5811" t="s">
        <v>1951</v>
      </c>
      <c r="B5811" t="s">
        <v>1957</v>
      </c>
      <c r="C5811">
        <v>23</v>
      </c>
      <c r="D5811" t="s">
        <v>1447</v>
      </c>
      <c r="E5811" t="s">
        <v>1958</v>
      </c>
      <c r="F5811" t="s">
        <v>1737</v>
      </c>
      <c r="K5811" t="str">
        <f>IF(ISBLANK('Q 6'!C39),"",IF('Q 6'!C39="&lt;please select&gt;","",'Q 6'!C39))</f>
        <v>98 - Other activities pursuant to Article 10a of Directive 2003/87/EC</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3</v>
      </c>
    </row>
    <row r="5824" spans="1:11" x14ac:dyDescent="0.3">
      <c r="A5824" t="s">
        <v>1951</v>
      </c>
      <c r="B5824" t="s">
        <v>1957</v>
      </c>
      <c r="C5824">
        <v>2</v>
      </c>
      <c r="D5824" t="s">
        <v>1447</v>
      </c>
      <c r="E5824" t="s">
        <v>1959</v>
      </c>
      <c r="F5824" t="s">
        <v>1748</v>
      </c>
      <c r="H5824" s="165" t="str">
        <f>IF(ISBLANK('Q 6'!H18),"",IF('Q 6'!H18="&lt;please select&gt;","",'Q 6'!H18))</f>
        <v>3</v>
      </c>
    </row>
    <row r="5825" spans="1:8" x14ac:dyDescent="0.3">
      <c r="A5825" t="s">
        <v>1951</v>
      </c>
      <c r="B5825" t="s">
        <v>1957</v>
      </c>
      <c r="C5825">
        <v>3</v>
      </c>
      <c r="D5825" t="s">
        <v>1447</v>
      </c>
      <c r="E5825" t="s">
        <v>1959</v>
      </c>
      <c r="F5825" t="s">
        <v>1748</v>
      </c>
      <c r="H5825" s="165" t="str">
        <f>IF(ISBLANK('Q 6'!H19),"",IF('Q 6'!H19="&lt;please select&gt;","",'Q 6'!H19))</f>
        <v>1</v>
      </c>
    </row>
    <row r="5826" spans="1:8" x14ac:dyDescent="0.3">
      <c r="A5826" t="s">
        <v>1951</v>
      </c>
      <c r="B5826" t="s">
        <v>1957</v>
      </c>
      <c r="C5826">
        <v>4</v>
      </c>
      <c r="D5826" t="s">
        <v>1447</v>
      </c>
      <c r="E5826" t="s">
        <v>1959</v>
      </c>
      <c r="F5826" t="s">
        <v>1748</v>
      </c>
      <c r="H5826" s="165" t="str">
        <f>IF(ISBLANK('Q 6'!H20),"",IF('Q 6'!H20="&lt;please select&gt;","",'Q 6'!H20))</f>
        <v>1</v>
      </c>
    </row>
    <row r="5827" spans="1:8" x14ac:dyDescent="0.3">
      <c r="A5827" t="s">
        <v>1951</v>
      </c>
      <c r="B5827" t="s">
        <v>1957</v>
      </c>
      <c r="C5827">
        <v>5</v>
      </c>
      <c r="D5827" t="s">
        <v>1447</v>
      </c>
      <c r="E5827" t="s">
        <v>1959</v>
      </c>
      <c r="F5827" t="s">
        <v>1748</v>
      </c>
      <c r="H5827" s="165" t="str">
        <f>IF(ISBLANK('Q 6'!H21),"",IF('Q 6'!H21="&lt;please select&gt;","",'Q 6'!H21))</f>
        <v>1</v>
      </c>
    </row>
    <row r="5828" spans="1:8" x14ac:dyDescent="0.3">
      <c r="A5828" t="s">
        <v>1951</v>
      </c>
      <c r="B5828" t="s">
        <v>1957</v>
      </c>
      <c r="C5828">
        <v>6</v>
      </c>
      <c r="D5828" t="s">
        <v>1447</v>
      </c>
      <c r="E5828" t="s">
        <v>1959</v>
      </c>
      <c r="F5828" t="s">
        <v>1748</v>
      </c>
      <c r="H5828" s="165" t="str">
        <f>IF(ISBLANK('Q 6'!H22),"",IF('Q 6'!H22="&lt;please select&gt;","",'Q 6'!H22))</f>
        <v>1</v>
      </c>
    </row>
    <row r="5829" spans="1:8" x14ac:dyDescent="0.3">
      <c r="A5829" t="s">
        <v>1951</v>
      </c>
      <c r="B5829" t="s">
        <v>1957</v>
      </c>
      <c r="C5829">
        <v>7</v>
      </c>
      <c r="D5829" t="s">
        <v>1447</v>
      </c>
      <c r="E5829" t="s">
        <v>1959</v>
      </c>
      <c r="F5829" t="s">
        <v>1748</v>
      </c>
      <c r="H5829" s="165" t="str">
        <f>IF(ISBLANK('Q 6'!H23),"",IF('Q 6'!H23="&lt;please select&gt;","",'Q 6'!H23))</f>
        <v>2</v>
      </c>
    </row>
    <row r="5830" spans="1:8" x14ac:dyDescent="0.3">
      <c r="A5830" t="s">
        <v>1951</v>
      </c>
      <c r="B5830" t="s">
        <v>1957</v>
      </c>
      <c r="C5830">
        <v>8</v>
      </c>
      <c r="D5830" t="s">
        <v>1447</v>
      </c>
      <c r="E5830" t="s">
        <v>1959</v>
      </c>
      <c r="F5830" t="s">
        <v>1748</v>
      </c>
      <c r="H5830" s="165" t="str">
        <f>IF(ISBLANK('Q 6'!H24),"",IF('Q 6'!H24="&lt;please select&gt;","",'Q 6'!H24))</f>
        <v>2</v>
      </c>
    </row>
    <row r="5831" spans="1:8" x14ac:dyDescent="0.3">
      <c r="A5831" t="s">
        <v>1951</v>
      </c>
      <c r="B5831" t="s">
        <v>1957</v>
      </c>
      <c r="C5831">
        <v>9</v>
      </c>
      <c r="D5831" t="s">
        <v>1447</v>
      </c>
      <c r="E5831" t="s">
        <v>1959</v>
      </c>
      <c r="F5831" t="s">
        <v>1748</v>
      </c>
      <c r="H5831" s="165" t="str">
        <f>IF(ISBLANK('Q 6'!H25),"",IF('Q 6'!H25="&lt;please select&gt;","",'Q 6'!H25))</f>
        <v>2</v>
      </c>
    </row>
    <row r="5832" spans="1:8" x14ac:dyDescent="0.3">
      <c r="A5832" t="s">
        <v>1951</v>
      </c>
      <c r="B5832" t="s">
        <v>1957</v>
      </c>
      <c r="C5832">
        <v>10</v>
      </c>
      <c r="D5832" t="s">
        <v>1447</v>
      </c>
      <c r="E5832" t="s">
        <v>1959</v>
      </c>
      <c r="F5832" t="s">
        <v>1748</v>
      </c>
      <c r="H5832" s="165" t="str">
        <f>IF(ISBLANK('Q 6'!H26),"",IF('Q 6'!H26="&lt;please select&gt;","",'Q 6'!H26))</f>
        <v>3</v>
      </c>
    </row>
    <row r="5833" spans="1:8" x14ac:dyDescent="0.3">
      <c r="A5833" t="s">
        <v>1951</v>
      </c>
      <c r="B5833" t="s">
        <v>1957</v>
      </c>
      <c r="C5833">
        <v>11</v>
      </c>
      <c r="D5833" t="s">
        <v>1447</v>
      </c>
      <c r="E5833" t="s">
        <v>1959</v>
      </c>
      <c r="F5833" t="s">
        <v>1748</v>
      </c>
      <c r="H5833" s="165" t="str">
        <f>IF(ISBLANK('Q 6'!H27),"",IF('Q 6'!H27="&lt;please select&gt;","",'Q 6'!H27))</f>
        <v>3</v>
      </c>
    </row>
    <row r="5834" spans="1:8" x14ac:dyDescent="0.3">
      <c r="A5834" t="s">
        <v>1951</v>
      </c>
      <c r="B5834" t="s">
        <v>1957</v>
      </c>
      <c r="C5834">
        <v>12</v>
      </c>
      <c r="D5834" t="s">
        <v>1447</v>
      </c>
      <c r="E5834" t="s">
        <v>1959</v>
      </c>
      <c r="F5834" t="s">
        <v>1748</v>
      </c>
      <c r="H5834" s="165" t="str">
        <f>IF(ISBLANK('Q 6'!H28),"",IF('Q 6'!H28="&lt;please select&gt;","",'Q 6'!H28))</f>
        <v>3</v>
      </c>
    </row>
    <row r="5835" spans="1:8" x14ac:dyDescent="0.3">
      <c r="A5835" t="s">
        <v>1951</v>
      </c>
      <c r="B5835" t="s">
        <v>1957</v>
      </c>
      <c r="C5835">
        <v>13</v>
      </c>
      <c r="D5835" t="s">
        <v>1447</v>
      </c>
      <c r="E5835" t="s">
        <v>1959</v>
      </c>
      <c r="F5835" t="s">
        <v>1748</v>
      </c>
      <c r="H5835" s="165" t="str">
        <f>IF(ISBLANK('Q 6'!H29),"",IF('Q 6'!H29="&lt;please select&gt;","",'Q 6'!H29))</f>
        <v>3</v>
      </c>
    </row>
    <row r="5836" spans="1:8" x14ac:dyDescent="0.3">
      <c r="A5836" t="s">
        <v>1951</v>
      </c>
      <c r="B5836" t="s">
        <v>1957</v>
      </c>
      <c r="C5836">
        <v>14</v>
      </c>
      <c r="D5836" t="s">
        <v>1447</v>
      </c>
      <c r="E5836" t="s">
        <v>1959</v>
      </c>
      <c r="F5836" t="s">
        <v>1748</v>
      </c>
      <c r="H5836" s="165" t="str">
        <f>IF(ISBLANK('Q 6'!H30),"",IF('Q 6'!H30="&lt;please select&gt;","",'Q 6'!H30))</f>
        <v>3</v>
      </c>
    </row>
    <row r="5837" spans="1:8" x14ac:dyDescent="0.3">
      <c r="A5837" t="s">
        <v>1951</v>
      </c>
      <c r="B5837" t="s">
        <v>1957</v>
      </c>
      <c r="C5837">
        <v>15</v>
      </c>
      <c r="D5837" t="s">
        <v>1447</v>
      </c>
      <c r="E5837" t="s">
        <v>1959</v>
      </c>
      <c r="F5837" t="s">
        <v>1748</v>
      </c>
      <c r="H5837" s="165" t="str">
        <f>IF(ISBLANK('Q 6'!H31),"",IF('Q 6'!H31="&lt;please select&gt;","",'Q 6'!H31))</f>
        <v>3</v>
      </c>
    </row>
    <row r="5838" spans="1:8" x14ac:dyDescent="0.3">
      <c r="A5838" t="s">
        <v>1951</v>
      </c>
      <c r="B5838" t="s">
        <v>1957</v>
      </c>
      <c r="C5838">
        <v>16</v>
      </c>
      <c r="D5838" t="s">
        <v>1447</v>
      </c>
      <c r="E5838" t="s">
        <v>1959</v>
      </c>
      <c r="F5838" t="s">
        <v>1748</v>
      </c>
      <c r="H5838" s="165" t="str">
        <f>IF(ISBLANK('Q 6'!H32),"",IF('Q 6'!H32="&lt;please select&gt;","",'Q 6'!H32))</f>
        <v>3</v>
      </c>
    </row>
    <row r="5839" spans="1:8" x14ac:dyDescent="0.3">
      <c r="A5839" t="s">
        <v>1951</v>
      </c>
      <c r="B5839" t="s">
        <v>1957</v>
      </c>
      <c r="C5839">
        <v>17</v>
      </c>
      <c r="D5839" t="s">
        <v>1447</v>
      </c>
      <c r="E5839" t="s">
        <v>1959</v>
      </c>
      <c r="F5839" t="s">
        <v>1748</v>
      </c>
      <c r="H5839" s="165" t="str">
        <f>IF(ISBLANK('Q 6'!H33),"",IF('Q 6'!H33="&lt;please select&gt;","",'Q 6'!H33))</f>
        <v>3</v>
      </c>
    </row>
    <row r="5840" spans="1:8" x14ac:dyDescent="0.3">
      <c r="A5840" t="s">
        <v>1951</v>
      </c>
      <c r="B5840" t="s">
        <v>1957</v>
      </c>
      <c r="C5840">
        <v>18</v>
      </c>
      <c r="D5840" t="s">
        <v>1447</v>
      </c>
      <c r="E5840" t="s">
        <v>1959</v>
      </c>
      <c r="F5840" t="s">
        <v>1748</v>
      </c>
      <c r="H5840" s="165" t="str">
        <f>IF(ISBLANK('Q 6'!H34),"",IF('Q 6'!H34="&lt;please select&gt;","",'Q 6'!H34))</f>
        <v>3</v>
      </c>
    </row>
    <row r="5841" spans="1:8" x14ac:dyDescent="0.3">
      <c r="A5841" t="s">
        <v>1951</v>
      </c>
      <c r="B5841" t="s">
        <v>1957</v>
      </c>
      <c r="C5841">
        <v>19</v>
      </c>
      <c r="D5841" t="s">
        <v>1447</v>
      </c>
      <c r="E5841" t="s">
        <v>1959</v>
      </c>
      <c r="F5841" t="s">
        <v>1748</v>
      </c>
      <c r="H5841" s="165" t="str">
        <f>IF(ISBLANK('Q 6'!H35),"",IF('Q 6'!H35="&lt;please select&gt;","",'Q 6'!H35))</f>
        <v>3</v>
      </c>
    </row>
    <row r="5842" spans="1:8" x14ac:dyDescent="0.3">
      <c r="A5842" t="s">
        <v>1951</v>
      </c>
      <c r="B5842" t="s">
        <v>1957</v>
      </c>
      <c r="C5842">
        <v>20</v>
      </c>
      <c r="D5842" t="s">
        <v>1447</v>
      </c>
      <c r="E5842" t="s">
        <v>1959</v>
      </c>
      <c r="F5842" t="s">
        <v>1748</v>
      </c>
      <c r="H5842" s="165" t="str">
        <f>IF(ISBLANK('Q 6'!H36),"",IF('Q 6'!H36="&lt;please select&gt;","",'Q 6'!H36))</f>
        <v>3</v>
      </c>
    </row>
    <row r="5843" spans="1:8" x14ac:dyDescent="0.3">
      <c r="A5843" t="s">
        <v>1951</v>
      </c>
      <c r="B5843" t="s">
        <v>1957</v>
      </c>
      <c r="C5843">
        <v>21</v>
      </c>
      <c r="D5843" t="s">
        <v>1447</v>
      </c>
      <c r="E5843" t="s">
        <v>1959</v>
      </c>
      <c r="F5843" t="s">
        <v>1748</v>
      </c>
      <c r="H5843" s="165" t="str">
        <f>IF(ISBLANK('Q 6'!H37),"",IF('Q 6'!H37="&lt;please select&gt;","",'Q 6'!H37))</f>
        <v>3</v>
      </c>
    </row>
    <row r="5844" spans="1:8" x14ac:dyDescent="0.3">
      <c r="A5844" t="s">
        <v>1951</v>
      </c>
      <c r="B5844" t="s">
        <v>1957</v>
      </c>
      <c r="C5844">
        <v>22</v>
      </c>
      <c r="D5844" t="s">
        <v>1447</v>
      </c>
      <c r="E5844" t="s">
        <v>1959</v>
      </c>
      <c r="F5844" t="s">
        <v>1748</v>
      </c>
      <c r="H5844" s="165" t="str">
        <f>IF(ISBLANK('Q 6'!H38),"",IF('Q 6'!H38="&lt;please select&gt;","",'Q 6'!H38))</f>
        <v>2</v>
      </c>
    </row>
    <row r="5845" spans="1:8" x14ac:dyDescent="0.3">
      <c r="A5845" t="s">
        <v>1951</v>
      </c>
      <c r="B5845" t="s">
        <v>1957</v>
      </c>
      <c r="C5845">
        <v>23</v>
      </c>
      <c r="D5845" t="s">
        <v>1447</v>
      </c>
      <c r="E5845" t="s">
        <v>1959</v>
      </c>
      <c r="F5845" t="s">
        <v>1748</v>
      </c>
      <c r="H5845" s="165" t="str">
        <f>IF(ISBLANK('Q 6'!H39),"",IF('Q 6'!H39="&lt;please select&gt;","",'Q 6'!H39))</f>
        <v>3</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
      </c>
    </row>
    <row r="5858" spans="1:8" x14ac:dyDescent="0.3">
      <c r="A5858" t="s">
        <v>1951</v>
      </c>
      <c r="B5858" t="s">
        <v>1957</v>
      </c>
      <c r="C5858">
        <v>2</v>
      </c>
      <c r="D5858" t="s">
        <v>1447</v>
      </c>
      <c r="E5858" t="s">
        <v>1960</v>
      </c>
      <c r="F5858" t="s">
        <v>1748</v>
      </c>
      <c r="H5858" s="165" t="str">
        <f>IF(ISBLANK('Q 6'!I18),"",IF('Q 6'!I18="&lt;please select&gt;","",'Q 6'!I18))</f>
        <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Partially</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Partially</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Yes</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
      </c>
    </row>
    <row r="5906" spans="1:8" x14ac:dyDescent="0.3">
      <c r="A5906" t="s">
        <v>1961</v>
      </c>
      <c r="B5906" t="s">
        <v>1971</v>
      </c>
      <c r="C5906">
        <v>1</v>
      </c>
      <c r="D5906" t="s">
        <v>1447</v>
      </c>
      <c r="E5906" t="s">
        <v>1974</v>
      </c>
      <c r="F5906" t="s">
        <v>1748</v>
      </c>
      <c r="H5906" s="165" t="str">
        <f>IF(ISBLANK('Q 6'!$I$67),"",IF('Q 6'!$I$67="&lt;please select&gt;","",'Q 6'!$I$67))</f>
        <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
      </c>
    </row>
    <row r="5912" spans="1:8" x14ac:dyDescent="0.3">
      <c r="A5912" t="s">
        <v>1961</v>
      </c>
      <c r="B5912" t="s">
        <v>1971</v>
      </c>
      <c r="C5912">
        <v>3</v>
      </c>
      <c r="D5912" t="s">
        <v>1447</v>
      </c>
      <c r="E5912" t="s">
        <v>1974</v>
      </c>
      <c r="F5912" t="s">
        <v>1748</v>
      </c>
      <c r="H5912" s="165" t="str">
        <f>IF(ISBLANK('Q 6'!$I$71),"",IF('Q 6'!$I$71="&lt;please select&gt;","",'Q 6'!$I$71))</f>
        <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1</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20 - Combustion of fuels as specified in Annex I of Directive 2003/87/EC</v>
      </c>
    </row>
    <row r="6200" spans="1:11" x14ac:dyDescent="0.3">
      <c r="A6200" t="s">
        <v>1985</v>
      </c>
      <c r="B6200" t="s">
        <v>1987</v>
      </c>
      <c r="C6200">
        <v>3</v>
      </c>
      <c r="D6200" t="s">
        <v>1447</v>
      </c>
      <c r="E6200" t="s">
        <v>1988</v>
      </c>
      <c r="F6200" t="s">
        <v>1737</v>
      </c>
      <c r="K6200" t="str">
        <f>IF(ISBLANK('Q 6'!C135),"",IF('Q 6'!C135="&lt;please select&gt;","",'Q 6'!C135))</f>
        <v>20 - Combustion of fuels as specified in Annex I of Directive 2003/87/EC</v>
      </c>
    </row>
    <row r="6201" spans="1:11" x14ac:dyDescent="0.3">
      <c r="A6201" t="s">
        <v>1985</v>
      </c>
      <c r="B6201" t="s">
        <v>1987</v>
      </c>
      <c r="C6201">
        <v>4</v>
      </c>
      <c r="D6201" t="s">
        <v>1447</v>
      </c>
      <c r="E6201" t="s">
        <v>1988</v>
      </c>
      <c r="F6201" t="s">
        <v>1737</v>
      </c>
      <c r="K6201" t="str">
        <f>IF(ISBLANK('Q 6'!C136),"",IF('Q 6'!C136="&lt;please select&gt;","",'Q 6'!C136))</f>
        <v>20 - Combustion of fuels as specified in Annex I of Directive 2003/87/EC</v>
      </c>
    </row>
    <row r="6202" spans="1:11" x14ac:dyDescent="0.3">
      <c r="A6202" t="s">
        <v>1985</v>
      </c>
      <c r="B6202" t="s">
        <v>1987</v>
      </c>
      <c r="C6202">
        <v>5</v>
      </c>
      <c r="D6202" t="s">
        <v>1447</v>
      </c>
      <c r="E6202" t="s">
        <v>1988</v>
      </c>
      <c r="F6202" t="s">
        <v>1737</v>
      </c>
      <c r="K6202" t="str">
        <f>IF(ISBLANK('Q 6'!C137),"",IF('Q 6'!C137="&lt;please select&gt;","",'Q 6'!C137))</f>
        <v>32 - Manufacture of ceramic products as specified in Annex I of Directive 2003/87/EC</v>
      </c>
    </row>
    <row r="6203" spans="1:11" x14ac:dyDescent="0.3">
      <c r="A6203" t="s">
        <v>1985</v>
      </c>
      <c r="B6203" t="s">
        <v>1987</v>
      </c>
      <c r="C6203">
        <v>6</v>
      </c>
      <c r="D6203" t="s">
        <v>1447</v>
      </c>
      <c r="E6203" t="s">
        <v>1988</v>
      </c>
      <c r="F6203" t="s">
        <v>1737</v>
      </c>
      <c r="K6203" t="str">
        <f>IF(ISBLANK('Q 6'!C138),"",IF('Q 6'!C138="&lt;please select&gt;","",'Q 6'!C138))</f>
        <v>32 - Manufacture of ceramic products as specified in Annex I of Directive 2003/87/EC</v>
      </c>
    </row>
    <row r="6204" spans="1:11" x14ac:dyDescent="0.3">
      <c r="A6204" t="s">
        <v>1985</v>
      </c>
      <c r="B6204" t="s">
        <v>1987</v>
      </c>
      <c r="C6204">
        <v>7</v>
      </c>
      <c r="D6204" t="s">
        <v>1447</v>
      </c>
      <c r="E6204" t="s">
        <v>1988</v>
      </c>
      <c r="F6204" t="s">
        <v>1737</v>
      </c>
      <c r="K6204" t="str">
        <f>IF(ISBLANK('Q 6'!C139),"",IF('Q 6'!C139="&lt;please select&gt;","",'Q 6'!C139))</f>
        <v>32 - Manufacture of ceramic products as specified in Annex I of Directive 2003/87/EC</v>
      </c>
    </row>
    <row r="6205" spans="1:11" x14ac:dyDescent="0.3">
      <c r="A6205" t="s">
        <v>1985</v>
      </c>
      <c r="B6205" t="s">
        <v>1987</v>
      </c>
      <c r="C6205">
        <v>8</v>
      </c>
      <c r="D6205" t="s">
        <v>1447</v>
      </c>
      <c r="E6205" t="s">
        <v>1988</v>
      </c>
      <c r="F6205" t="s">
        <v>1737</v>
      </c>
      <c r="K6205" t="str">
        <f>IF(ISBLANK('Q 6'!C140),"",IF('Q 6'!C140="&lt;please select&gt;","",'Q 6'!C140))</f>
        <v>29 - Production of cement clinker in rotary kilns as specified in Annex I of Directive 2003/87/ EC</v>
      </c>
    </row>
    <row r="6206" spans="1:11" x14ac:dyDescent="0.3">
      <c r="A6206" t="s">
        <v>1985</v>
      </c>
      <c r="B6206" t="s">
        <v>1987</v>
      </c>
      <c r="C6206">
        <v>9</v>
      </c>
      <c r="D6206" t="s">
        <v>1447</v>
      </c>
      <c r="E6206" t="s">
        <v>1988</v>
      </c>
      <c r="F6206" t="s">
        <v>1737</v>
      </c>
      <c r="K6206" t="str">
        <f>IF(ISBLANK('Q 6'!C141),"",IF('Q 6'!C141="&lt;please select&gt;","",'Q 6'!C141))</f>
        <v>29 - Production of cement clinker in rotary kilns as specified in Annex I of Directive 2003/87/ EC</v>
      </c>
    </row>
    <row r="6207" spans="1:11" x14ac:dyDescent="0.3">
      <c r="A6207" t="s">
        <v>1985</v>
      </c>
      <c r="B6207" t="s">
        <v>1987</v>
      </c>
      <c r="C6207">
        <v>10</v>
      </c>
      <c r="D6207" t="s">
        <v>1447</v>
      </c>
      <c r="E6207" t="s">
        <v>1988</v>
      </c>
      <c r="F6207" t="s">
        <v>1737</v>
      </c>
      <c r="K6207" t="str">
        <f>IF(ISBLANK('Q 6'!C142),"",IF('Q 6'!C142="&lt;please select&gt;","",'Q 6'!C142))</f>
        <v>29 - Production of cement clinker in rotary kilns as specified in Annex I of Directive 2003/87/ EC</v>
      </c>
    </row>
    <row r="6208" spans="1:11" x14ac:dyDescent="0.3">
      <c r="A6208" t="s">
        <v>1985</v>
      </c>
      <c r="B6208" t="s">
        <v>1987</v>
      </c>
      <c r="C6208">
        <v>11</v>
      </c>
      <c r="D6208" t="s">
        <v>1447</v>
      </c>
      <c r="E6208" t="s">
        <v>1988</v>
      </c>
      <c r="F6208" t="s">
        <v>1737</v>
      </c>
      <c r="K6208" t="str">
        <f>IF(ISBLANK('Q 6'!C143),"",IF('Q 6'!C143="&lt;please select&gt;","",'Q 6'!C143))</f>
        <v>30 - Production of lime or calcination of dolomite or magnesite as specified in Annex I of Directive 2003/87/ EC</v>
      </c>
    </row>
    <row r="6209" spans="1:11" x14ac:dyDescent="0.3">
      <c r="A6209" t="s">
        <v>1985</v>
      </c>
      <c r="B6209" t="s">
        <v>1987</v>
      </c>
      <c r="C6209">
        <v>12</v>
      </c>
      <c r="D6209" t="s">
        <v>1447</v>
      </c>
      <c r="E6209" t="s">
        <v>1988</v>
      </c>
      <c r="F6209" t="s">
        <v>1737</v>
      </c>
      <c r="K6209" t="str">
        <f>IF(ISBLANK('Q 6'!C144),"",IF('Q 6'!C144="&lt;please select&gt;","",'Q 6'!C144))</f>
        <v xml:space="preserve">36 - Production of paper or cardboard as specified in Annex I of Directive 2003/87/EC </v>
      </c>
    </row>
    <row r="6210" spans="1:11" x14ac:dyDescent="0.3">
      <c r="A6210" t="s">
        <v>1985</v>
      </c>
      <c r="B6210" t="s">
        <v>1987</v>
      </c>
      <c r="C6210">
        <v>13</v>
      </c>
      <c r="D6210" t="s">
        <v>1447</v>
      </c>
      <c r="E6210" t="s">
        <v>1988</v>
      </c>
      <c r="F6210" t="s">
        <v>1737</v>
      </c>
      <c r="K6210" t="str">
        <f>IF(ISBLANK('Q 6'!C145),"",IF('Q 6'!C145="&lt;please select&gt;","",'Q 6'!C145))</f>
        <v xml:space="preserve">36 - Production of paper or cardboard as specified in Annex I of Directive 2003/87/EC </v>
      </c>
    </row>
    <row r="6211" spans="1:11" x14ac:dyDescent="0.3">
      <c r="A6211" t="s">
        <v>1985</v>
      </c>
      <c r="B6211" t="s">
        <v>1987</v>
      </c>
      <c r="C6211">
        <v>14</v>
      </c>
      <c r="D6211" t="s">
        <v>1447</v>
      </c>
      <c r="E6211" t="s">
        <v>1988</v>
      </c>
      <c r="F6211" t="s">
        <v>1737</v>
      </c>
      <c r="K6211" t="str">
        <f>IF(ISBLANK('Q 6'!C146),"",IF('Q 6'!C146="&lt;please select&gt;","",'Q 6'!C146))</f>
        <v>35 - Production of pulp as specified in Annex I of Directive 2003/87/EC</v>
      </c>
    </row>
    <row r="6212" spans="1:11" x14ac:dyDescent="0.3">
      <c r="A6212" t="s">
        <v>1985</v>
      </c>
      <c r="B6212" t="s">
        <v>1987</v>
      </c>
      <c r="C6212">
        <v>15</v>
      </c>
      <c r="D6212" t="s">
        <v>1447</v>
      </c>
      <c r="E6212" t="s">
        <v>1988</v>
      </c>
      <c r="F6212" t="s">
        <v>1737</v>
      </c>
      <c r="K6212" t="str">
        <f>IF(ISBLANK('Q 6'!C147),"",IF('Q 6'!C147="&lt;please select&gt;","",'Q 6'!C147))</f>
        <v>35 - Production of pulp as specified in Annex I of Directive 2003/87/EC</v>
      </c>
    </row>
    <row r="6213" spans="1:11" x14ac:dyDescent="0.3">
      <c r="A6213" t="s">
        <v>1985</v>
      </c>
      <c r="B6213" t="s">
        <v>1987</v>
      </c>
      <c r="C6213">
        <v>16</v>
      </c>
      <c r="D6213" t="s">
        <v>1447</v>
      </c>
      <c r="E6213" t="s">
        <v>1988</v>
      </c>
      <c r="F6213" t="s">
        <v>1737</v>
      </c>
      <c r="K6213" t="str">
        <f>IF(ISBLANK('Q 6'!C148),"",IF('Q 6'!C148="&lt;please select&gt;","",'Q 6'!C148))</f>
        <v>35 - Production of pulp as specified in Annex I of Directive 2003/87/EC</v>
      </c>
    </row>
    <row r="6214" spans="1:11" x14ac:dyDescent="0.3">
      <c r="A6214" t="s">
        <v>1985</v>
      </c>
      <c r="B6214" t="s">
        <v>1987</v>
      </c>
      <c r="C6214">
        <v>17</v>
      </c>
      <c r="D6214" t="s">
        <v>1447</v>
      </c>
      <c r="E6214" t="s">
        <v>1988</v>
      </c>
      <c r="F6214" t="s">
        <v>1737</v>
      </c>
      <c r="K6214" t="str">
        <f>IF(ISBLANK('Q 6'!C149),"",IF('Q 6'!C149="&lt;please select&gt;","",'Q 6'!C149))</f>
        <v>24 - Production of pig iron or steel as specified in Annex I of Directive 2003/87/EC</v>
      </c>
    </row>
    <row r="6215" spans="1:11" x14ac:dyDescent="0.3">
      <c r="A6215" t="s">
        <v>1985</v>
      </c>
      <c r="B6215" t="s">
        <v>1987</v>
      </c>
      <c r="C6215">
        <v>18</v>
      </c>
      <c r="D6215" t="s">
        <v>1447</v>
      </c>
      <c r="E6215" t="s">
        <v>1988</v>
      </c>
      <c r="F6215" t="s">
        <v>1737</v>
      </c>
      <c r="K6215" t="str">
        <f>IF(ISBLANK('Q 6'!C150),"",IF('Q 6'!C150="&lt;please select&gt;","",'Q 6'!C150))</f>
        <v>31 - Manufacture of glass as specified in Annex I of Directive 2003/87/EC</v>
      </c>
    </row>
    <row r="6216" spans="1:11" x14ac:dyDescent="0.3">
      <c r="A6216" t="s">
        <v>1985</v>
      </c>
      <c r="B6216" t="s">
        <v>1987</v>
      </c>
      <c r="C6216">
        <v>19</v>
      </c>
      <c r="D6216" t="s">
        <v>1447</v>
      </c>
      <c r="E6216" t="s">
        <v>1988</v>
      </c>
      <c r="F6216" t="s">
        <v>1737</v>
      </c>
      <c r="K6216" t="str">
        <f>IF(ISBLANK('Q 6'!C151),"",IF('Q 6'!C151="&lt;please select&gt;","",'Q 6'!C151))</f>
        <v>31 - Manufacture of glass as specified in Annex I of Directive 2003/87/EC</v>
      </c>
    </row>
    <row r="6217" spans="1:11" x14ac:dyDescent="0.3">
      <c r="A6217" t="s">
        <v>1985</v>
      </c>
      <c r="B6217" t="s">
        <v>1987</v>
      </c>
      <c r="C6217">
        <v>20</v>
      </c>
      <c r="D6217" t="s">
        <v>1447</v>
      </c>
      <c r="E6217" t="s">
        <v>1988</v>
      </c>
      <c r="F6217" t="s">
        <v>1737</v>
      </c>
      <c r="K6217" t="str">
        <f>IF(ISBLANK('Q 6'!C152),"",IF('Q 6'!C152="&lt;please select&gt;","",'Q 6'!C152))</f>
        <v>31 - Manufacture of glass as specified in Annex I of Directive 2003/87/EC</v>
      </c>
    </row>
    <row r="6218" spans="1:11" x14ac:dyDescent="0.3">
      <c r="A6218" t="s">
        <v>1985</v>
      </c>
      <c r="B6218" t="s">
        <v>1987</v>
      </c>
      <c r="C6218">
        <v>21</v>
      </c>
      <c r="D6218" t="s">
        <v>1447</v>
      </c>
      <c r="E6218" t="s">
        <v>1988</v>
      </c>
      <c r="F6218" t="s">
        <v>1737</v>
      </c>
      <c r="K6218" t="str">
        <f>IF(ISBLANK('Q 6'!C153),"",IF('Q 6'!C153="&lt;please select&gt;","",'Q 6'!C153))</f>
        <v>25 - Production or processing of ferrous metals as specified in Annex I of Directive 2003/87/EC</v>
      </c>
    </row>
    <row r="6219" spans="1:11" x14ac:dyDescent="0.3">
      <c r="A6219" t="s">
        <v>1985</v>
      </c>
      <c r="B6219" t="s">
        <v>1987</v>
      </c>
      <c r="C6219">
        <v>22</v>
      </c>
      <c r="D6219" t="s">
        <v>1447</v>
      </c>
      <c r="E6219" t="s">
        <v>1988</v>
      </c>
      <c r="F6219" t="s">
        <v>1737</v>
      </c>
      <c r="K6219" t="str">
        <f>IF(ISBLANK('Q 6'!C154),"",IF('Q 6'!C154="&lt;please select&gt;","",'Q 6'!C154))</f>
        <v>34 - Drying or calcination of gypsum or production of plaster boards and other gypsum products, as specified in Annex I of Directive 2003/87/EC</v>
      </c>
    </row>
    <row r="6220" spans="1:11" x14ac:dyDescent="0.3">
      <c r="A6220" t="s">
        <v>1985</v>
      </c>
      <c r="B6220" t="s">
        <v>1987</v>
      </c>
      <c r="C6220">
        <v>23</v>
      </c>
      <c r="D6220" t="s">
        <v>1447</v>
      </c>
      <c r="E6220" t="s">
        <v>1988</v>
      </c>
      <c r="F6220" t="s">
        <v>1737</v>
      </c>
      <c r="K6220" t="str">
        <f>IF(ISBLANK('Q 6'!C155),"",IF('Q 6'!C155="&lt;please select&gt;","",'Q 6'!C155))</f>
        <v xml:space="preserve">42 - Production of bulk organic chemicals as specified in Annex I of Directive 2003/87/EC </v>
      </c>
    </row>
    <row r="6221" spans="1:11" x14ac:dyDescent="0.3">
      <c r="A6221" t="s">
        <v>1985</v>
      </c>
      <c r="B6221" t="s">
        <v>1987</v>
      </c>
      <c r="C6221">
        <v>24</v>
      </c>
      <c r="D6221" t="s">
        <v>1447</v>
      </c>
      <c r="E6221" t="s">
        <v>1988</v>
      </c>
      <c r="F6221" t="s">
        <v>1737</v>
      </c>
      <c r="K6221" t="str">
        <f>IF(ISBLANK('Q 6'!C156),"",IF('Q 6'!C156="&lt;please select&gt;","",'Q 6'!C156))</f>
        <v xml:space="preserve">42 - Production of bulk organic chemicals as specified in Annex I of Directive 2003/87/EC </v>
      </c>
    </row>
    <row r="6222" spans="1:11" x14ac:dyDescent="0.3">
      <c r="A6222" t="s">
        <v>1985</v>
      </c>
      <c r="B6222" t="s">
        <v>1987</v>
      </c>
      <c r="C6222">
        <v>25</v>
      </c>
      <c r="D6222" t="s">
        <v>1447</v>
      </c>
      <c r="E6222" t="s">
        <v>1988</v>
      </c>
      <c r="F6222" t="s">
        <v>1737</v>
      </c>
      <c r="K6222" t="str">
        <f>IF(ISBLANK('Q 6'!C157),"",IF('Q 6'!C157="&lt;please select&gt;","",'Q 6'!C157))</f>
        <v>21 - Refining of mineral oil</v>
      </c>
    </row>
    <row r="6223" spans="1:11" x14ac:dyDescent="0.3">
      <c r="A6223" t="s">
        <v>1985</v>
      </c>
      <c r="B6223" t="s">
        <v>1987</v>
      </c>
      <c r="C6223">
        <v>26</v>
      </c>
      <c r="D6223" t="s">
        <v>1447</v>
      </c>
      <c r="E6223" t="s">
        <v>1988</v>
      </c>
      <c r="F6223" t="s">
        <v>1737</v>
      </c>
      <c r="K6223" t="str">
        <f>IF(ISBLANK('Q 6'!C158),"",IF('Q 6'!C158="&lt;please select&gt;","",'Q 6'!C158))</f>
        <v>21 - Refining of mineral oil</v>
      </c>
    </row>
    <row r="6224" spans="1:11" x14ac:dyDescent="0.3">
      <c r="A6224" t="s">
        <v>1985</v>
      </c>
      <c r="B6224" t="s">
        <v>1987</v>
      </c>
      <c r="C6224">
        <v>27</v>
      </c>
      <c r="D6224" t="s">
        <v>1447</v>
      </c>
      <c r="E6224" t="s">
        <v>1988</v>
      </c>
      <c r="F6224" t="s">
        <v>1737</v>
      </c>
      <c r="K6224" t="str">
        <f>IF(ISBLANK('Q 6'!C159),"",IF('Q 6'!C159="&lt;please select&gt;","",'Q 6'!C159))</f>
        <v>21 - Refining of mineral oil</v>
      </c>
    </row>
    <row r="6225" spans="1:11" x14ac:dyDescent="0.3">
      <c r="A6225" t="s">
        <v>1985</v>
      </c>
      <c r="B6225" t="s">
        <v>1987</v>
      </c>
      <c r="C6225">
        <v>28</v>
      </c>
      <c r="D6225" t="s">
        <v>1447</v>
      </c>
      <c r="E6225" t="s">
        <v>1988</v>
      </c>
      <c r="F6225" t="s">
        <v>1737</v>
      </c>
      <c r="K6225" t="str">
        <f>IF(ISBLANK('Q 6'!C160),"",IF('Q 6'!C160="&lt;please select&gt;","",'Q 6'!C160))</f>
        <v>21 - Refining of mineral oil</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Recommendations for improvement</v>
      </c>
    </row>
    <row r="6289" spans="1:11" x14ac:dyDescent="0.3">
      <c r="A6289" t="s">
        <v>1985</v>
      </c>
      <c r="B6289" t="s">
        <v>1987</v>
      </c>
      <c r="C6289">
        <v>2</v>
      </c>
      <c r="D6289" t="s">
        <v>1447</v>
      </c>
      <c r="E6289" t="s">
        <v>1989</v>
      </c>
      <c r="F6289" t="s">
        <v>1737</v>
      </c>
      <c r="K6289" t="str">
        <f>IF(ISBLANK('Q 6'!E134),"",IF('Q 6'!E134="&lt;please select&gt;","",'Q 6'!E134))</f>
        <v>Non-material misstatements</v>
      </c>
    </row>
    <row r="6290" spans="1:11" x14ac:dyDescent="0.3">
      <c r="A6290" t="s">
        <v>1985</v>
      </c>
      <c r="B6290" t="s">
        <v>1987</v>
      </c>
      <c r="C6290">
        <v>3</v>
      </c>
      <c r="D6290" t="s">
        <v>1447</v>
      </c>
      <c r="E6290" t="s">
        <v>1989</v>
      </c>
      <c r="F6290" t="s">
        <v>1737</v>
      </c>
      <c r="K6290" t="str">
        <f>IF(ISBLANK('Q 6'!E135),"",IF('Q 6'!E135="&lt;please select&gt;","",'Q 6'!E135))</f>
        <v>Non-conformities not leading to a negative verification opinion statement</v>
      </c>
    </row>
    <row r="6291" spans="1:11" x14ac:dyDescent="0.3">
      <c r="A6291" t="s">
        <v>1985</v>
      </c>
      <c r="B6291" t="s">
        <v>1987</v>
      </c>
      <c r="C6291">
        <v>4</v>
      </c>
      <c r="D6291" t="s">
        <v>1447</v>
      </c>
      <c r="E6291" t="s">
        <v>1989</v>
      </c>
      <c r="F6291" t="s">
        <v>1737</v>
      </c>
      <c r="K6291" t="str">
        <f>IF(ISBLANK('Q 6'!E136),"",IF('Q 6'!E136="&lt;please select&gt;","",'Q 6'!E136))</f>
        <v>Non-compliance with Implementing Regulation (EU) 2018/2066</v>
      </c>
    </row>
    <row r="6292" spans="1:11" x14ac:dyDescent="0.3">
      <c r="A6292" t="s">
        <v>1985</v>
      </c>
      <c r="B6292" t="s">
        <v>1987</v>
      </c>
      <c r="C6292">
        <v>5</v>
      </c>
      <c r="D6292" t="s">
        <v>1447</v>
      </c>
      <c r="E6292" t="s">
        <v>1989</v>
      </c>
      <c r="F6292" t="s">
        <v>1737</v>
      </c>
      <c r="K6292" t="str">
        <f>IF(ISBLANK('Q 6'!E137),"",IF('Q 6'!E137="&lt;please select&gt;","",'Q 6'!E137))</f>
        <v>Recommendations for improvement</v>
      </c>
    </row>
    <row r="6293" spans="1:11" x14ac:dyDescent="0.3">
      <c r="A6293" t="s">
        <v>1985</v>
      </c>
      <c r="B6293" t="s">
        <v>1987</v>
      </c>
      <c r="C6293">
        <v>6</v>
      </c>
      <c r="D6293" t="s">
        <v>1447</v>
      </c>
      <c r="E6293" t="s">
        <v>1989</v>
      </c>
      <c r="F6293" t="s">
        <v>1737</v>
      </c>
      <c r="K6293" t="str">
        <f>IF(ISBLANK('Q 6'!E138),"",IF('Q 6'!E138="&lt;please select&gt;","",'Q 6'!E138))</f>
        <v>Non-conformities not leading to a negative verification opinion statement</v>
      </c>
    </row>
    <row r="6294" spans="1:11" x14ac:dyDescent="0.3">
      <c r="A6294" t="s">
        <v>1985</v>
      </c>
      <c r="B6294" t="s">
        <v>1987</v>
      </c>
      <c r="C6294">
        <v>7</v>
      </c>
      <c r="D6294" t="s">
        <v>1447</v>
      </c>
      <c r="E6294" t="s">
        <v>1989</v>
      </c>
      <c r="F6294" t="s">
        <v>1737</v>
      </c>
      <c r="K6294" t="str">
        <f>IF(ISBLANK('Q 6'!E139),"",IF('Q 6'!E139="&lt;please select&gt;","",'Q 6'!E139))</f>
        <v>Non-compliance with Implementing Regulation (EU) 2018/2066</v>
      </c>
    </row>
    <row r="6295" spans="1:11" x14ac:dyDescent="0.3">
      <c r="A6295" t="s">
        <v>1985</v>
      </c>
      <c r="B6295" t="s">
        <v>1987</v>
      </c>
      <c r="C6295">
        <v>8</v>
      </c>
      <c r="D6295" t="s">
        <v>1447</v>
      </c>
      <c r="E6295" t="s">
        <v>1989</v>
      </c>
      <c r="F6295" t="s">
        <v>1737</v>
      </c>
      <c r="K6295" t="str">
        <f>IF(ISBLANK('Q 6'!E140),"",IF('Q 6'!E140="&lt;please select&gt;","",'Q 6'!E140))</f>
        <v>Recommendations for improvement</v>
      </c>
    </row>
    <row r="6296" spans="1:11" x14ac:dyDescent="0.3">
      <c r="A6296" t="s">
        <v>1985</v>
      </c>
      <c r="B6296" t="s">
        <v>1987</v>
      </c>
      <c r="C6296">
        <v>9</v>
      </c>
      <c r="D6296" t="s">
        <v>1447</v>
      </c>
      <c r="E6296" t="s">
        <v>1989</v>
      </c>
      <c r="F6296" t="s">
        <v>1737</v>
      </c>
      <c r="K6296" t="str">
        <f>IF(ISBLANK('Q 6'!E141),"",IF('Q 6'!E141="&lt;please select&gt;","",'Q 6'!E141))</f>
        <v>Non-conformities not leading to a negative verification opinion statement</v>
      </c>
    </row>
    <row r="6297" spans="1:11" x14ac:dyDescent="0.3">
      <c r="A6297" t="s">
        <v>1985</v>
      </c>
      <c r="B6297" t="s">
        <v>1987</v>
      </c>
      <c r="C6297">
        <v>10</v>
      </c>
      <c r="D6297" t="s">
        <v>1447</v>
      </c>
      <c r="E6297" t="s">
        <v>1989</v>
      </c>
      <c r="F6297" t="s">
        <v>1737</v>
      </c>
      <c r="K6297" t="str">
        <f>IF(ISBLANK('Q 6'!E142),"",IF('Q 6'!E142="&lt;please select&gt;","",'Q 6'!E142))</f>
        <v>Non-compliance with Implementing Regulation (EU) 2018/2066</v>
      </c>
    </row>
    <row r="6298" spans="1:11" x14ac:dyDescent="0.3">
      <c r="A6298" t="s">
        <v>1985</v>
      </c>
      <c r="B6298" t="s">
        <v>1987</v>
      </c>
      <c r="C6298">
        <v>11</v>
      </c>
      <c r="D6298" t="s">
        <v>1447</v>
      </c>
      <c r="E6298" t="s">
        <v>1989</v>
      </c>
      <c r="F6298" t="s">
        <v>1737</v>
      </c>
      <c r="K6298" t="str">
        <f>IF(ISBLANK('Q 6'!E143),"",IF('Q 6'!E143="&lt;please select&gt;","",'Q 6'!E143))</f>
        <v>Non-compliance with Implementing Regulation (EU) 2018/2066</v>
      </c>
    </row>
    <row r="6299" spans="1:11" x14ac:dyDescent="0.3">
      <c r="A6299" t="s">
        <v>1985</v>
      </c>
      <c r="B6299" t="s">
        <v>1987</v>
      </c>
      <c r="C6299">
        <v>12</v>
      </c>
      <c r="D6299" t="s">
        <v>1447</v>
      </c>
      <c r="E6299" t="s">
        <v>1989</v>
      </c>
      <c r="F6299" t="s">
        <v>1737</v>
      </c>
      <c r="K6299" t="str">
        <f>IF(ISBLANK('Q 6'!E144),"",IF('Q 6'!E144="&lt;please select&gt;","",'Q 6'!E144))</f>
        <v>Non-compliance with Implementing Regulation (EU) 2018/2066</v>
      </c>
    </row>
    <row r="6300" spans="1:11" x14ac:dyDescent="0.3">
      <c r="A6300" t="s">
        <v>1985</v>
      </c>
      <c r="B6300" t="s">
        <v>1987</v>
      </c>
      <c r="C6300">
        <v>13</v>
      </c>
      <c r="D6300" t="s">
        <v>1447</v>
      </c>
      <c r="E6300" t="s">
        <v>1989</v>
      </c>
      <c r="F6300" t="s">
        <v>1737</v>
      </c>
      <c r="K6300" t="str">
        <f>IF(ISBLANK('Q 6'!E145),"",IF('Q 6'!E145="&lt;please select&gt;","",'Q 6'!E145))</f>
        <v>Recommendations for improvement</v>
      </c>
    </row>
    <row r="6301" spans="1:11" x14ac:dyDescent="0.3">
      <c r="A6301" t="s">
        <v>1985</v>
      </c>
      <c r="B6301" t="s">
        <v>1987</v>
      </c>
      <c r="C6301">
        <v>14</v>
      </c>
      <c r="D6301" t="s">
        <v>1447</v>
      </c>
      <c r="E6301" t="s">
        <v>1989</v>
      </c>
      <c r="F6301" t="s">
        <v>1737</v>
      </c>
      <c r="K6301" t="str">
        <f>IF(ISBLANK('Q 6'!E146),"",IF('Q 6'!E146="&lt;please select&gt;","",'Q 6'!E146))</f>
        <v>Non-conformities not leading to a negative verification opinion statement</v>
      </c>
    </row>
    <row r="6302" spans="1:11" x14ac:dyDescent="0.3">
      <c r="A6302" t="s">
        <v>1985</v>
      </c>
      <c r="B6302" t="s">
        <v>1987</v>
      </c>
      <c r="C6302">
        <v>15</v>
      </c>
      <c r="D6302" t="s">
        <v>1447</v>
      </c>
      <c r="E6302" t="s">
        <v>1989</v>
      </c>
      <c r="F6302" t="s">
        <v>1737</v>
      </c>
      <c r="K6302" t="str">
        <f>IF(ISBLANK('Q 6'!E147),"",IF('Q 6'!E147="&lt;please select&gt;","",'Q 6'!E147))</f>
        <v>Non-compliance with Implementing Regulation (EU) 2018/2066</v>
      </c>
    </row>
    <row r="6303" spans="1:11" x14ac:dyDescent="0.3">
      <c r="A6303" t="s">
        <v>1985</v>
      </c>
      <c r="B6303" t="s">
        <v>1987</v>
      </c>
      <c r="C6303">
        <v>16</v>
      </c>
      <c r="D6303" t="s">
        <v>1447</v>
      </c>
      <c r="E6303" t="s">
        <v>1989</v>
      </c>
      <c r="F6303" t="s">
        <v>1737</v>
      </c>
      <c r="K6303" t="str">
        <f>IF(ISBLANK('Q 6'!E148),"",IF('Q 6'!E148="&lt;please select&gt;","",'Q 6'!E148))</f>
        <v>Recommendations for improvement</v>
      </c>
    </row>
    <row r="6304" spans="1:11" x14ac:dyDescent="0.3">
      <c r="A6304" t="s">
        <v>1985</v>
      </c>
      <c r="B6304" t="s">
        <v>1987</v>
      </c>
      <c r="C6304">
        <v>17</v>
      </c>
      <c r="D6304" t="s">
        <v>1447</v>
      </c>
      <c r="E6304" t="s">
        <v>1989</v>
      </c>
      <c r="F6304" t="s">
        <v>1737</v>
      </c>
      <c r="K6304" t="str">
        <f>IF(ISBLANK('Q 6'!E149),"",IF('Q 6'!E149="&lt;please select&gt;","",'Q 6'!E149))</f>
        <v>Non-compliance with Implementing Regulation (EU) 2018/2066</v>
      </c>
    </row>
    <row r="6305" spans="1:11" x14ac:dyDescent="0.3">
      <c r="A6305" t="s">
        <v>1985</v>
      </c>
      <c r="B6305" t="s">
        <v>1987</v>
      </c>
      <c r="C6305">
        <v>18</v>
      </c>
      <c r="D6305" t="s">
        <v>1447</v>
      </c>
      <c r="E6305" t="s">
        <v>1989</v>
      </c>
      <c r="F6305" t="s">
        <v>1737</v>
      </c>
      <c r="K6305" t="str">
        <f>IF(ISBLANK('Q 6'!E150),"",IF('Q 6'!E150="&lt;please select&gt;","",'Q 6'!E150))</f>
        <v>Non-conformities not leading to a negative verification opinion statement</v>
      </c>
    </row>
    <row r="6306" spans="1:11" x14ac:dyDescent="0.3">
      <c r="A6306" t="s">
        <v>1985</v>
      </c>
      <c r="B6306" t="s">
        <v>1987</v>
      </c>
      <c r="C6306">
        <v>19</v>
      </c>
      <c r="D6306" t="s">
        <v>1447</v>
      </c>
      <c r="E6306" t="s">
        <v>1989</v>
      </c>
      <c r="F6306" t="s">
        <v>1737</v>
      </c>
      <c r="K6306" t="str">
        <f>IF(ISBLANK('Q 6'!E151),"",IF('Q 6'!E151="&lt;please select&gt;","",'Q 6'!E151))</f>
        <v>Non-compliance with Implementing Regulation (EU) 2018/2066</v>
      </c>
    </row>
    <row r="6307" spans="1:11" x14ac:dyDescent="0.3">
      <c r="A6307" t="s">
        <v>1985</v>
      </c>
      <c r="B6307" t="s">
        <v>1987</v>
      </c>
      <c r="C6307">
        <v>20</v>
      </c>
      <c r="D6307" t="s">
        <v>1447</v>
      </c>
      <c r="E6307" t="s">
        <v>1989</v>
      </c>
      <c r="F6307" t="s">
        <v>1737</v>
      </c>
      <c r="K6307" t="str">
        <f>IF(ISBLANK('Q 6'!E152),"",IF('Q 6'!E152="&lt;please select&gt;","",'Q 6'!E152))</f>
        <v>Recommendations for improvement</v>
      </c>
    </row>
    <row r="6308" spans="1:11" x14ac:dyDescent="0.3">
      <c r="A6308" t="s">
        <v>1985</v>
      </c>
      <c r="B6308" t="s">
        <v>1987</v>
      </c>
      <c r="C6308">
        <v>21</v>
      </c>
      <c r="D6308" t="s">
        <v>1447</v>
      </c>
      <c r="E6308" t="s">
        <v>1989</v>
      </c>
      <c r="F6308" t="s">
        <v>1737</v>
      </c>
      <c r="K6308" t="str">
        <f>IF(ISBLANK('Q 6'!E153),"",IF('Q 6'!E153="&lt;please select&gt;","",'Q 6'!E153))</f>
        <v>Recommendations for improvement</v>
      </c>
    </row>
    <row r="6309" spans="1:11" x14ac:dyDescent="0.3">
      <c r="A6309" t="s">
        <v>1985</v>
      </c>
      <c r="B6309" t="s">
        <v>1987</v>
      </c>
      <c r="C6309">
        <v>22</v>
      </c>
      <c r="D6309" t="s">
        <v>1447</v>
      </c>
      <c r="E6309" t="s">
        <v>1989</v>
      </c>
      <c r="F6309" t="s">
        <v>1737</v>
      </c>
      <c r="K6309" t="str">
        <f>IF(ISBLANK('Q 6'!E154),"",IF('Q 6'!E154="&lt;please select&gt;","",'Q 6'!E154))</f>
        <v>Recommendations for improvement</v>
      </c>
    </row>
    <row r="6310" spans="1:11" x14ac:dyDescent="0.3">
      <c r="A6310" t="s">
        <v>1985</v>
      </c>
      <c r="B6310" t="s">
        <v>1987</v>
      </c>
      <c r="C6310">
        <v>23</v>
      </c>
      <c r="D6310" t="s">
        <v>1447</v>
      </c>
      <c r="E6310" t="s">
        <v>1989</v>
      </c>
      <c r="F6310" t="s">
        <v>1737</v>
      </c>
      <c r="K6310" t="str">
        <f>IF(ISBLANK('Q 6'!E155),"",IF('Q 6'!E155="&lt;please select&gt;","",'Q 6'!E155))</f>
        <v>Non-compliance with Implementing Regulation (EU) 2018/2066</v>
      </c>
    </row>
    <row r="6311" spans="1:11" x14ac:dyDescent="0.3">
      <c r="A6311" t="s">
        <v>1985</v>
      </c>
      <c r="B6311" t="s">
        <v>1987</v>
      </c>
      <c r="C6311">
        <v>24</v>
      </c>
      <c r="D6311" t="s">
        <v>1447</v>
      </c>
      <c r="E6311" t="s">
        <v>1989</v>
      </c>
      <c r="F6311" t="s">
        <v>1737</v>
      </c>
      <c r="K6311" t="str">
        <f>IF(ISBLANK('Q 6'!E156),"",IF('Q 6'!E156="&lt;please select&gt;","",'Q 6'!E156))</f>
        <v>Recommendations for improvement</v>
      </c>
    </row>
    <row r="6312" spans="1:11" x14ac:dyDescent="0.3">
      <c r="A6312" t="s">
        <v>1985</v>
      </c>
      <c r="B6312" t="s">
        <v>1987</v>
      </c>
      <c r="C6312">
        <v>25</v>
      </c>
      <c r="D6312" t="s">
        <v>1447</v>
      </c>
      <c r="E6312" t="s">
        <v>1989</v>
      </c>
      <c r="F6312" t="s">
        <v>1737</v>
      </c>
      <c r="K6312" t="str">
        <f>IF(ISBLANK('Q 6'!E157),"",IF('Q 6'!E157="&lt;please select&gt;","",'Q 6'!E157))</f>
        <v>Non-material misstatements</v>
      </c>
    </row>
    <row r="6313" spans="1:11" x14ac:dyDescent="0.3">
      <c r="A6313" t="s">
        <v>1985</v>
      </c>
      <c r="B6313" t="s">
        <v>1987</v>
      </c>
      <c r="C6313">
        <v>26</v>
      </c>
      <c r="D6313" t="s">
        <v>1447</v>
      </c>
      <c r="E6313" t="s">
        <v>1989</v>
      </c>
      <c r="F6313" t="s">
        <v>1737</v>
      </c>
      <c r="K6313" t="str">
        <f>IF(ISBLANK('Q 6'!E158),"",IF('Q 6'!E158="&lt;please select&gt;","",'Q 6'!E158))</f>
        <v>Non-conformities not leading to a negative verification opinion statement</v>
      </c>
    </row>
    <row r="6314" spans="1:11" x14ac:dyDescent="0.3">
      <c r="A6314" t="s">
        <v>1985</v>
      </c>
      <c r="B6314" t="s">
        <v>1987</v>
      </c>
      <c r="C6314">
        <v>27</v>
      </c>
      <c r="D6314" t="s">
        <v>1447</v>
      </c>
      <c r="E6314" t="s">
        <v>1989</v>
      </c>
      <c r="F6314" t="s">
        <v>1737</v>
      </c>
      <c r="K6314" t="str">
        <f>IF(ISBLANK('Q 6'!E159),"",IF('Q 6'!E159="&lt;please select&gt;","",'Q 6'!E159))</f>
        <v>Non-compliance with Implementing Regulation (EU) 2018/2066</v>
      </c>
    </row>
    <row r="6315" spans="1:11" x14ac:dyDescent="0.3">
      <c r="A6315" t="s">
        <v>1985</v>
      </c>
      <c r="B6315" t="s">
        <v>1987</v>
      </c>
      <c r="C6315">
        <v>28</v>
      </c>
      <c r="D6315" t="s">
        <v>1447</v>
      </c>
      <c r="E6315" t="s">
        <v>1989</v>
      </c>
      <c r="F6315" t="s">
        <v>1737</v>
      </c>
      <c r="K6315" t="str">
        <f>IF(ISBLANK('Q 6'!E160),"",IF('Q 6'!E160="&lt;please select&gt;","",'Q 6'!E160))</f>
        <v>Recommendations for improvement</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7</v>
      </c>
    </row>
    <row r="6379" spans="1:11" x14ac:dyDescent="0.3">
      <c r="A6379" t="s">
        <v>1985</v>
      </c>
      <c r="B6379" t="s">
        <v>1987</v>
      </c>
      <c r="C6379">
        <v>2</v>
      </c>
      <c r="D6379" t="s">
        <v>1447</v>
      </c>
      <c r="E6379" t="s">
        <v>1798</v>
      </c>
      <c r="F6379" t="s">
        <v>1748</v>
      </c>
      <c r="H6379" s="165" t="str">
        <f>IF(ISBLANK('Q 6'!G134),"",IF('Q 6'!G134="&lt;please select&gt;","",'Q 6'!G134))</f>
        <v>1</v>
      </c>
    </row>
    <row r="6380" spans="1:11" x14ac:dyDescent="0.3">
      <c r="A6380" t="s">
        <v>1985</v>
      </c>
      <c r="B6380" t="s">
        <v>1987</v>
      </c>
      <c r="C6380">
        <v>3</v>
      </c>
      <c r="D6380" t="s">
        <v>1447</v>
      </c>
      <c r="E6380" t="s">
        <v>1798</v>
      </c>
      <c r="F6380" t="s">
        <v>1748</v>
      </c>
      <c r="H6380" s="165" t="str">
        <f>IF(ISBLANK('Q 6'!G135),"",IF('Q 6'!G135="&lt;please select&gt;","",'Q 6'!G135))</f>
        <v>2</v>
      </c>
    </row>
    <row r="6381" spans="1:11" x14ac:dyDescent="0.3">
      <c r="A6381" t="s">
        <v>1985</v>
      </c>
      <c r="B6381" t="s">
        <v>1987</v>
      </c>
      <c r="C6381">
        <v>4</v>
      </c>
      <c r="D6381" t="s">
        <v>1447</v>
      </c>
      <c r="E6381" t="s">
        <v>1798</v>
      </c>
      <c r="F6381" t="s">
        <v>1748</v>
      </c>
      <c r="H6381" s="165" t="str">
        <f>IF(ISBLANK('Q 6'!G136),"",IF('Q 6'!G136="&lt;please select&gt;","",'Q 6'!G136))</f>
        <v>2</v>
      </c>
    </row>
    <row r="6382" spans="1:11" x14ac:dyDescent="0.3">
      <c r="A6382" t="s">
        <v>1985</v>
      </c>
      <c r="B6382" t="s">
        <v>1987</v>
      </c>
      <c r="C6382">
        <v>5</v>
      </c>
      <c r="D6382" t="s">
        <v>1447</v>
      </c>
      <c r="E6382" t="s">
        <v>1798</v>
      </c>
      <c r="F6382" t="s">
        <v>1748</v>
      </c>
      <c r="H6382" s="165" t="str">
        <f>IF(ISBLANK('Q 6'!G137),"",IF('Q 6'!G137="&lt;please select&gt;","",'Q 6'!G137))</f>
        <v>3</v>
      </c>
    </row>
    <row r="6383" spans="1:11" x14ac:dyDescent="0.3">
      <c r="A6383" t="s">
        <v>1985</v>
      </c>
      <c r="B6383" t="s">
        <v>1987</v>
      </c>
      <c r="C6383">
        <v>6</v>
      </c>
      <c r="D6383" t="s">
        <v>1447</v>
      </c>
      <c r="E6383" t="s">
        <v>1798</v>
      </c>
      <c r="F6383" t="s">
        <v>1748</v>
      </c>
      <c r="H6383" s="165" t="str">
        <f>IF(ISBLANK('Q 6'!G138),"",IF('Q 6'!G138="&lt;please select&gt;","",'Q 6'!G138))</f>
        <v>1</v>
      </c>
    </row>
    <row r="6384" spans="1:11" x14ac:dyDescent="0.3">
      <c r="A6384" t="s">
        <v>1985</v>
      </c>
      <c r="B6384" t="s">
        <v>1987</v>
      </c>
      <c r="C6384">
        <v>7</v>
      </c>
      <c r="D6384" t="s">
        <v>1447</v>
      </c>
      <c r="E6384" t="s">
        <v>1798</v>
      </c>
      <c r="F6384" t="s">
        <v>1748</v>
      </c>
      <c r="H6384" s="165" t="str">
        <f>IF(ISBLANK('Q 6'!G139),"",IF('Q 6'!G139="&lt;please select&gt;","",'Q 6'!G139))</f>
        <v>5</v>
      </c>
    </row>
    <row r="6385" spans="1:8" x14ac:dyDescent="0.3">
      <c r="A6385" t="s">
        <v>1985</v>
      </c>
      <c r="B6385" t="s">
        <v>1987</v>
      </c>
      <c r="C6385">
        <v>8</v>
      </c>
      <c r="D6385" t="s">
        <v>1447</v>
      </c>
      <c r="E6385" t="s">
        <v>1798</v>
      </c>
      <c r="F6385" t="s">
        <v>1748</v>
      </c>
      <c r="H6385" s="165" t="str">
        <f>IF(ISBLANK('Q 6'!G140),"",IF('Q 6'!G140="&lt;please select&gt;","",'Q 6'!G140))</f>
        <v>3</v>
      </c>
    </row>
    <row r="6386" spans="1:8" x14ac:dyDescent="0.3">
      <c r="A6386" t="s">
        <v>1985</v>
      </c>
      <c r="B6386" t="s">
        <v>1987</v>
      </c>
      <c r="C6386">
        <v>9</v>
      </c>
      <c r="D6386" t="s">
        <v>1447</v>
      </c>
      <c r="E6386" t="s">
        <v>1798</v>
      </c>
      <c r="F6386" t="s">
        <v>1748</v>
      </c>
      <c r="H6386" s="165" t="str">
        <f>IF(ISBLANK('Q 6'!G141),"",IF('Q 6'!G141="&lt;please select&gt;","",'Q 6'!G141))</f>
        <v>1</v>
      </c>
    </row>
    <row r="6387" spans="1:8" x14ac:dyDescent="0.3">
      <c r="A6387" t="s">
        <v>1985</v>
      </c>
      <c r="B6387" t="s">
        <v>1987</v>
      </c>
      <c r="C6387">
        <v>10</v>
      </c>
      <c r="D6387" t="s">
        <v>1447</v>
      </c>
      <c r="E6387" t="s">
        <v>1798</v>
      </c>
      <c r="F6387" t="s">
        <v>1748</v>
      </c>
      <c r="H6387" s="165" t="str">
        <f>IF(ISBLANK('Q 6'!G142),"",IF('Q 6'!G142="&lt;please select&gt;","",'Q 6'!G142))</f>
        <v>1</v>
      </c>
    </row>
    <row r="6388" spans="1:8" x14ac:dyDescent="0.3">
      <c r="A6388" t="s">
        <v>1985</v>
      </c>
      <c r="B6388" t="s">
        <v>1987</v>
      </c>
      <c r="C6388">
        <v>11</v>
      </c>
      <c r="D6388" t="s">
        <v>1447</v>
      </c>
      <c r="E6388" t="s">
        <v>1798</v>
      </c>
      <c r="F6388" t="s">
        <v>1748</v>
      </c>
      <c r="H6388" s="165" t="str">
        <f>IF(ISBLANK('Q 6'!G143),"",IF('Q 6'!G143="&lt;please select&gt;","",'Q 6'!G143))</f>
        <v>1</v>
      </c>
    </row>
    <row r="6389" spans="1:8" x14ac:dyDescent="0.3">
      <c r="A6389" t="s">
        <v>1985</v>
      </c>
      <c r="B6389" t="s">
        <v>1987</v>
      </c>
      <c r="C6389">
        <v>12</v>
      </c>
      <c r="D6389" t="s">
        <v>1447</v>
      </c>
      <c r="E6389" t="s">
        <v>1798</v>
      </c>
      <c r="F6389" t="s">
        <v>1748</v>
      </c>
      <c r="H6389" s="165" t="str">
        <f>IF(ISBLANK('Q 6'!G144),"",IF('Q 6'!G144="&lt;please select&gt;","",'Q 6'!G144))</f>
        <v>2</v>
      </c>
    </row>
    <row r="6390" spans="1:8" x14ac:dyDescent="0.3">
      <c r="A6390" t="s">
        <v>1985</v>
      </c>
      <c r="B6390" t="s">
        <v>1987</v>
      </c>
      <c r="C6390">
        <v>13</v>
      </c>
      <c r="D6390" t="s">
        <v>1447</v>
      </c>
      <c r="E6390" t="s">
        <v>1798</v>
      </c>
      <c r="F6390" t="s">
        <v>1748</v>
      </c>
      <c r="H6390" s="165" t="str">
        <f>IF(ISBLANK('Q 6'!G145),"",IF('Q 6'!G145="&lt;please select&gt;","",'Q 6'!G145))</f>
        <v>3</v>
      </c>
    </row>
    <row r="6391" spans="1:8" x14ac:dyDescent="0.3">
      <c r="A6391" t="s">
        <v>1985</v>
      </c>
      <c r="B6391" t="s">
        <v>1987</v>
      </c>
      <c r="C6391">
        <v>14</v>
      </c>
      <c r="D6391" t="s">
        <v>1447</v>
      </c>
      <c r="E6391" t="s">
        <v>1798</v>
      </c>
      <c r="F6391" t="s">
        <v>1748</v>
      </c>
      <c r="H6391" s="165" t="str">
        <f>IF(ISBLANK('Q 6'!G146),"",IF('Q 6'!G146="&lt;please select&gt;","",'Q 6'!G146))</f>
        <v>5</v>
      </c>
    </row>
    <row r="6392" spans="1:8" x14ac:dyDescent="0.3">
      <c r="A6392" t="s">
        <v>1985</v>
      </c>
      <c r="B6392" t="s">
        <v>1987</v>
      </c>
      <c r="C6392">
        <v>15</v>
      </c>
      <c r="D6392" t="s">
        <v>1447</v>
      </c>
      <c r="E6392" t="s">
        <v>1798</v>
      </c>
      <c r="F6392" t="s">
        <v>1748</v>
      </c>
      <c r="H6392" s="165" t="str">
        <f>IF(ISBLANK('Q 6'!G147),"",IF('Q 6'!G147="&lt;please select&gt;","",'Q 6'!G147))</f>
        <v>2</v>
      </c>
    </row>
    <row r="6393" spans="1:8" x14ac:dyDescent="0.3">
      <c r="A6393" t="s">
        <v>1985</v>
      </c>
      <c r="B6393" t="s">
        <v>1987</v>
      </c>
      <c r="C6393">
        <v>16</v>
      </c>
      <c r="D6393" t="s">
        <v>1447</v>
      </c>
      <c r="E6393" t="s">
        <v>1798</v>
      </c>
      <c r="F6393" t="s">
        <v>1748</v>
      </c>
      <c r="H6393" s="165" t="str">
        <f>IF(ISBLANK('Q 6'!G148),"",IF('Q 6'!G148="&lt;please select&gt;","",'Q 6'!G148))</f>
        <v>4</v>
      </c>
    </row>
    <row r="6394" spans="1:8" x14ac:dyDescent="0.3">
      <c r="A6394" t="s">
        <v>1985</v>
      </c>
      <c r="B6394" t="s">
        <v>1987</v>
      </c>
      <c r="C6394">
        <v>17</v>
      </c>
      <c r="D6394" t="s">
        <v>1447</v>
      </c>
      <c r="E6394" t="s">
        <v>1798</v>
      </c>
      <c r="F6394" t="s">
        <v>1748</v>
      </c>
      <c r="H6394" s="165" t="str">
        <f>IF(ISBLANK('Q 6'!G149),"",IF('Q 6'!G149="&lt;please select&gt;","",'Q 6'!G149))</f>
        <v>1</v>
      </c>
    </row>
    <row r="6395" spans="1:8" x14ac:dyDescent="0.3">
      <c r="A6395" t="s">
        <v>1985</v>
      </c>
      <c r="B6395" t="s">
        <v>1987</v>
      </c>
      <c r="C6395">
        <v>18</v>
      </c>
      <c r="D6395" t="s">
        <v>1447</v>
      </c>
      <c r="E6395" t="s">
        <v>1798</v>
      </c>
      <c r="F6395" t="s">
        <v>1748</v>
      </c>
      <c r="H6395" s="165" t="str">
        <f>IF(ISBLANK('Q 6'!G150),"",IF('Q 6'!G150="&lt;please select&gt;","",'Q 6'!G150))</f>
        <v>2</v>
      </c>
    </row>
    <row r="6396" spans="1:8" x14ac:dyDescent="0.3">
      <c r="A6396" t="s">
        <v>1985</v>
      </c>
      <c r="B6396" t="s">
        <v>1987</v>
      </c>
      <c r="C6396">
        <v>19</v>
      </c>
      <c r="D6396" t="s">
        <v>1447</v>
      </c>
      <c r="E6396" t="s">
        <v>1798</v>
      </c>
      <c r="F6396" t="s">
        <v>1748</v>
      </c>
      <c r="H6396" s="165" t="str">
        <f>IF(ISBLANK('Q 6'!G151),"",IF('Q 6'!G151="&lt;please select&gt;","",'Q 6'!G151))</f>
        <v>2</v>
      </c>
    </row>
    <row r="6397" spans="1:8" x14ac:dyDescent="0.3">
      <c r="A6397" t="s">
        <v>1985</v>
      </c>
      <c r="B6397" t="s">
        <v>1987</v>
      </c>
      <c r="C6397">
        <v>20</v>
      </c>
      <c r="D6397" t="s">
        <v>1447</v>
      </c>
      <c r="E6397" t="s">
        <v>1798</v>
      </c>
      <c r="F6397" t="s">
        <v>1748</v>
      </c>
      <c r="H6397" s="165" t="str">
        <f>IF(ISBLANK('Q 6'!G152),"",IF('Q 6'!G152="&lt;please select&gt;","",'Q 6'!G152))</f>
        <v>3</v>
      </c>
    </row>
    <row r="6398" spans="1:8" x14ac:dyDescent="0.3">
      <c r="A6398" t="s">
        <v>1985</v>
      </c>
      <c r="B6398" t="s">
        <v>1987</v>
      </c>
      <c r="C6398">
        <v>21</v>
      </c>
      <c r="D6398" t="s">
        <v>1447</v>
      </c>
      <c r="E6398" t="s">
        <v>1798</v>
      </c>
      <c r="F6398" t="s">
        <v>1748</v>
      </c>
      <c r="H6398" s="165" t="str">
        <f>IF(ISBLANK('Q 6'!G153),"",IF('Q 6'!G153="&lt;please select&gt;","",'Q 6'!G153))</f>
        <v>1</v>
      </c>
    </row>
    <row r="6399" spans="1:8" x14ac:dyDescent="0.3">
      <c r="A6399" t="s">
        <v>1985</v>
      </c>
      <c r="B6399" t="s">
        <v>1987</v>
      </c>
      <c r="C6399">
        <v>22</v>
      </c>
      <c r="D6399" t="s">
        <v>1447</v>
      </c>
      <c r="E6399" t="s">
        <v>1798</v>
      </c>
      <c r="F6399" t="s">
        <v>1748</v>
      </c>
      <c r="H6399" s="165" t="str">
        <f>IF(ISBLANK('Q 6'!G154),"",IF('Q 6'!G154="&lt;please select&gt;","",'Q 6'!G154))</f>
        <v>1</v>
      </c>
    </row>
    <row r="6400" spans="1:8" x14ac:dyDescent="0.3">
      <c r="A6400" t="s">
        <v>1985</v>
      </c>
      <c r="B6400" t="s">
        <v>1987</v>
      </c>
      <c r="C6400">
        <v>23</v>
      </c>
      <c r="D6400" t="s">
        <v>1447</v>
      </c>
      <c r="E6400" t="s">
        <v>1798</v>
      </c>
      <c r="F6400" t="s">
        <v>1748</v>
      </c>
      <c r="H6400" s="165" t="str">
        <f>IF(ISBLANK('Q 6'!G155),"",IF('Q 6'!G155="&lt;please select&gt;","",'Q 6'!G155))</f>
        <v>1</v>
      </c>
    </row>
    <row r="6401" spans="1:8" x14ac:dyDescent="0.3">
      <c r="A6401" t="s">
        <v>1985</v>
      </c>
      <c r="B6401" t="s">
        <v>1987</v>
      </c>
      <c r="C6401">
        <v>24</v>
      </c>
      <c r="D6401" t="s">
        <v>1447</v>
      </c>
      <c r="E6401" t="s">
        <v>1798</v>
      </c>
      <c r="F6401" t="s">
        <v>1748</v>
      </c>
      <c r="H6401" s="165" t="str">
        <f>IF(ISBLANK('Q 6'!G156),"",IF('Q 6'!G156="&lt;please select&gt;","",'Q 6'!G156))</f>
        <v>2</v>
      </c>
    </row>
    <row r="6402" spans="1:8" x14ac:dyDescent="0.3">
      <c r="A6402" t="s">
        <v>1985</v>
      </c>
      <c r="B6402" t="s">
        <v>1987</v>
      </c>
      <c r="C6402">
        <v>25</v>
      </c>
      <c r="D6402" t="s">
        <v>1447</v>
      </c>
      <c r="E6402" t="s">
        <v>1798</v>
      </c>
      <c r="F6402" t="s">
        <v>1748</v>
      </c>
      <c r="H6402" s="165" t="str">
        <f>IF(ISBLANK('Q 6'!G157),"",IF('Q 6'!G157="&lt;please select&gt;","",'Q 6'!G157))</f>
        <v>1</v>
      </c>
    </row>
    <row r="6403" spans="1:8" x14ac:dyDescent="0.3">
      <c r="A6403" t="s">
        <v>1985</v>
      </c>
      <c r="B6403" t="s">
        <v>1987</v>
      </c>
      <c r="C6403">
        <v>26</v>
      </c>
      <c r="D6403" t="s">
        <v>1447</v>
      </c>
      <c r="E6403" t="s">
        <v>1798</v>
      </c>
      <c r="F6403" t="s">
        <v>1748</v>
      </c>
      <c r="H6403" s="165" t="str">
        <f>IF(ISBLANK('Q 6'!G158),"",IF('Q 6'!G158="&lt;please select&gt;","",'Q 6'!G158))</f>
        <v>1</v>
      </c>
    </row>
    <row r="6404" spans="1:8" x14ac:dyDescent="0.3">
      <c r="A6404" t="s">
        <v>1985</v>
      </c>
      <c r="B6404" t="s">
        <v>1987</v>
      </c>
      <c r="C6404">
        <v>27</v>
      </c>
      <c r="D6404" t="s">
        <v>1447</v>
      </c>
      <c r="E6404" t="s">
        <v>1798</v>
      </c>
      <c r="F6404" t="s">
        <v>1748</v>
      </c>
      <c r="H6404" s="165" t="str">
        <f>IF(ISBLANK('Q 6'!G159),"",IF('Q 6'!G159="&lt;please select&gt;","",'Q 6'!G159))</f>
        <v>3</v>
      </c>
    </row>
    <row r="6405" spans="1:8" x14ac:dyDescent="0.3">
      <c r="A6405" t="s">
        <v>1985</v>
      </c>
      <c r="B6405" t="s">
        <v>1987</v>
      </c>
      <c r="C6405">
        <v>28</v>
      </c>
      <c r="D6405" t="s">
        <v>1447</v>
      </c>
      <c r="E6405" t="s">
        <v>1798</v>
      </c>
      <c r="F6405" t="s">
        <v>1748</v>
      </c>
      <c r="H6405" s="165" t="str">
        <f>IF(ISBLANK('Q 6'!G160),"",IF('Q 6'!G160="&lt;please select&gt;","",'Q 6'!G160))</f>
        <v>1</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4</v>
      </c>
    </row>
    <row r="6469" spans="1:8" x14ac:dyDescent="0.3">
      <c r="A6469" t="s">
        <v>1985</v>
      </c>
      <c r="B6469" t="s">
        <v>1987</v>
      </c>
      <c r="C6469">
        <v>2</v>
      </c>
      <c r="D6469" t="s">
        <v>1447</v>
      </c>
      <c r="E6469" t="s">
        <v>1972</v>
      </c>
      <c r="F6469" t="s">
        <v>1748</v>
      </c>
      <c r="H6469" s="165" t="str">
        <f>IF(ISBLANK('Q 6'!H134),"",IF('Q 6'!H134="&lt;please select&gt;","",'Q 6'!H134))</f>
        <v>1</v>
      </c>
    </row>
    <row r="6470" spans="1:8" x14ac:dyDescent="0.3">
      <c r="A6470" t="s">
        <v>1985</v>
      </c>
      <c r="B6470" t="s">
        <v>1987</v>
      </c>
      <c r="C6470">
        <v>3</v>
      </c>
      <c r="D6470" t="s">
        <v>1447</v>
      </c>
      <c r="E6470" t="s">
        <v>1972</v>
      </c>
      <c r="F6470" t="s">
        <v>1748</v>
      </c>
      <c r="H6470" s="165" t="str">
        <f>IF(ISBLANK('Q 6'!H135),"",IF('Q 6'!H135="&lt;please select&gt;","",'Q 6'!H135))</f>
        <v>2</v>
      </c>
    </row>
    <row r="6471" spans="1:8" x14ac:dyDescent="0.3">
      <c r="A6471" t="s">
        <v>1985</v>
      </c>
      <c r="B6471" t="s">
        <v>1987</v>
      </c>
      <c r="C6471">
        <v>4</v>
      </c>
      <c r="D6471" t="s">
        <v>1447</v>
      </c>
      <c r="E6471" t="s">
        <v>1972</v>
      </c>
      <c r="F6471" t="s">
        <v>1748</v>
      </c>
      <c r="H6471" s="165" t="str">
        <f>IF(ISBLANK('Q 6'!H136),"",IF('Q 6'!H136="&lt;please select&gt;","",'Q 6'!H136))</f>
        <v>3</v>
      </c>
    </row>
    <row r="6472" spans="1:8" x14ac:dyDescent="0.3">
      <c r="A6472" t="s">
        <v>1985</v>
      </c>
      <c r="B6472" t="s">
        <v>1987</v>
      </c>
      <c r="C6472">
        <v>5</v>
      </c>
      <c r="D6472" t="s">
        <v>1447</v>
      </c>
      <c r="E6472" t="s">
        <v>1972</v>
      </c>
      <c r="F6472" t="s">
        <v>1748</v>
      </c>
      <c r="H6472" s="165" t="str">
        <f>IF(ISBLANK('Q 6'!H137),"",IF('Q 6'!H137="&lt;please select&gt;","",'Q 6'!H137))</f>
        <v>4</v>
      </c>
    </row>
    <row r="6473" spans="1:8" x14ac:dyDescent="0.3">
      <c r="A6473" t="s">
        <v>1985</v>
      </c>
      <c r="B6473" t="s">
        <v>1987</v>
      </c>
      <c r="C6473">
        <v>6</v>
      </c>
      <c r="D6473" t="s">
        <v>1447</v>
      </c>
      <c r="E6473" t="s">
        <v>1972</v>
      </c>
      <c r="F6473" t="s">
        <v>1748</v>
      </c>
      <c r="H6473" s="165" t="str">
        <f>IF(ISBLANK('Q 6'!H138),"",IF('Q 6'!H138="&lt;please select&gt;","",'Q 6'!H138))</f>
        <v>1</v>
      </c>
    </row>
    <row r="6474" spans="1:8" x14ac:dyDescent="0.3">
      <c r="A6474" t="s">
        <v>1985</v>
      </c>
      <c r="B6474" t="s">
        <v>1987</v>
      </c>
      <c r="C6474">
        <v>7</v>
      </c>
      <c r="D6474" t="s">
        <v>1447</v>
      </c>
      <c r="E6474" t="s">
        <v>1972</v>
      </c>
      <c r="F6474" t="s">
        <v>1748</v>
      </c>
      <c r="H6474" s="165" t="str">
        <f>IF(ISBLANK('Q 6'!H139),"",IF('Q 6'!H139="&lt;please select&gt;","",'Q 6'!H139))</f>
        <v>3</v>
      </c>
    </row>
    <row r="6475" spans="1:8" x14ac:dyDescent="0.3">
      <c r="A6475" t="s">
        <v>1985</v>
      </c>
      <c r="B6475" t="s">
        <v>1987</v>
      </c>
      <c r="C6475">
        <v>8</v>
      </c>
      <c r="D6475" t="s">
        <v>1447</v>
      </c>
      <c r="E6475" t="s">
        <v>1972</v>
      </c>
      <c r="F6475" t="s">
        <v>1748</v>
      </c>
      <c r="H6475" s="165" t="str">
        <f>IF(ISBLANK('Q 6'!H140),"",IF('Q 6'!H140="&lt;please select&gt;","",'Q 6'!H140))</f>
        <v>8</v>
      </c>
    </row>
    <row r="6476" spans="1:8" x14ac:dyDescent="0.3">
      <c r="A6476" t="s">
        <v>1985</v>
      </c>
      <c r="B6476" t="s">
        <v>1987</v>
      </c>
      <c r="C6476">
        <v>9</v>
      </c>
      <c r="D6476" t="s">
        <v>1447</v>
      </c>
      <c r="E6476" t="s">
        <v>1972</v>
      </c>
      <c r="F6476" t="s">
        <v>1748</v>
      </c>
      <c r="H6476" s="165" t="str">
        <f>IF(ISBLANK('Q 6'!H141),"",IF('Q 6'!H141="&lt;please select&gt;","",'Q 6'!H141))</f>
        <v>1</v>
      </c>
    </row>
    <row r="6477" spans="1:8" x14ac:dyDescent="0.3">
      <c r="A6477" t="s">
        <v>1985</v>
      </c>
      <c r="B6477" t="s">
        <v>1987</v>
      </c>
      <c r="C6477">
        <v>10</v>
      </c>
      <c r="D6477" t="s">
        <v>1447</v>
      </c>
      <c r="E6477" t="s">
        <v>1972</v>
      </c>
      <c r="F6477" t="s">
        <v>1748</v>
      </c>
      <c r="H6477" s="165" t="str">
        <f>IF(ISBLANK('Q 6'!H142),"",IF('Q 6'!H142="&lt;please select&gt;","",'Q 6'!H142))</f>
        <v>2</v>
      </c>
    </row>
    <row r="6478" spans="1:8" x14ac:dyDescent="0.3">
      <c r="A6478" t="s">
        <v>1985</v>
      </c>
      <c r="B6478" t="s">
        <v>1987</v>
      </c>
      <c r="C6478">
        <v>11</v>
      </c>
      <c r="D6478" t="s">
        <v>1447</v>
      </c>
      <c r="E6478" t="s">
        <v>1972</v>
      </c>
      <c r="F6478" t="s">
        <v>1748</v>
      </c>
      <c r="H6478" s="165" t="str">
        <f>IF(ISBLANK('Q 6'!H143),"",IF('Q 6'!H143="&lt;please select&gt;","",'Q 6'!H143))</f>
        <v>1</v>
      </c>
    </row>
    <row r="6479" spans="1:8" x14ac:dyDescent="0.3">
      <c r="A6479" t="s">
        <v>1985</v>
      </c>
      <c r="B6479" t="s">
        <v>1987</v>
      </c>
      <c r="C6479">
        <v>12</v>
      </c>
      <c r="D6479" t="s">
        <v>1447</v>
      </c>
      <c r="E6479" t="s">
        <v>1972</v>
      </c>
      <c r="F6479" t="s">
        <v>1748</v>
      </c>
      <c r="H6479" s="165" t="str">
        <f>IF(ISBLANK('Q 6'!H144),"",IF('Q 6'!H144="&lt;please select&gt;","",'Q 6'!H144))</f>
        <v>2</v>
      </c>
    </row>
    <row r="6480" spans="1:8" x14ac:dyDescent="0.3">
      <c r="A6480" t="s">
        <v>1985</v>
      </c>
      <c r="B6480" t="s">
        <v>1987</v>
      </c>
      <c r="C6480">
        <v>13</v>
      </c>
      <c r="D6480" t="s">
        <v>1447</v>
      </c>
      <c r="E6480" t="s">
        <v>1972</v>
      </c>
      <c r="F6480" t="s">
        <v>1748</v>
      </c>
      <c r="H6480" s="165" t="str">
        <f>IF(ISBLANK('Q 6'!H145),"",IF('Q 6'!H145="&lt;please select&gt;","",'Q 6'!H145))</f>
        <v>3</v>
      </c>
    </row>
    <row r="6481" spans="1:8" x14ac:dyDescent="0.3">
      <c r="A6481" t="s">
        <v>1985</v>
      </c>
      <c r="B6481" t="s">
        <v>1987</v>
      </c>
      <c r="C6481">
        <v>14</v>
      </c>
      <c r="D6481" t="s">
        <v>1447</v>
      </c>
      <c r="E6481" t="s">
        <v>1972</v>
      </c>
      <c r="F6481" t="s">
        <v>1748</v>
      </c>
      <c r="H6481" s="165" t="str">
        <f>IF(ISBLANK('Q 6'!H146),"",IF('Q 6'!H146="&lt;please select&gt;","",'Q 6'!H146))</f>
        <v>4</v>
      </c>
    </row>
    <row r="6482" spans="1:8" x14ac:dyDescent="0.3">
      <c r="A6482" t="s">
        <v>1985</v>
      </c>
      <c r="B6482" t="s">
        <v>1987</v>
      </c>
      <c r="C6482">
        <v>15</v>
      </c>
      <c r="D6482" t="s">
        <v>1447</v>
      </c>
      <c r="E6482" t="s">
        <v>1972</v>
      </c>
      <c r="F6482" t="s">
        <v>1748</v>
      </c>
      <c r="H6482" s="165" t="str">
        <f>IF(ISBLANK('Q 6'!H147),"",IF('Q 6'!H147="&lt;please select&gt;","",'Q 6'!H147))</f>
        <v>2</v>
      </c>
    </row>
    <row r="6483" spans="1:8" x14ac:dyDescent="0.3">
      <c r="A6483" t="s">
        <v>1985</v>
      </c>
      <c r="B6483" t="s">
        <v>1987</v>
      </c>
      <c r="C6483">
        <v>16</v>
      </c>
      <c r="D6483" t="s">
        <v>1447</v>
      </c>
      <c r="E6483" t="s">
        <v>1972</v>
      </c>
      <c r="F6483" t="s">
        <v>1748</v>
      </c>
      <c r="H6483" s="165" t="str">
        <f>IF(ISBLANK('Q 6'!H148),"",IF('Q 6'!H148="&lt;please select&gt;","",'Q 6'!H148))</f>
        <v>6</v>
      </c>
    </row>
    <row r="6484" spans="1:8" x14ac:dyDescent="0.3">
      <c r="A6484" t="s">
        <v>1985</v>
      </c>
      <c r="B6484" t="s">
        <v>1987</v>
      </c>
      <c r="C6484">
        <v>17</v>
      </c>
      <c r="D6484" t="s">
        <v>1447</v>
      </c>
      <c r="E6484" t="s">
        <v>1972</v>
      </c>
      <c r="F6484" t="s">
        <v>1748</v>
      </c>
      <c r="H6484" s="165" t="str">
        <f>IF(ISBLANK('Q 6'!H149),"",IF('Q 6'!H149="&lt;please select&gt;","",'Q 6'!H149))</f>
        <v>1</v>
      </c>
    </row>
    <row r="6485" spans="1:8" x14ac:dyDescent="0.3">
      <c r="A6485" t="s">
        <v>1985</v>
      </c>
      <c r="B6485" t="s">
        <v>1987</v>
      </c>
      <c r="C6485">
        <v>18</v>
      </c>
      <c r="D6485" t="s">
        <v>1447</v>
      </c>
      <c r="E6485" t="s">
        <v>1972</v>
      </c>
      <c r="F6485" t="s">
        <v>1748</v>
      </c>
      <c r="H6485" s="165" t="str">
        <f>IF(ISBLANK('Q 6'!H150),"",IF('Q 6'!H150="&lt;please select&gt;","",'Q 6'!H150))</f>
        <v>1</v>
      </c>
    </row>
    <row r="6486" spans="1:8" x14ac:dyDescent="0.3">
      <c r="A6486" t="s">
        <v>1985</v>
      </c>
      <c r="B6486" t="s">
        <v>1987</v>
      </c>
      <c r="C6486">
        <v>19</v>
      </c>
      <c r="D6486" t="s">
        <v>1447</v>
      </c>
      <c r="E6486" t="s">
        <v>1972</v>
      </c>
      <c r="F6486" t="s">
        <v>1748</v>
      </c>
      <c r="H6486" s="165" t="str">
        <f>IF(ISBLANK('Q 6'!H151),"",IF('Q 6'!H151="&lt;please select&gt;","",'Q 6'!H151))</f>
        <v>1</v>
      </c>
    </row>
    <row r="6487" spans="1:8" x14ac:dyDescent="0.3">
      <c r="A6487" t="s">
        <v>1985</v>
      </c>
      <c r="B6487" t="s">
        <v>1987</v>
      </c>
      <c r="C6487">
        <v>20</v>
      </c>
      <c r="D6487" t="s">
        <v>1447</v>
      </c>
      <c r="E6487" t="s">
        <v>1972</v>
      </c>
      <c r="F6487" t="s">
        <v>1748</v>
      </c>
      <c r="H6487" s="165" t="str">
        <f>IF(ISBLANK('Q 6'!H152),"",IF('Q 6'!H152="&lt;please select&gt;","",'Q 6'!H152))</f>
        <v>6</v>
      </c>
    </row>
    <row r="6488" spans="1:8" x14ac:dyDescent="0.3">
      <c r="A6488" t="s">
        <v>1985</v>
      </c>
      <c r="B6488" t="s">
        <v>1987</v>
      </c>
      <c r="C6488">
        <v>21</v>
      </c>
      <c r="D6488" t="s">
        <v>1447</v>
      </c>
      <c r="E6488" t="s">
        <v>1972</v>
      </c>
      <c r="F6488" t="s">
        <v>1748</v>
      </c>
      <c r="H6488" s="165" t="str">
        <f>IF(ISBLANK('Q 6'!H153),"",IF('Q 6'!H153="&lt;please select&gt;","",'Q 6'!H153))</f>
        <v>1</v>
      </c>
    </row>
    <row r="6489" spans="1:8" x14ac:dyDescent="0.3">
      <c r="A6489" t="s">
        <v>1985</v>
      </c>
      <c r="B6489" t="s">
        <v>1987</v>
      </c>
      <c r="C6489">
        <v>22</v>
      </c>
      <c r="D6489" t="s">
        <v>1447</v>
      </c>
      <c r="E6489" t="s">
        <v>1972</v>
      </c>
      <c r="F6489" t="s">
        <v>1748</v>
      </c>
      <c r="H6489" s="165" t="str">
        <f>IF(ISBLANK('Q 6'!H154),"",IF('Q 6'!H154="&lt;please select&gt;","",'Q 6'!H154))</f>
        <v>1</v>
      </c>
    </row>
    <row r="6490" spans="1:8" x14ac:dyDescent="0.3">
      <c r="A6490" t="s">
        <v>1985</v>
      </c>
      <c r="B6490" t="s">
        <v>1987</v>
      </c>
      <c r="C6490">
        <v>23</v>
      </c>
      <c r="D6490" t="s">
        <v>1447</v>
      </c>
      <c r="E6490" t="s">
        <v>1972</v>
      </c>
      <c r="F6490" t="s">
        <v>1748</v>
      </c>
      <c r="H6490" s="165" t="str">
        <f>IF(ISBLANK('Q 6'!H155),"",IF('Q 6'!H155="&lt;please select&gt;","",'Q 6'!H155))</f>
        <v>1</v>
      </c>
    </row>
    <row r="6491" spans="1:8" x14ac:dyDescent="0.3">
      <c r="A6491" t="s">
        <v>1985</v>
      </c>
      <c r="B6491" t="s">
        <v>1987</v>
      </c>
      <c r="C6491">
        <v>24</v>
      </c>
      <c r="D6491" t="s">
        <v>1447</v>
      </c>
      <c r="E6491" t="s">
        <v>1972</v>
      </c>
      <c r="F6491" t="s">
        <v>1748</v>
      </c>
      <c r="H6491" s="165" t="str">
        <f>IF(ISBLANK('Q 6'!H156),"",IF('Q 6'!H156="&lt;please select&gt;","",'Q 6'!H156))</f>
        <v>3</v>
      </c>
    </row>
    <row r="6492" spans="1:8" x14ac:dyDescent="0.3">
      <c r="A6492" t="s">
        <v>1985</v>
      </c>
      <c r="B6492" t="s">
        <v>1987</v>
      </c>
      <c r="C6492">
        <v>25</v>
      </c>
      <c r="D6492" t="s">
        <v>1447</v>
      </c>
      <c r="E6492" t="s">
        <v>1972</v>
      </c>
      <c r="F6492" t="s">
        <v>1748</v>
      </c>
      <c r="H6492" s="165" t="str">
        <f>IF(ISBLANK('Q 6'!H157),"",IF('Q 6'!H157="&lt;please select&gt;","",'Q 6'!H157))</f>
        <v>1</v>
      </c>
    </row>
    <row r="6493" spans="1:8" x14ac:dyDescent="0.3">
      <c r="A6493" t="s">
        <v>1985</v>
      </c>
      <c r="B6493" t="s">
        <v>1987</v>
      </c>
      <c r="C6493">
        <v>26</v>
      </c>
      <c r="D6493" t="s">
        <v>1447</v>
      </c>
      <c r="E6493" t="s">
        <v>1972</v>
      </c>
      <c r="F6493" t="s">
        <v>1748</v>
      </c>
      <c r="H6493" s="165" t="str">
        <f>IF(ISBLANK('Q 6'!H158),"",IF('Q 6'!H158="&lt;please select&gt;","",'Q 6'!H158))</f>
        <v>2</v>
      </c>
    </row>
    <row r="6494" spans="1:8" x14ac:dyDescent="0.3">
      <c r="A6494" t="s">
        <v>1985</v>
      </c>
      <c r="B6494" t="s">
        <v>1987</v>
      </c>
      <c r="C6494">
        <v>27</v>
      </c>
      <c r="D6494" t="s">
        <v>1447</v>
      </c>
      <c r="E6494" t="s">
        <v>1972</v>
      </c>
      <c r="F6494" t="s">
        <v>1748</v>
      </c>
      <c r="H6494" s="165" t="str">
        <f>IF(ISBLANK('Q 6'!H159),"",IF('Q 6'!H159="&lt;please select&gt;","",'Q 6'!H159))</f>
        <v>4</v>
      </c>
    </row>
    <row r="6495" spans="1:8" x14ac:dyDescent="0.3">
      <c r="A6495" t="s">
        <v>1985</v>
      </c>
      <c r="B6495" t="s">
        <v>1987</v>
      </c>
      <c r="C6495">
        <v>28</v>
      </c>
      <c r="D6495" t="s">
        <v>1447</v>
      </c>
      <c r="E6495" t="s">
        <v>1972</v>
      </c>
      <c r="F6495" t="s">
        <v>1748</v>
      </c>
      <c r="H6495" s="165" t="str">
        <f>IF(ISBLANK('Q 6'!H160),"",IF('Q 6'!H160="&lt;please select&gt;","",'Q 6'!H160))</f>
        <v>5</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0</v>
      </c>
    </row>
    <row r="6564" spans="1:9" x14ac:dyDescent="0.3">
      <c r="A6564" t="s">
        <v>1985</v>
      </c>
      <c r="B6564" t="s">
        <v>1987</v>
      </c>
      <c r="C6564">
        <v>7</v>
      </c>
      <c r="D6564" t="s">
        <v>1447</v>
      </c>
      <c r="E6564" t="s">
        <v>1990</v>
      </c>
      <c r="F6564" t="s">
        <v>1806</v>
      </c>
      <c r="I6564" s="166" t="str">
        <f>IF(ISBLANK('Q 6'!I139),"",IF('Q 6'!I139="&lt;please select&gt;","",'Q 6'!I139))</f>
        <v>0</v>
      </c>
    </row>
    <row r="6565" spans="1:9" x14ac:dyDescent="0.3">
      <c r="A6565" t="s">
        <v>1985</v>
      </c>
      <c r="B6565" t="s">
        <v>1987</v>
      </c>
      <c r="C6565">
        <v>8</v>
      </c>
      <c r="D6565" t="s">
        <v>1447</v>
      </c>
      <c r="E6565" t="s">
        <v>1990</v>
      </c>
      <c r="F6565" t="s">
        <v>1806</v>
      </c>
      <c r="I6565" s="166" t="str">
        <f>IF(ISBLANK('Q 6'!I140),"",IF('Q 6'!I140="&lt;please select&gt;","",'Q 6'!I140))</f>
        <v>0</v>
      </c>
    </row>
    <row r="6566" spans="1:9" x14ac:dyDescent="0.3">
      <c r="A6566" t="s">
        <v>1985</v>
      </c>
      <c r="B6566" t="s">
        <v>1987</v>
      </c>
      <c r="C6566">
        <v>9</v>
      </c>
      <c r="D6566" t="s">
        <v>1447</v>
      </c>
      <c r="E6566" t="s">
        <v>1990</v>
      </c>
      <c r="F6566" t="s">
        <v>1806</v>
      </c>
      <c r="I6566" s="166" t="str">
        <f>IF(ISBLANK('Q 6'!I141),"",IF('Q 6'!I141="&lt;please select&gt;","",'Q 6'!I141))</f>
        <v>0</v>
      </c>
    </row>
    <row r="6567" spans="1:9" x14ac:dyDescent="0.3">
      <c r="A6567" t="s">
        <v>1985</v>
      </c>
      <c r="B6567" t="s">
        <v>1987</v>
      </c>
      <c r="C6567">
        <v>10</v>
      </c>
      <c r="D6567" t="s">
        <v>1447</v>
      </c>
      <c r="E6567" t="s">
        <v>1990</v>
      </c>
      <c r="F6567" t="s">
        <v>1806</v>
      </c>
      <c r="I6567" s="166" t="str">
        <f>IF(ISBLANK('Q 6'!I142),"",IF('Q 6'!I142="&lt;please select&gt;","",'Q 6'!I142))</f>
        <v>0</v>
      </c>
    </row>
    <row r="6568" spans="1:9" x14ac:dyDescent="0.3">
      <c r="A6568" t="s">
        <v>1985</v>
      </c>
      <c r="B6568" t="s">
        <v>1987</v>
      </c>
      <c r="C6568">
        <v>11</v>
      </c>
      <c r="D6568" t="s">
        <v>1447</v>
      </c>
      <c r="E6568" t="s">
        <v>1990</v>
      </c>
      <c r="F6568" t="s">
        <v>1806</v>
      </c>
      <c r="I6568" s="166" t="str">
        <f>IF(ISBLANK('Q 6'!I143),"",IF('Q 6'!I143="&lt;please select&gt;","",'Q 6'!I143))</f>
        <v>0</v>
      </c>
    </row>
    <row r="6569" spans="1:9" x14ac:dyDescent="0.3">
      <c r="A6569" t="s">
        <v>1985</v>
      </c>
      <c r="B6569" t="s">
        <v>1987</v>
      </c>
      <c r="C6569">
        <v>12</v>
      </c>
      <c r="D6569" t="s">
        <v>1447</v>
      </c>
      <c r="E6569" t="s">
        <v>1990</v>
      </c>
      <c r="F6569" t="s">
        <v>1806</v>
      </c>
      <c r="I6569" s="166" t="str">
        <f>IF(ISBLANK('Q 6'!I144),"",IF('Q 6'!I144="&lt;please select&gt;","",'Q 6'!I144))</f>
        <v>0</v>
      </c>
    </row>
    <row r="6570" spans="1:9" x14ac:dyDescent="0.3">
      <c r="A6570" t="s">
        <v>1985</v>
      </c>
      <c r="B6570" t="s">
        <v>1987</v>
      </c>
      <c r="C6570">
        <v>13</v>
      </c>
      <c r="D6570" t="s">
        <v>1447</v>
      </c>
      <c r="E6570" t="s">
        <v>1990</v>
      </c>
      <c r="F6570" t="s">
        <v>1806</v>
      </c>
      <c r="I6570" s="166" t="str">
        <f>IF(ISBLANK('Q 6'!I145),"",IF('Q 6'!I145="&lt;please select&gt;","",'Q 6'!I145))</f>
        <v>0</v>
      </c>
    </row>
    <row r="6571" spans="1:9" x14ac:dyDescent="0.3">
      <c r="A6571" t="s">
        <v>1985</v>
      </c>
      <c r="B6571" t="s">
        <v>1987</v>
      </c>
      <c r="C6571">
        <v>14</v>
      </c>
      <c r="D6571" t="s">
        <v>1447</v>
      </c>
      <c r="E6571" t="s">
        <v>1990</v>
      </c>
      <c r="F6571" t="s">
        <v>1806</v>
      </c>
      <c r="I6571" s="166" t="str">
        <f>IF(ISBLANK('Q 6'!I146),"",IF('Q 6'!I146="&lt;please select&gt;","",'Q 6'!I146))</f>
        <v>0</v>
      </c>
    </row>
    <row r="6572" spans="1:9" x14ac:dyDescent="0.3">
      <c r="A6572" t="s">
        <v>1985</v>
      </c>
      <c r="B6572" t="s">
        <v>1987</v>
      </c>
      <c r="C6572">
        <v>15</v>
      </c>
      <c r="D6572" t="s">
        <v>1447</v>
      </c>
      <c r="E6572" t="s">
        <v>1990</v>
      </c>
      <c r="F6572" t="s">
        <v>1806</v>
      </c>
      <c r="I6572" s="166" t="str">
        <f>IF(ISBLANK('Q 6'!I147),"",IF('Q 6'!I147="&lt;please select&gt;","",'Q 6'!I147))</f>
        <v>0</v>
      </c>
    </row>
    <row r="6573" spans="1:9" x14ac:dyDescent="0.3">
      <c r="A6573" t="s">
        <v>1985</v>
      </c>
      <c r="B6573" t="s">
        <v>1987</v>
      </c>
      <c r="C6573">
        <v>16</v>
      </c>
      <c r="D6573" t="s">
        <v>1447</v>
      </c>
      <c r="E6573" t="s">
        <v>1990</v>
      </c>
      <c r="F6573" t="s">
        <v>1806</v>
      </c>
      <c r="I6573" s="166" t="str">
        <f>IF(ISBLANK('Q 6'!I148),"",IF('Q 6'!I148="&lt;please select&gt;","",'Q 6'!I148))</f>
        <v>0</v>
      </c>
    </row>
    <row r="6574" spans="1:9" x14ac:dyDescent="0.3">
      <c r="A6574" t="s">
        <v>1985</v>
      </c>
      <c r="B6574" t="s">
        <v>1987</v>
      </c>
      <c r="C6574">
        <v>17</v>
      </c>
      <c r="D6574" t="s">
        <v>1447</v>
      </c>
      <c r="E6574" t="s">
        <v>1990</v>
      </c>
      <c r="F6574" t="s">
        <v>1806</v>
      </c>
      <c r="I6574" s="166" t="str">
        <f>IF(ISBLANK('Q 6'!I149),"",IF('Q 6'!I149="&lt;please select&gt;","",'Q 6'!I149))</f>
        <v>0</v>
      </c>
    </row>
    <row r="6575" spans="1:9" x14ac:dyDescent="0.3">
      <c r="A6575" t="s">
        <v>1985</v>
      </c>
      <c r="B6575" t="s">
        <v>1987</v>
      </c>
      <c r="C6575">
        <v>18</v>
      </c>
      <c r="D6575" t="s">
        <v>1447</v>
      </c>
      <c r="E6575" t="s">
        <v>1990</v>
      </c>
      <c r="F6575" t="s">
        <v>1806</v>
      </c>
      <c r="I6575" s="166" t="str">
        <f>IF(ISBLANK('Q 6'!I150),"",IF('Q 6'!I150="&lt;please select&gt;","",'Q 6'!I150))</f>
        <v>0</v>
      </c>
    </row>
    <row r="6576" spans="1:9" x14ac:dyDescent="0.3">
      <c r="A6576" t="s">
        <v>1985</v>
      </c>
      <c r="B6576" t="s">
        <v>1987</v>
      </c>
      <c r="C6576">
        <v>19</v>
      </c>
      <c r="D6576" t="s">
        <v>1447</v>
      </c>
      <c r="E6576" t="s">
        <v>1990</v>
      </c>
      <c r="F6576" t="s">
        <v>1806</v>
      </c>
      <c r="I6576" s="166" t="str">
        <f>IF(ISBLANK('Q 6'!I151),"",IF('Q 6'!I151="&lt;please select&gt;","",'Q 6'!I151))</f>
        <v>0</v>
      </c>
    </row>
    <row r="6577" spans="1:9" x14ac:dyDescent="0.3">
      <c r="A6577" t="s">
        <v>1985</v>
      </c>
      <c r="B6577" t="s">
        <v>1987</v>
      </c>
      <c r="C6577">
        <v>20</v>
      </c>
      <c r="D6577" t="s">
        <v>1447</v>
      </c>
      <c r="E6577" t="s">
        <v>1990</v>
      </c>
      <c r="F6577" t="s">
        <v>1806</v>
      </c>
      <c r="I6577" s="166" t="str">
        <f>IF(ISBLANK('Q 6'!I152),"",IF('Q 6'!I152="&lt;please select&gt;","",'Q 6'!I152))</f>
        <v>0</v>
      </c>
    </row>
    <row r="6578" spans="1:9" x14ac:dyDescent="0.3">
      <c r="A6578" t="s">
        <v>1985</v>
      </c>
      <c r="B6578" t="s">
        <v>1987</v>
      </c>
      <c r="C6578">
        <v>21</v>
      </c>
      <c r="D6578" t="s">
        <v>1447</v>
      </c>
      <c r="E6578" t="s">
        <v>1990</v>
      </c>
      <c r="F6578" t="s">
        <v>1806</v>
      </c>
      <c r="I6578" s="166" t="str">
        <f>IF(ISBLANK('Q 6'!I153),"",IF('Q 6'!I153="&lt;please select&gt;","",'Q 6'!I153))</f>
        <v>0</v>
      </c>
    </row>
    <row r="6579" spans="1:9" x14ac:dyDescent="0.3">
      <c r="A6579" t="s">
        <v>1985</v>
      </c>
      <c r="B6579" t="s">
        <v>1987</v>
      </c>
      <c r="C6579">
        <v>22</v>
      </c>
      <c r="D6579" t="s">
        <v>1447</v>
      </c>
      <c r="E6579" t="s">
        <v>1990</v>
      </c>
      <c r="F6579" t="s">
        <v>1806</v>
      </c>
      <c r="I6579" s="166" t="str">
        <f>IF(ISBLANK('Q 6'!I154),"",IF('Q 6'!I154="&lt;please select&gt;","",'Q 6'!I154))</f>
        <v>0</v>
      </c>
    </row>
    <row r="6580" spans="1:9" x14ac:dyDescent="0.3">
      <c r="A6580" t="s">
        <v>1985</v>
      </c>
      <c r="B6580" t="s">
        <v>1987</v>
      </c>
      <c r="C6580">
        <v>23</v>
      </c>
      <c r="D6580" t="s">
        <v>1447</v>
      </c>
      <c r="E6580" t="s">
        <v>1990</v>
      </c>
      <c r="F6580" t="s">
        <v>1806</v>
      </c>
      <c r="I6580" s="166" t="str">
        <f>IF(ISBLANK('Q 6'!I155),"",IF('Q 6'!I155="&lt;please select&gt;","",'Q 6'!I155))</f>
        <v>0</v>
      </c>
    </row>
    <row r="6581" spans="1:9" x14ac:dyDescent="0.3">
      <c r="A6581" t="s">
        <v>1985</v>
      </c>
      <c r="B6581" t="s">
        <v>1987</v>
      </c>
      <c r="C6581">
        <v>24</v>
      </c>
      <c r="D6581" t="s">
        <v>1447</v>
      </c>
      <c r="E6581" t="s">
        <v>1990</v>
      </c>
      <c r="F6581" t="s">
        <v>1806</v>
      </c>
      <c r="I6581" s="166" t="str">
        <f>IF(ISBLANK('Q 6'!I156),"",IF('Q 6'!I156="&lt;please select&gt;","",'Q 6'!I156))</f>
        <v>0</v>
      </c>
    </row>
    <row r="6582" spans="1:9" x14ac:dyDescent="0.3">
      <c r="A6582" t="s">
        <v>1985</v>
      </c>
      <c r="B6582" t="s">
        <v>1987</v>
      </c>
      <c r="C6582">
        <v>25</v>
      </c>
      <c r="D6582" t="s">
        <v>1447</v>
      </c>
      <c r="E6582" t="s">
        <v>1990</v>
      </c>
      <c r="F6582" t="s">
        <v>1806</v>
      </c>
      <c r="I6582" s="166" t="str">
        <f>IF(ISBLANK('Q 6'!I157),"",IF('Q 6'!I157="&lt;please select&gt;","",'Q 6'!I157))</f>
        <v>0</v>
      </c>
    </row>
    <row r="6583" spans="1:9" x14ac:dyDescent="0.3">
      <c r="A6583" t="s">
        <v>1985</v>
      </c>
      <c r="B6583" t="s">
        <v>1987</v>
      </c>
      <c r="C6583">
        <v>26</v>
      </c>
      <c r="D6583" t="s">
        <v>1447</v>
      </c>
      <c r="E6583" t="s">
        <v>1990</v>
      </c>
      <c r="F6583" t="s">
        <v>1806</v>
      </c>
      <c r="I6583" s="166" t="str">
        <f>IF(ISBLANK('Q 6'!I158),"",IF('Q 6'!I158="&lt;please select&gt;","",'Q 6'!I158))</f>
        <v>0</v>
      </c>
    </row>
    <row r="6584" spans="1:9" x14ac:dyDescent="0.3">
      <c r="A6584" t="s">
        <v>1985</v>
      </c>
      <c r="B6584" t="s">
        <v>1987</v>
      </c>
      <c r="C6584">
        <v>27</v>
      </c>
      <c r="D6584" t="s">
        <v>1447</v>
      </c>
      <c r="E6584" t="s">
        <v>1990</v>
      </c>
      <c r="F6584" t="s">
        <v>1806</v>
      </c>
      <c r="I6584" s="166" t="str">
        <f>IF(ISBLANK('Q 6'!I159),"",IF('Q 6'!I159="&lt;please select&gt;","",'Q 6'!I159))</f>
        <v>0</v>
      </c>
    </row>
    <row r="6585" spans="1:9" x14ac:dyDescent="0.3">
      <c r="A6585" t="s">
        <v>1985</v>
      </c>
      <c r="B6585" t="s">
        <v>1987</v>
      </c>
      <c r="C6585">
        <v>28</v>
      </c>
      <c r="D6585" t="s">
        <v>1447</v>
      </c>
      <c r="E6585" t="s">
        <v>1990</v>
      </c>
      <c r="F6585" t="s">
        <v>1806</v>
      </c>
      <c r="I6585" s="166" t="str">
        <f>IF(ISBLANK('Q 6'!I160),"",IF('Q 6'!I160="&lt;please select&gt;","",'Q 6'!I160))</f>
        <v>0</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1</v>
      </c>
    </row>
    <row r="6653" spans="1:11" x14ac:dyDescent="0.3">
      <c r="A6653" t="s">
        <v>1991</v>
      </c>
      <c r="B6653" t="s">
        <v>1993</v>
      </c>
      <c r="C6653">
        <v>5</v>
      </c>
      <c r="D6653" t="s">
        <v>1447</v>
      </c>
      <c r="E6653" t="s">
        <v>1994</v>
      </c>
      <c r="F6653" t="s">
        <v>1806</v>
      </c>
      <c r="I6653" s="166" t="str">
        <f>IF(ISBLANK('Q 6'!G233),"",IF('Q 6'!G233="&lt;please select&gt;","",'Q 6'!G233))</f>
        <v>1</v>
      </c>
    </row>
    <row r="6654" spans="1:11" x14ac:dyDescent="0.3">
      <c r="A6654" t="s">
        <v>1991</v>
      </c>
      <c r="B6654" t="s">
        <v>1993</v>
      </c>
      <c r="C6654">
        <v>4</v>
      </c>
      <c r="D6654" t="s">
        <v>1447</v>
      </c>
      <c r="E6654" t="s">
        <v>1995</v>
      </c>
      <c r="F6654" t="s">
        <v>1791</v>
      </c>
      <c r="J6654" t="str">
        <f>IF(ISBLANK('Q 6'!$H$232),"",IF('Q 6'!$H$232="&lt;please select&gt;","",'Q 6'!$H$232))</f>
        <v>The emissions reports were cross-checked against the 2021 activity data and emissions from the past years.</v>
      </c>
    </row>
    <row r="6655" spans="1:11" x14ac:dyDescent="0.3">
      <c r="A6655" t="s">
        <v>1991</v>
      </c>
      <c r="B6655" t="s">
        <v>1993</v>
      </c>
      <c r="C6655">
        <v>5</v>
      </c>
      <c r="D6655" t="s">
        <v>1447</v>
      </c>
      <c r="E6655" t="s">
        <v>1995</v>
      </c>
      <c r="F6655" t="s">
        <v>1791</v>
      </c>
      <c r="J6655" t="str">
        <f>IF(ISBLANK('Q 6'!$I$233),"",IF('Q 6'!$I$233="&lt;please select&gt;","",'Q 6'!$I$233))</f>
        <v>All the emissions reports were analised in detail</v>
      </c>
    </row>
    <row r="6656" spans="1:11" x14ac:dyDescent="0.3">
      <c r="A6656" t="s">
        <v>1991</v>
      </c>
      <c r="B6656" t="s">
        <v>1993</v>
      </c>
      <c r="C6656">
        <v>5</v>
      </c>
      <c r="D6656" t="s">
        <v>1447</v>
      </c>
      <c r="E6656" t="s">
        <v>1996</v>
      </c>
      <c r="F6656" t="s">
        <v>1737</v>
      </c>
      <c r="K6656" t="str">
        <f>IF(ISBLANK('Q 6'!$H$233),"",IF('Q 6'!$H$233="&lt;please select&gt;","",'Q 6'!$H$233))</f>
        <v>Other, please specify</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26</v>
      </c>
    </row>
    <row r="6659" spans="1:11" x14ac:dyDescent="0.3">
      <c r="A6659" t="s">
        <v>1991</v>
      </c>
      <c r="B6659" t="s">
        <v>1997</v>
      </c>
      <c r="C6659">
        <v>2</v>
      </c>
      <c r="D6659" t="s">
        <v>1447</v>
      </c>
      <c r="E6659" t="s">
        <v>1995</v>
      </c>
      <c r="F6659" t="s">
        <v>1791</v>
      </c>
      <c r="J6659" t="str">
        <f>IF(ISBLANK('Q 6'!$H$235),"",IF('Q 6'!$H$235="&lt;please select&gt;","",'Q 6'!$H$235))</f>
        <v>The reasons for rejecting the emissions reports were: errors in the activity data calculation based on the stock from the previous year; incorrect type of source stream selected; source strem calculation factor wrongly reported (and wrong emission factor units); missing of waste catalogue number; not using the same tiers of the monitoring plan</v>
      </c>
    </row>
    <row r="6660" spans="1:11" x14ac:dyDescent="0.3">
      <c r="A6660" t="s">
        <v>1991</v>
      </c>
      <c r="B6660" t="s">
        <v>1999</v>
      </c>
      <c r="C6660">
        <v>1</v>
      </c>
      <c r="D6660" t="s">
        <v>1447</v>
      </c>
      <c r="E6660" t="s">
        <v>2000</v>
      </c>
      <c r="F6660" t="s">
        <v>1741</v>
      </c>
      <c r="G6660" t="str">
        <f>IF(ISBLANK('Q 6'!G236),"",IF('Q 6'!G236="&lt;please select&gt;","",'Q 6'!G236))</f>
        <v>Operators and verifiers to correct their reports to comply with the regulations 2020/2084 amending and correcting Implementing Regulation (EU) 2018/2067 and 2020/2085 amending and correcting Implementing Regulation (EU) 2018/2066, and to resubmit them for CA aproval</v>
      </c>
    </row>
    <row r="6661" spans="1:11" x14ac:dyDescent="0.3">
      <c r="A6661" t="s">
        <v>1991</v>
      </c>
      <c r="B6661" t="s">
        <v>1999</v>
      </c>
      <c r="C6661">
        <v>2</v>
      </c>
      <c r="D6661" t="s">
        <v>1419</v>
      </c>
      <c r="E6661" t="s">
        <v>2000</v>
      </c>
      <c r="F6661" t="s">
        <v>1791</v>
      </c>
      <c r="J6661" t="str">
        <f>IF(ISBLANK('Q 6'!G237),"",IF('Q 6'!G237="&lt;please select&gt;","",'Q 6'!G237))</f>
        <v/>
      </c>
    </row>
    <row r="6662" spans="1:11" x14ac:dyDescent="0.3">
      <c r="A6662" t="s">
        <v>2001</v>
      </c>
      <c r="B6662" t="s">
        <v>2002</v>
      </c>
      <c r="C6662">
        <v>0</v>
      </c>
      <c r="D6662" t="s">
        <v>1447</v>
      </c>
      <c r="E6662" t="s">
        <v>2002</v>
      </c>
      <c r="F6662" t="s">
        <v>1759</v>
      </c>
      <c r="K6662" t="str">
        <f>IF(ISBLANK('Q 6'!$I$240),"",IF('Q 6'!$I$240="&lt;please select&gt;","",'Q 6'!$I$240))</f>
        <v>Yes</v>
      </c>
    </row>
    <row r="6663" spans="1:11" x14ac:dyDescent="0.3">
      <c r="A6663" t="s">
        <v>2001</v>
      </c>
      <c r="B6663" t="s">
        <v>2003</v>
      </c>
      <c r="C6663">
        <v>1</v>
      </c>
      <c r="D6663" t="s">
        <v>1447</v>
      </c>
      <c r="E6663" t="s">
        <v>2004</v>
      </c>
      <c r="F6663" t="s">
        <v>1737</v>
      </c>
      <c r="K6663" t="str">
        <f>IF(ISBLANK('Q 6'!C243),"",IF('Q 6'!C243="&lt;please select&gt;","",'Q 6'!C243))</f>
        <v>Condition I</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20 - Combustion of fuels as specified in Annex I of Directive 2003/87/EC</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4</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
      </c>
    </row>
    <row r="6725" spans="1:11" x14ac:dyDescent="0.3">
      <c r="A6725" t="s">
        <v>2007</v>
      </c>
      <c r="B6725" t="s">
        <v>2008</v>
      </c>
      <c r="C6725">
        <v>0</v>
      </c>
      <c r="D6725" t="s">
        <v>1447</v>
      </c>
      <c r="E6725" t="s">
        <v>2008</v>
      </c>
      <c r="F6725" t="s">
        <v>1759</v>
      </c>
      <c r="K6725" t="str">
        <f>IF(ISBLANK('Q 6'!$I$270),"",IF('Q 6'!$I$270="&lt;please select&gt;","",'Q 6'!$I$270))</f>
        <v>Yes</v>
      </c>
    </row>
    <row r="6726" spans="1:11" x14ac:dyDescent="0.3">
      <c r="A6726" t="s">
        <v>2007</v>
      </c>
      <c r="B6726" t="s">
        <v>2009</v>
      </c>
      <c r="C6726">
        <v>1</v>
      </c>
      <c r="D6726" t="s">
        <v>1447</v>
      </c>
      <c r="E6726" t="s">
        <v>2010</v>
      </c>
      <c r="F6726" t="s">
        <v>1741</v>
      </c>
      <c r="G6726" t="str">
        <f>IF(ISBLANK('Q 6'!C276),"",IF('Q 6'!C276="&lt;please select&gt;","",'Q 6'!C276))</f>
        <v>Pandemic situation</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17</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Approval by competent authority</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yes</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22689</v>
      </c>
    </row>
    <row r="6779" spans="1:7" x14ac:dyDescent="0.3">
      <c r="A6779" t="s">
        <v>2014</v>
      </c>
      <c r="B6779" t="s">
        <v>2015</v>
      </c>
      <c r="C6779">
        <v>2</v>
      </c>
      <c r="D6779" t="s">
        <v>1447</v>
      </c>
      <c r="E6779" t="s">
        <v>2016</v>
      </c>
      <c r="F6779" t="s">
        <v>1741</v>
      </c>
      <c r="G6779" t="str">
        <f>IF(ISBLANK('Q 6'!C296),"",IF('Q 6'!C296="&lt;please select&gt;","",'Q 6'!C296))</f>
        <v>45516</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98</v>
      </c>
    </row>
    <row r="6800" spans="1:9" x14ac:dyDescent="0.3">
      <c r="A6800" t="s">
        <v>2014</v>
      </c>
      <c r="B6800" t="s">
        <v>2015</v>
      </c>
      <c r="C6800">
        <v>2</v>
      </c>
      <c r="D6800" t="s">
        <v>1447</v>
      </c>
      <c r="E6800" t="s">
        <v>2017</v>
      </c>
      <c r="F6800" t="s">
        <v>1806</v>
      </c>
      <c r="I6800" s="165" t="str">
        <f>IF(ISBLANK('Q 6'!D296),"",IF('Q 6'!D296="&lt;please select&gt;","",'Q 6'!D296))</f>
        <v>109</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No emission report submitted by the 31st of March</v>
      </c>
    </row>
    <row r="6821" spans="1:11" x14ac:dyDescent="0.3">
      <c r="A6821" t="s">
        <v>2014</v>
      </c>
      <c r="B6821" t="s">
        <v>2015</v>
      </c>
      <c r="C6821">
        <v>2</v>
      </c>
      <c r="D6821" t="s">
        <v>1447</v>
      </c>
      <c r="E6821" t="s">
        <v>1978</v>
      </c>
      <c r="F6821" t="s">
        <v>1737</v>
      </c>
      <c r="K6821" t="str">
        <f>IF(ISBLANK('Q 6'!E296),"",IF('Q 6'!E296="&lt;please select&gt;","",'Q 6'!E296))</f>
        <v>No emission report submitted by the 31st of March</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1</v>
      </c>
    </row>
    <row r="6842" spans="1:11" x14ac:dyDescent="0.3">
      <c r="A6842" t="s">
        <v>2014</v>
      </c>
      <c r="B6842" t="s">
        <v>2015</v>
      </c>
      <c r="C6842">
        <v>2</v>
      </c>
      <c r="D6842" t="s">
        <v>1447</v>
      </c>
      <c r="E6842" t="s">
        <v>2018</v>
      </c>
      <c r="F6842" t="s">
        <v>1806</v>
      </c>
      <c r="I6842" s="166" t="str">
        <f>IF(ISBLANK('Q 6'!F296),"",IF('Q 6'!F296="&lt;please select&gt;","",'Q 6'!F296))</f>
        <v>1</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This operator has not
submitted AER, so the
Competent Authority has
estimated the emissions that
are twice the reduced scope
emissions available from
Eurocontrol's EU ETS Support
Facility, which holds air traffic
data from aircraft operators.</v>
      </c>
    </row>
    <row r="6863" spans="1:9" x14ac:dyDescent="0.3">
      <c r="A6863" t="s">
        <v>2014</v>
      </c>
      <c r="B6863" t="s">
        <v>2015</v>
      </c>
      <c r="C6863">
        <v>2</v>
      </c>
      <c r="D6863" t="s">
        <v>1447</v>
      </c>
      <c r="E6863" t="s">
        <v>1980</v>
      </c>
      <c r="F6863" t="s">
        <v>1741</v>
      </c>
      <c r="G6863" t="str">
        <f>IF(ISBLANK('Q 6'!G296),"",IF('Q 6'!G296="&lt;please select&gt;","",'Q 6'!G296))</f>
        <v>This operator has not
submitted AER, so the
Competent Authority has
estimated the emissions that
are twice the reduced scope
emissions available from
Eurocontrol's EU ETS Support
Facility, which holds air traffic
data from aircraft operators.</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Combination of the above</v>
      </c>
    </row>
    <row r="6884" spans="1:11" x14ac:dyDescent="0.3">
      <c r="A6884" t="s">
        <v>2014</v>
      </c>
      <c r="B6884" t="s">
        <v>2015</v>
      </c>
      <c r="C6884">
        <v>2</v>
      </c>
      <c r="D6884" t="s">
        <v>1447</v>
      </c>
      <c r="E6884" t="s">
        <v>1981</v>
      </c>
      <c r="F6884" t="s">
        <v>1737</v>
      </c>
      <c r="K6884" t="str">
        <f>IF(ISBLANK('Q 6'!H296),"",IF('Q 6'!H296="&lt;please select&gt;","",'Q 6'!H296))</f>
        <v>Combination of the above</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The Aircraft operator
is subject to a
penalty and must
also surrender the
emission allowances
in an amount equal
to the verified
emissions.</v>
      </c>
    </row>
    <row r="6905" spans="1:11" x14ac:dyDescent="0.3">
      <c r="A6905" t="s">
        <v>2014</v>
      </c>
      <c r="B6905" t="s">
        <v>2015</v>
      </c>
      <c r="C6905">
        <v>2</v>
      </c>
      <c r="D6905" t="s">
        <v>1419</v>
      </c>
      <c r="E6905" t="s">
        <v>2019</v>
      </c>
      <c r="F6905" t="s">
        <v>1791</v>
      </c>
      <c r="J6905" t="str">
        <f>IF(ISBLANK('Q 6'!I296),"",IF('Q 6'!I296="&lt;please select&gt;","",'Q 6'!I296))</f>
        <v>The Aircraft operator
is subject to a
penalty and must
also surrender the
emission allowances
in an amount equal
to the verified
emissions.</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2</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Yes</v>
      </c>
    </row>
    <row r="6930" spans="1:11" x14ac:dyDescent="0.3">
      <c r="A6930" t="s">
        <v>2021</v>
      </c>
      <c r="B6930" t="s">
        <v>2023</v>
      </c>
      <c r="C6930">
        <v>1</v>
      </c>
      <c r="D6930" t="s">
        <v>1447</v>
      </c>
      <c r="E6930" t="s">
        <v>1989</v>
      </c>
      <c r="F6930" t="s">
        <v>1737</v>
      </c>
      <c r="K6930" t="str">
        <f>IF(ISBLANK('Q 6'!C332),"",IF('Q 6'!C332="&lt;please select&gt;","",'Q 6'!C332))</f>
        <v>Recommendations for improvement</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3</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8</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0</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1</v>
      </c>
    </row>
    <row r="6963" spans="1:11" x14ac:dyDescent="0.3">
      <c r="A6963" t="s">
        <v>2026</v>
      </c>
      <c r="B6963" t="s">
        <v>2028</v>
      </c>
      <c r="C6963">
        <v>3</v>
      </c>
      <c r="D6963" t="s">
        <v>1447</v>
      </c>
      <c r="E6963" t="s">
        <v>1995</v>
      </c>
      <c r="F6963" t="s">
        <v>1791</v>
      </c>
      <c r="J6963" t="str">
        <f>IF(ISBLANK('Q 6'!$H$354),"",IF('Q 6'!$H$354="&lt;please select&gt;","",'Q 6'!$H$354))</f>
        <v>Eurocontrol AER and Annual Emissions Monitoring Plan</v>
      </c>
    </row>
    <row r="6964" spans="1:11" x14ac:dyDescent="0.3">
      <c r="A6964" t="s">
        <v>2026</v>
      </c>
      <c r="B6964" t="s">
        <v>2028</v>
      </c>
      <c r="C6964">
        <v>4</v>
      </c>
      <c r="D6964" t="s">
        <v>1447</v>
      </c>
      <c r="E6964" t="s">
        <v>1995</v>
      </c>
      <c r="F6964" t="s">
        <v>1791</v>
      </c>
      <c r="J6964" t="str">
        <f>IF(ISBLANK('Q 6'!$I$355),"",IF('Q 6'!$I$355="&lt;please select&gt;","",'Q 6'!$I$355))</f>
        <v>All the emissions reports were analised in detail</v>
      </c>
    </row>
    <row r="6965" spans="1:11" x14ac:dyDescent="0.3">
      <c r="A6965" t="s">
        <v>2026</v>
      </c>
      <c r="B6965" t="s">
        <v>2028</v>
      </c>
      <c r="C6965">
        <v>4</v>
      </c>
      <c r="D6965" t="s">
        <v>1447</v>
      </c>
      <c r="E6965" t="s">
        <v>1996</v>
      </c>
      <c r="F6965" t="s">
        <v>1737</v>
      </c>
      <c r="K6965" t="str">
        <f>IF(ISBLANK('Q 6'!$H$355),"",IF('Q 6'!$H$355="&lt;please select&gt;","",'Q 6'!$H$355))</f>
        <v>Other please specify</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3</v>
      </c>
    </row>
    <row r="6968" spans="1:11" x14ac:dyDescent="0.3">
      <c r="A6968" t="s">
        <v>2026</v>
      </c>
      <c r="B6968" t="s">
        <v>2029</v>
      </c>
      <c r="C6968">
        <v>2</v>
      </c>
      <c r="D6968" t="s">
        <v>1447</v>
      </c>
      <c r="E6968" t="s">
        <v>1995</v>
      </c>
      <c r="F6968" t="s">
        <v>1791</v>
      </c>
      <c r="J6968" t="str">
        <f>IF(ISBLANK('Q 6'!$H$357),"",IF('Q 6'!$H$357="&lt;please select&gt;","",'Q 6'!$H$357))</f>
        <v>Wrong States designation and lack of fulfillment of the offsetting requirements</v>
      </c>
    </row>
    <row r="6969" spans="1:11" x14ac:dyDescent="0.3">
      <c r="A6969" t="s">
        <v>2026</v>
      </c>
      <c r="B6969" t="s">
        <v>2030</v>
      </c>
      <c r="C6969">
        <v>1</v>
      </c>
      <c r="D6969" t="s">
        <v>1447</v>
      </c>
      <c r="E6969" t="s">
        <v>2000</v>
      </c>
      <c r="F6969" t="s">
        <v>1741</v>
      </c>
      <c r="G6969" t="str">
        <f>IF(ISBLANK('Q 6'!$G$358),"",IF('Q 6'!$G$358="&lt;please select&gt;","",'Q 6'!$G$358))</f>
        <v>Aircraft Operators/verifiers were asked to make the necessary corrections to the ERA/VR for CA aproval.</v>
      </c>
    </row>
    <row r="6970" spans="1:11" x14ac:dyDescent="0.3">
      <c r="A6970" t="s">
        <v>2026</v>
      </c>
      <c r="B6970" t="s">
        <v>2030</v>
      </c>
      <c r="C6970">
        <v>2</v>
      </c>
      <c r="D6970" t="s">
        <v>1419</v>
      </c>
      <c r="E6970" t="s">
        <v>2000</v>
      </c>
      <c r="F6970" t="s">
        <v>1791</v>
      </c>
      <c r="J6970" t="str">
        <f>IF(ISBLANK('Q 6'!$G$359),"",IF('Q 6'!$G$359="&lt;please select&gt;","",'Q 6'!$G$359))</f>
        <v>No actions were taken.</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0</v>
      </c>
    </row>
    <row r="6984" spans="1:11" x14ac:dyDescent="0.3">
      <c r="A6984" t="s">
        <v>2037</v>
      </c>
      <c r="B6984" t="s">
        <v>2038</v>
      </c>
      <c r="C6984">
        <v>0</v>
      </c>
      <c r="D6984" t="s">
        <v>1447</v>
      </c>
      <c r="E6984" t="s">
        <v>2038</v>
      </c>
      <c r="F6984" t="s">
        <v>1759</v>
      </c>
      <c r="K6984" t="str">
        <f>IF(ISBLANK('Q 6'!$I$377),"",IF('Q 6'!$I$377="&lt;please select&gt;","",'Q 6'!$I$377))</f>
        <v>Yes</v>
      </c>
    </row>
    <row r="6985" spans="1:11" x14ac:dyDescent="0.3">
      <c r="A6985" t="s">
        <v>2037</v>
      </c>
      <c r="B6985" t="s">
        <v>2039</v>
      </c>
      <c r="C6985">
        <v>1</v>
      </c>
      <c r="D6985" t="s">
        <v>1447</v>
      </c>
      <c r="E6985" t="s">
        <v>2010</v>
      </c>
      <c r="F6985" t="s">
        <v>1741</v>
      </c>
      <c r="G6985" t="str">
        <f>IF(ISBLANK('Q 6'!C383),"",IF('Q 6'!C383="&lt;please select&gt;","",'Q 6'!C383))</f>
        <v>Pandemic situation</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1</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Approval by competent authority</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Yes</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Not applicable</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Not applicable</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125</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Yes</v>
      </c>
    </row>
    <row r="7189" spans="1:11" x14ac:dyDescent="0.3">
      <c r="A7189" t="s">
        <v>2064</v>
      </c>
      <c r="B7189" t="s">
        <v>2066</v>
      </c>
      <c r="C7189">
        <v>1</v>
      </c>
      <c r="D7189" t="s">
        <v>1447</v>
      </c>
      <c r="E7189" t="s">
        <v>2067</v>
      </c>
      <c r="F7189" t="s">
        <v>1748</v>
      </c>
      <c r="H7189" s="165" t="str">
        <f>IF(ISBLANK('Q 8'!$C$40),"",IF('Q 8'!$C$40="&lt;please select&gt;","",'Q 8'!$C$40))</f>
        <v>1</v>
      </c>
    </row>
    <row r="7190" spans="1:11" x14ac:dyDescent="0.3">
      <c r="A7190" t="s">
        <v>2064</v>
      </c>
      <c r="B7190" t="s">
        <v>2066</v>
      </c>
      <c r="C7190">
        <v>1</v>
      </c>
      <c r="D7190" t="s">
        <v>1447</v>
      </c>
      <c r="E7190" t="s">
        <v>2068</v>
      </c>
      <c r="F7190" t="s">
        <v>1748</v>
      </c>
      <c r="H7190" s="165" t="str">
        <f>IF(ISBLANK('Q 8'!$G$40),"",IF('Q 8'!$G$40="&lt;please select&gt;","",'Q 8'!$G$40))</f>
        <v>2</v>
      </c>
    </row>
    <row r="7191" spans="1:11" x14ac:dyDescent="0.3">
      <c r="A7191" t="s">
        <v>2064</v>
      </c>
      <c r="B7191" t="s">
        <v>2069</v>
      </c>
      <c r="C7191">
        <v>0</v>
      </c>
      <c r="D7191" t="s">
        <v>1447</v>
      </c>
      <c r="E7191" t="s">
        <v>2069</v>
      </c>
      <c r="F7191" t="s">
        <v>1759</v>
      </c>
      <c r="K7191" t="str">
        <f>IF(ISBLANK('Q 8'!$I$42),"",IF('Q 8'!$I$42="&lt;please select&gt;","",'Q 8'!$I$42))</f>
        <v>No</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2</v>
      </c>
    </row>
    <row r="7198" spans="1:11" x14ac:dyDescent="0.3">
      <c r="A7198" t="s">
        <v>2073</v>
      </c>
      <c r="B7198" t="s">
        <v>2074</v>
      </c>
      <c r="C7198">
        <v>2</v>
      </c>
      <c r="D7198" t="s">
        <v>1447</v>
      </c>
      <c r="E7198" t="s">
        <v>1798</v>
      </c>
      <c r="F7198" t="s">
        <v>1748</v>
      </c>
      <c r="H7198" s="165" t="str">
        <f>IF(ISBLANK('Q 8'!$G55),"",IF('Q 8'!$G55="&lt;please select&gt;","",'Q 8'!$G55))</f>
        <v>1</v>
      </c>
    </row>
    <row r="7199" spans="1:11" x14ac:dyDescent="0.3">
      <c r="A7199" t="s">
        <v>2073</v>
      </c>
      <c r="B7199" t="s">
        <v>2074</v>
      </c>
      <c r="C7199">
        <v>3</v>
      </c>
      <c r="D7199" t="s">
        <v>1447</v>
      </c>
      <c r="E7199" t="s">
        <v>1798</v>
      </c>
      <c r="F7199" t="s">
        <v>1748</v>
      </c>
      <c r="H7199" s="165" t="str">
        <f>IF(ISBLANK('Q 8'!$G56),"",IF('Q 8'!$G56="&lt;please select&gt;","",'Q 8'!$G56))</f>
        <v/>
      </c>
    </row>
    <row r="7200" spans="1:11" x14ac:dyDescent="0.3">
      <c r="A7200" t="s">
        <v>2073</v>
      </c>
      <c r="B7200" t="s">
        <v>2074</v>
      </c>
      <c r="C7200">
        <v>4</v>
      </c>
      <c r="D7200" t="s">
        <v>1447</v>
      </c>
      <c r="E7200" t="s">
        <v>1798</v>
      </c>
      <c r="F7200" t="s">
        <v>1748</v>
      </c>
      <c r="H7200" s="165" t="str">
        <f>IF(ISBLANK('Q 8'!$G57),"",IF('Q 8'!$G57="&lt;please select&gt;","",'Q 8'!$G57))</f>
        <v/>
      </c>
    </row>
    <row r="7201" spans="1:11" x14ac:dyDescent="0.3">
      <c r="A7201" t="s">
        <v>2073</v>
      </c>
      <c r="B7201" t="s">
        <v>2074</v>
      </c>
      <c r="C7201">
        <v>5</v>
      </c>
      <c r="D7201" t="s">
        <v>1447</v>
      </c>
      <c r="E7201" t="s">
        <v>1798</v>
      </c>
      <c r="F7201" t="s">
        <v>1748</v>
      </c>
      <c r="H7201" s="165" t="str">
        <f>IF(ISBLANK('Q 8'!$G58),"",IF('Q 8'!$G58="&lt;please select&gt;","",'Q 8'!$G58))</f>
        <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0</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0</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0</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30 - Production of lime or calcination of dolomite or magnesite as specified in Annex I of Directive 2003/87/ EC</v>
      </c>
    </row>
    <row r="7481" spans="1:11" x14ac:dyDescent="0.3">
      <c r="A7481" t="s">
        <v>2096</v>
      </c>
      <c r="B7481" t="s">
        <v>2097</v>
      </c>
      <c r="C7481">
        <v>2</v>
      </c>
      <c r="D7481" t="s">
        <v>1447</v>
      </c>
      <c r="E7481" t="s">
        <v>1988</v>
      </c>
      <c r="F7481" t="s">
        <v>1737</v>
      </c>
      <c r="K7481" t="str">
        <f>IF(ISBLANK('Q 8'!$C158),"",IF('Q 8'!$C158="&lt;please select&gt;","",'Q 8'!$C158))</f>
        <v>20 - Combustion of fuels as specified in Annex I of Directive 2003/87/EC</v>
      </c>
    </row>
    <row r="7482" spans="1:11" x14ac:dyDescent="0.3">
      <c r="A7482" t="s">
        <v>2096</v>
      </c>
      <c r="B7482" t="s">
        <v>2097</v>
      </c>
      <c r="C7482">
        <v>3</v>
      </c>
      <c r="D7482" t="s">
        <v>1447</v>
      </c>
      <c r="E7482" t="s">
        <v>1988</v>
      </c>
      <c r="F7482" t="s">
        <v>1737</v>
      </c>
      <c r="K7482" t="str">
        <f>IF(ISBLANK('Q 8'!$C159),"",IF('Q 8'!$C159="&lt;please select&gt;","",'Q 8'!$C159))</f>
        <v>35 - Production of pulp as specified in Annex I of Directive 2003/87/EC</v>
      </c>
    </row>
    <row r="7483" spans="1:11" x14ac:dyDescent="0.3">
      <c r="A7483" t="s">
        <v>2096</v>
      </c>
      <c r="B7483" t="s">
        <v>2097</v>
      </c>
      <c r="C7483">
        <v>4</v>
      </c>
      <c r="D7483" t="s">
        <v>1447</v>
      </c>
      <c r="E7483" t="s">
        <v>1988</v>
      </c>
      <c r="F7483" t="s">
        <v>1737</v>
      </c>
      <c r="K7483" t="str">
        <f>IF(ISBLANK('Q 8'!$C160),"",IF('Q 8'!$C160="&lt;please select&gt;","",'Q 8'!$C160))</f>
        <v xml:space="preserve">36 - Production of paper or cardboard as specified in Annex I of Directive 2003/87/EC </v>
      </c>
    </row>
    <row r="7484" spans="1:11" x14ac:dyDescent="0.3">
      <c r="A7484" t="s">
        <v>2096</v>
      </c>
      <c r="B7484" t="s">
        <v>2097</v>
      </c>
      <c r="C7484">
        <v>5</v>
      </c>
      <c r="D7484" t="s">
        <v>1447</v>
      </c>
      <c r="E7484" t="s">
        <v>1988</v>
      </c>
      <c r="F7484" t="s">
        <v>1737</v>
      </c>
      <c r="K7484" t="str">
        <f>IF(ISBLANK('Q 8'!$C161),"",IF('Q 8'!$C161="&lt;please select&gt;","",'Q 8'!$C161))</f>
        <v>32 - Manufacture of ceramic products as specified in Annex I of Directive 2003/87/EC</v>
      </c>
    </row>
    <row r="7485" spans="1:11" x14ac:dyDescent="0.3">
      <c r="A7485" t="s">
        <v>2096</v>
      </c>
      <c r="B7485" t="s">
        <v>2097</v>
      </c>
      <c r="C7485">
        <v>6</v>
      </c>
      <c r="D7485" t="s">
        <v>1447</v>
      </c>
      <c r="E7485" t="s">
        <v>1988</v>
      </c>
      <c r="F7485" t="s">
        <v>1737</v>
      </c>
      <c r="K7485" t="str">
        <f>IF(ISBLANK('Q 8'!$C162),"",IF('Q 8'!$C162="&lt;please select&gt;","",'Q 8'!$C162))</f>
        <v>31 - Manufacture of glass as specified in Annex I of Directive 2003/87/EC</v>
      </c>
    </row>
    <row r="7486" spans="1:11" x14ac:dyDescent="0.3">
      <c r="A7486" t="s">
        <v>2096</v>
      </c>
      <c r="B7486" t="s">
        <v>2097</v>
      </c>
      <c r="C7486">
        <v>7</v>
      </c>
      <c r="D7486" t="s">
        <v>1447</v>
      </c>
      <c r="E7486" t="s">
        <v>1988</v>
      </c>
      <c r="F7486" t="s">
        <v>1737</v>
      </c>
      <c r="K7486" t="str">
        <f>IF(ISBLANK('Q 8'!$C163),"",IF('Q 8'!$C163="&lt;please select&gt;","",'Q 8'!$C163))</f>
        <v xml:space="preserve">42 - Production of bulk organic chemicals as specified in Annex I of Directive 2003/87/EC </v>
      </c>
    </row>
    <row r="7487" spans="1:11" x14ac:dyDescent="0.3">
      <c r="A7487" t="s">
        <v>2096</v>
      </c>
      <c r="B7487" t="s">
        <v>2097</v>
      </c>
      <c r="C7487">
        <v>8</v>
      </c>
      <c r="D7487" t="s">
        <v>1447</v>
      </c>
      <c r="E7487" t="s">
        <v>1988</v>
      </c>
      <c r="F7487" t="s">
        <v>1737</v>
      </c>
      <c r="K7487" t="str">
        <f>IF(ISBLANK('Q 8'!$C164),"",IF('Q 8'!$C164="&lt;please select&gt;","",'Q 8'!$C164))</f>
        <v xml:space="preserve">42 - Production of bulk organic chemicals as specified in Annex I of Directive 2003/87/EC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Non-compliance with Delegated Regulation 2019/331 and Implementing Regulation 2019/1842</v>
      </c>
    </row>
    <row r="7561" spans="1:11" x14ac:dyDescent="0.3">
      <c r="A7561" t="s">
        <v>2096</v>
      </c>
      <c r="B7561" t="s">
        <v>2097</v>
      </c>
      <c r="C7561">
        <v>2</v>
      </c>
      <c r="D7561" t="s">
        <v>1447</v>
      </c>
      <c r="E7561" t="s">
        <v>1989</v>
      </c>
      <c r="F7561" t="s">
        <v>1737</v>
      </c>
      <c r="K7561" t="str">
        <f>IF(ISBLANK('Q 8'!$E158),"",IF('Q 8'!$E158="&lt;please select&gt;","",'Q 8'!$E158))</f>
        <v>Recommendations for improvement</v>
      </c>
    </row>
    <row r="7562" spans="1:11" x14ac:dyDescent="0.3">
      <c r="A7562" t="s">
        <v>2096</v>
      </c>
      <c r="B7562" t="s">
        <v>2097</v>
      </c>
      <c r="C7562">
        <v>3</v>
      </c>
      <c r="D7562" t="s">
        <v>1447</v>
      </c>
      <c r="E7562" t="s">
        <v>1989</v>
      </c>
      <c r="F7562" t="s">
        <v>1737</v>
      </c>
      <c r="K7562" t="str">
        <f>IF(ISBLANK('Q 8'!$E159),"",IF('Q 8'!$E159="&lt;please select&gt;","",'Q 8'!$E159))</f>
        <v>Recommendations for improvement</v>
      </c>
    </row>
    <row r="7563" spans="1:11" x14ac:dyDescent="0.3">
      <c r="A7563" t="s">
        <v>2096</v>
      </c>
      <c r="B7563" t="s">
        <v>2097</v>
      </c>
      <c r="C7563">
        <v>4</v>
      </c>
      <c r="D7563" t="s">
        <v>1447</v>
      </c>
      <c r="E7563" t="s">
        <v>1989</v>
      </c>
      <c r="F7563" t="s">
        <v>1737</v>
      </c>
      <c r="K7563" t="str">
        <f>IF(ISBLANK('Q 8'!$E160),"",IF('Q 8'!$E160="&lt;please select&gt;","",'Q 8'!$E160))</f>
        <v>Recommendations for improvement</v>
      </c>
    </row>
    <row r="7564" spans="1:11" x14ac:dyDescent="0.3">
      <c r="A7564" t="s">
        <v>2096</v>
      </c>
      <c r="B7564" t="s">
        <v>2097</v>
      </c>
      <c r="C7564">
        <v>5</v>
      </c>
      <c r="D7564" t="s">
        <v>1447</v>
      </c>
      <c r="E7564" t="s">
        <v>1989</v>
      </c>
      <c r="F7564" t="s">
        <v>1737</v>
      </c>
      <c r="K7564" t="str">
        <f>IF(ISBLANK('Q 8'!$E161),"",IF('Q 8'!$E161="&lt;please select&gt;","",'Q 8'!$E161))</f>
        <v>Non-conformities not leading to a negative verification opinion statement</v>
      </c>
    </row>
    <row r="7565" spans="1:11" x14ac:dyDescent="0.3">
      <c r="A7565" t="s">
        <v>2096</v>
      </c>
      <c r="B7565" t="s">
        <v>2097</v>
      </c>
      <c r="C7565">
        <v>6</v>
      </c>
      <c r="D7565" t="s">
        <v>1447</v>
      </c>
      <c r="E7565" t="s">
        <v>1989</v>
      </c>
      <c r="F7565" t="s">
        <v>1737</v>
      </c>
      <c r="K7565" t="str">
        <f>IF(ISBLANK('Q 8'!$E162),"",IF('Q 8'!$E162="&lt;please select&gt;","",'Q 8'!$E162))</f>
        <v>Recommendations for improvement</v>
      </c>
    </row>
    <row r="7566" spans="1:11" x14ac:dyDescent="0.3">
      <c r="A7566" t="s">
        <v>2096</v>
      </c>
      <c r="B7566" t="s">
        <v>2097</v>
      </c>
      <c r="C7566">
        <v>7</v>
      </c>
      <c r="D7566" t="s">
        <v>1447</v>
      </c>
      <c r="E7566" t="s">
        <v>1989</v>
      </c>
      <c r="F7566" t="s">
        <v>1737</v>
      </c>
      <c r="K7566" t="str">
        <f>IF(ISBLANK('Q 8'!$E163),"",IF('Q 8'!$E163="&lt;please select&gt;","",'Q 8'!$E163))</f>
        <v>Recommendations for improvement</v>
      </c>
    </row>
    <row r="7567" spans="1:11" x14ac:dyDescent="0.3">
      <c r="A7567" t="s">
        <v>2096</v>
      </c>
      <c r="B7567" t="s">
        <v>2097</v>
      </c>
      <c r="C7567">
        <v>8</v>
      </c>
      <c r="D7567" t="s">
        <v>1447</v>
      </c>
      <c r="E7567" t="s">
        <v>1989</v>
      </c>
      <c r="F7567" t="s">
        <v>1737</v>
      </c>
      <c r="K7567" t="str">
        <f>IF(ISBLANK('Q 8'!$E164),"",IF('Q 8'!$E164="&lt;please select&gt;","",'Q 8'!$E164))</f>
        <v>Non-compliance with Delegated Regulation 2019/331 and Implementing Regulation 2019/1842</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2</v>
      </c>
    </row>
    <row r="7641" spans="1:11" x14ac:dyDescent="0.3">
      <c r="A7641" t="s">
        <v>2096</v>
      </c>
      <c r="B7641" t="s">
        <v>2097</v>
      </c>
      <c r="C7641">
        <v>2</v>
      </c>
      <c r="D7641" t="s">
        <v>1447</v>
      </c>
      <c r="E7641" t="s">
        <v>1798</v>
      </c>
      <c r="F7641" t="s">
        <v>1748</v>
      </c>
      <c r="H7641" s="165" t="str">
        <f>IF(ISBLANK('Q 8'!$F158),"",IF('Q 8'!$F158="&lt;please select&gt;","",'Q 8'!$F158))</f>
        <v>3</v>
      </c>
    </row>
    <row r="7642" spans="1:11" x14ac:dyDescent="0.3">
      <c r="A7642" t="s">
        <v>2096</v>
      </c>
      <c r="B7642" t="s">
        <v>2097</v>
      </c>
      <c r="C7642">
        <v>3</v>
      </c>
      <c r="D7642" t="s">
        <v>1447</v>
      </c>
      <c r="E7642" t="s">
        <v>1798</v>
      </c>
      <c r="F7642" t="s">
        <v>1748</v>
      </c>
      <c r="H7642" s="165" t="str">
        <f>IF(ISBLANK('Q 8'!$F159),"",IF('Q 8'!$F159="&lt;please select&gt;","",'Q 8'!$F159))</f>
        <v>3</v>
      </c>
    </row>
    <row r="7643" spans="1:11" x14ac:dyDescent="0.3">
      <c r="A7643" t="s">
        <v>2096</v>
      </c>
      <c r="B7643" t="s">
        <v>2097</v>
      </c>
      <c r="C7643">
        <v>4</v>
      </c>
      <c r="D7643" t="s">
        <v>1447</v>
      </c>
      <c r="E7643" t="s">
        <v>1798</v>
      </c>
      <c r="F7643" t="s">
        <v>1748</v>
      </c>
      <c r="H7643" s="165" t="str">
        <f>IF(ISBLANK('Q 8'!$F160),"",IF('Q 8'!$F160="&lt;please select&gt;","",'Q 8'!$F160))</f>
        <v>3</v>
      </c>
    </row>
    <row r="7644" spans="1:11" x14ac:dyDescent="0.3">
      <c r="A7644" t="s">
        <v>2096</v>
      </c>
      <c r="B7644" t="s">
        <v>2097</v>
      </c>
      <c r="C7644">
        <v>5</v>
      </c>
      <c r="D7644" t="s">
        <v>1447</v>
      </c>
      <c r="E7644" t="s">
        <v>1798</v>
      </c>
      <c r="F7644" t="s">
        <v>1748</v>
      </c>
      <c r="H7644" s="165" t="str">
        <f>IF(ISBLANK('Q 8'!$F161),"",IF('Q 8'!$F161="&lt;please select&gt;","",'Q 8'!$F161))</f>
        <v>1</v>
      </c>
    </row>
    <row r="7645" spans="1:11" x14ac:dyDescent="0.3">
      <c r="A7645" t="s">
        <v>2096</v>
      </c>
      <c r="B7645" t="s">
        <v>2097</v>
      </c>
      <c r="C7645">
        <v>6</v>
      </c>
      <c r="D7645" t="s">
        <v>1447</v>
      </c>
      <c r="E7645" t="s">
        <v>1798</v>
      </c>
      <c r="F7645" t="s">
        <v>1748</v>
      </c>
      <c r="H7645" s="165" t="str">
        <f>IF(ISBLANK('Q 8'!$F162),"",IF('Q 8'!$F162="&lt;please select&gt;","",'Q 8'!$F162))</f>
        <v>1</v>
      </c>
    </row>
    <row r="7646" spans="1:11" x14ac:dyDescent="0.3">
      <c r="A7646" t="s">
        <v>2096</v>
      </c>
      <c r="B7646" t="s">
        <v>2097</v>
      </c>
      <c r="C7646">
        <v>7</v>
      </c>
      <c r="D7646" t="s">
        <v>1447</v>
      </c>
      <c r="E7646" t="s">
        <v>1798</v>
      </c>
      <c r="F7646" t="s">
        <v>1748</v>
      </c>
      <c r="H7646" s="165" t="str">
        <f>IF(ISBLANK('Q 8'!$F163),"",IF('Q 8'!$F163="&lt;please select&gt;","",'Q 8'!$F163))</f>
        <v>1</v>
      </c>
    </row>
    <row r="7647" spans="1:11" x14ac:dyDescent="0.3">
      <c r="A7647" t="s">
        <v>2096</v>
      </c>
      <c r="B7647" t="s">
        <v>2097</v>
      </c>
      <c r="C7647">
        <v>8</v>
      </c>
      <c r="D7647" t="s">
        <v>1447</v>
      </c>
      <c r="E7647" t="s">
        <v>1798</v>
      </c>
      <c r="F7647" t="s">
        <v>1748</v>
      </c>
      <c r="H7647" s="165" t="str">
        <f>IF(ISBLANK('Q 8'!$F164),"",IF('Q 8'!$F164="&lt;please select&gt;","",'Q 8'!$F164))</f>
        <v>1</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1</v>
      </c>
    </row>
    <row r="7721" spans="1:8" x14ac:dyDescent="0.3">
      <c r="A7721" t="s">
        <v>2096</v>
      </c>
      <c r="B7721" t="s">
        <v>2097</v>
      </c>
      <c r="C7721">
        <v>2</v>
      </c>
      <c r="D7721" t="s">
        <v>1447</v>
      </c>
      <c r="E7721" t="s">
        <v>1972</v>
      </c>
      <c r="F7721" t="s">
        <v>1748</v>
      </c>
      <c r="H7721" s="165" t="str">
        <f>IF(ISBLANK('Q 8'!$G158),"",IF('Q 8'!$G158="&lt;please select&gt;","",'Q 8'!$G158))</f>
        <v>3</v>
      </c>
    </row>
    <row r="7722" spans="1:8" x14ac:dyDescent="0.3">
      <c r="A7722" t="s">
        <v>2096</v>
      </c>
      <c r="B7722" t="s">
        <v>2097</v>
      </c>
      <c r="C7722">
        <v>3</v>
      </c>
      <c r="D7722" t="s">
        <v>1447</v>
      </c>
      <c r="E7722" t="s">
        <v>1972</v>
      </c>
      <c r="F7722" t="s">
        <v>1748</v>
      </c>
      <c r="H7722" s="165" t="str">
        <f>IF(ISBLANK('Q 8'!$G159),"",IF('Q 8'!$G159="&lt;please select&gt;","",'Q 8'!$G159))</f>
        <v>4</v>
      </c>
    </row>
    <row r="7723" spans="1:8" x14ac:dyDescent="0.3">
      <c r="A7723" t="s">
        <v>2096</v>
      </c>
      <c r="B7723" t="s">
        <v>2097</v>
      </c>
      <c r="C7723">
        <v>4</v>
      </c>
      <c r="D7723" t="s">
        <v>1447</v>
      </c>
      <c r="E7723" t="s">
        <v>1972</v>
      </c>
      <c r="F7723" t="s">
        <v>1748</v>
      </c>
      <c r="H7723" s="165" t="str">
        <f>IF(ISBLANK('Q 8'!$G160),"",IF('Q 8'!$G160="&lt;please select&gt;","",'Q 8'!$G160))</f>
        <v>3</v>
      </c>
    </row>
    <row r="7724" spans="1:8" x14ac:dyDescent="0.3">
      <c r="A7724" t="s">
        <v>2096</v>
      </c>
      <c r="B7724" t="s">
        <v>2097</v>
      </c>
      <c r="C7724">
        <v>5</v>
      </c>
      <c r="D7724" t="s">
        <v>1447</v>
      </c>
      <c r="E7724" t="s">
        <v>1972</v>
      </c>
      <c r="F7724" t="s">
        <v>1748</v>
      </c>
      <c r="H7724" s="165" t="str">
        <f>IF(ISBLANK('Q 8'!$G161),"",IF('Q 8'!$G161="&lt;please select&gt;","",'Q 8'!$G161))</f>
        <v>1</v>
      </c>
    </row>
    <row r="7725" spans="1:8" x14ac:dyDescent="0.3">
      <c r="A7725" t="s">
        <v>2096</v>
      </c>
      <c r="B7725" t="s">
        <v>2097</v>
      </c>
      <c r="C7725">
        <v>6</v>
      </c>
      <c r="D7725" t="s">
        <v>1447</v>
      </c>
      <c r="E7725" t="s">
        <v>1972</v>
      </c>
      <c r="F7725" t="s">
        <v>1748</v>
      </c>
      <c r="H7725" s="165" t="str">
        <f>IF(ISBLANK('Q 8'!$G162),"",IF('Q 8'!$G162="&lt;please select&gt;","",'Q 8'!$G162))</f>
        <v>1</v>
      </c>
    </row>
    <row r="7726" spans="1:8" x14ac:dyDescent="0.3">
      <c r="A7726" t="s">
        <v>2096</v>
      </c>
      <c r="B7726" t="s">
        <v>2097</v>
      </c>
      <c r="C7726">
        <v>7</v>
      </c>
      <c r="D7726" t="s">
        <v>1447</v>
      </c>
      <c r="E7726" t="s">
        <v>1972</v>
      </c>
      <c r="F7726" t="s">
        <v>1748</v>
      </c>
      <c r="H7726" s="165" t="str">
        <f>IF(ISBLANK('Q 8'!$G163),"",IF('Q 8'!$G163="&lt;please select&gt;","",'Q 8'!$G163))</f>
        <v>1</v>
      </c>
    </row>
    <row r="7727" spans="1:8" x14ac:dyDescent="0.3">
      <c r="A7727" t="s">
        <v>2096</v>
      </c>
      <c r="B7727" t="s">
        <v>2097</v>
      </c>
      <c r="C7727">
        <v>8</v>
      </c>
      <c r="D7727" t="s">
        <v>1447</v>
      </c>
      <c r="E7727" t="s">
        <v>1972</v>
      </c>
      <c r="F7727" t="s">
        <v>1748</v>
      </c>
      <c r="H7727" s="165" t="str">
        <f>IF(ISBLANK('Q 8'!$G164),"",IF('Q 8'!$G164="&lt;please select&gt;","",'Q 8'!$G164))</f>
        <v>1</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0</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0</v>
      </c>
    </row>
    <row r="7805" spans="1:8" x14ac:dyDescent="0.3">
      <c r="A7805" t="s">
        <v>2096</v>
      </c>
      <c r="B7805" t="s">
        <v>2097</v>
      </c>
      <c r="C7805">
        <v>6</v>
      </c>
      <c r="D7805" t="s">
        <v>1447</v>
      </c>
      <c r="E7805" t="s">
        <v>2094</v>
      </c>
      <c r="F7805" t="s">
        <v>1748</v>
      </c>
      <c r="H7805" s="165" t="str">
        <f>IF(ISBLANK('Q 8'!$H162),"",IF('Q 8'!$H162="&lt;please select&gt;","",'Q 8'!$H162))</f>
        <v>0</v>
      </c>
    </row>
    <row r="7806" spans="1:8" x14ac:dyDescent="0.3">
      <c r="A7806" t="s">
        <v>2096</v>
      </c>
      <c r="B7806" t="s">
        <v>2097</v>
      </c>
      <c r="C7806">
        <v>7</v>
      </c>
      <c r="D7806" t="s">
        <v>1447</v>
      </c>
      <c r="E7806" t="s">
        <v>2094</v>
      </c>
      <c r="F7806" t="s">
        <v>1748</v>
      </c>
      <c r="H7806" s="165" t="str">
        <f>IF(ISBLANK('Q 8'!$H163),"",IF('Q 8'!$H163="&lt;please select&gt;","",'Q 8'!$H163))</f>
        <v>0</v>
      </c>
    </row>
    <row r="7807" spans="1:8" x14ac:dyDescent="0.3">
      <c r="A7807" t="s">
        <v>2096</v>
      </c>
      <c r="B7807" t="s">
        <v>2097</v>
      </c>
      <c r="C7807">
        <v>8</v>
      </c>
      <c r="D7807" t="s">
        <v>1447</v>
      </c>
      <c r="E7807" t="s">
        <v>2094</v>
      </c>
      <c r="F7807" t="s">
        <v>1748</v>
      </c>
      <c r="H7807" s="165" t="str">
        <f>IF(ISBLANK('Q 8'!$H164),"",IF('Q 8'!$H164="&lt;please select&gt;","",'Q 8'!$H164))</f>
        <v>0</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Yes</v>
      </c>
    </row>
    <row r="7881" spans="1:11" x14ac:dyDescent="0.3">
      <c r="A7881" t="s">
        <v>2098</v>
      </c>
      <c r="B7881" t="s">
        <v>2100</v>
      </c>
      <c r="C7881">
        <v>1</v>
      </c>
      <c r="D7881" t="s">
        <v>1447</v>
      </c>
      <c r="E7881" t="s">
        <v>2101</v>
      </c>
      <c r="F7881" t="s">
        <v>1748</v>
      </c>
      <c r="H7881" s="165" t="str">
        <f>IF(ISBLANK('Q 8'!$F243),"",IF('Q 8'!$F243="&lt;please select&gt;","",'Q 8'!$F243))</f>
        <v>5</v>
      </c>
    </row>
    <row r="7882" spans="1:11" x14ac:dyDescent="0.3">
      <c r="A7882" t="s">
        <v>2098</v>
      </c>
      <c r="B7882" t="s">
        <v>2100</v>
      </c>
      <c r="C7882">
        <v>2</v>
      </c>
      <c r="D7882" t="s">
        <v>1447</v>
      </c>
      <c r="E7882" t="s">
        <v>2101</v>
      </c>
      <c r="F7882" t="s">
        <v>1748</v>
      </c>
      <c r="H7882" s="165" t="str">
        <f>IF(ISBLANK('Q 8'!$F244),"",IF('Q 8'!$F244="&lt;please select&gt;","",'Q 8'!$F244))</f>
        <v>40</v>
      </c>
    </row>
    <row r="7883" spans="1:11" x14ac:dyDescent="0.3">
      <c r="A7883" t="s">
        <v>2098</v>
      </c>
      <c r="B7883" t="s">
        <v>2100</v>
      </c>
      <c r="C7883">
        <v>2</v>
      </c>
      <c r="D7883" t="s">
        <v>1447</v>
      </c>
      <c r="E7883" t="s">
        <v>2102</v>
      </c>
      <c r="F7883" t="s">
        <v>1791</v>
      </c>
      <c r="J7883" s="165" t="str">
        <f>IF(ISBLANK('Q 8'!$H$244),"",IF('Q 8'!$H$244="&lt;please select&gt;","",'Q 8'!$H$244))</f>
        <v>Mostly issues related to the integrity tool, such as formula changes or differences in the values reported in the last ALC. But also other details such as errors in the values shown in the distribution of energy by uses (sheet E) among other small details.</v>
      </c>
    </row>
    <row r="7884" spans="1:11" x14ac:dyDescent="0.3">
      <c r="A7884" t="s">
        <v>2098</v>
      </c>
      <c r="B7884" t="s">
        <v>2100</v>
      </c>
      <c r="C7884">
        <v>3</v>
      </c>
      <c r="D7884" t="s">
        <v>1447</v>
      </c>
      <c r="E7884" t="s">
        <v>2000</v>
      </c>
      <c r="F7884" t="s">
        <v>1741</v>
      </c>
      <c r="G7884" t="str">
        <f>IF(ISBLANK('Q 8'!$F$245),"",IF('Q 8'!$F$245="&lt;please select&gt;","",'Q 8'!$F$245))</f>
        <v>Operators were informed about the problems identified. The error has been explained in detail using as basis the relevant documentation (regulations, guidance documents, faqs) so that the mistake will not be repeated. The ETS auditor is always included in the information exchanges with the operator. Subsequent issues usually arise from these first interactions with the operator and meetings may be held to further clarify the situation. This leads to a resubmission of an updated annual activity level report by the operator and reassessment by the CA.</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No</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Yes</v>
      </c>
    </row>
    <row r="7893" spans="1:11" x14ac:dyDescent="0.3">
      <c r="A7893" t="s">
        <v>2106</v>
      </c>
      <c r="B7893" t="s">
        <v>2108</v>
      </c>
      <c r="C7893">
        <v>1</v>
      </c>
      <c r="D7893" t="s">
        <v>1447</v>
      </c>
      <c r="E7893" t="s">
        <v>2010</v>
      </c>
      <c r="F7893" t="s">
        <v>1741</v>
      </c>
      <c r="G7893" t="str">
        <f>IF(ISBLANK('Q 8'!$C264),"",IF('Q 8'!$C264="&lt;please select&gt;","",'Q 8'!$C264))</f>
        <v>Pandemic situation</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13</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Approval by competent authority</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Yes</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12000</v>
      </c>
    </row>
    <row r="7942" spans="1:9" x14ac:dyDescent="0.3">
      <c r="A7942" t="s">
        <v>2109</v>
      </c>
      <c r="B7942" t="s">
        <v>2110</v>
      </c>
      <c r="C7942">
        <v>2</v>
      </c>
      <c r="D7942" t="s">
        <v>1447</v>
      </c>
      <c r="E7942" t="s">
        <v>2111</v>
      </c>
      <c r="F7942" t="s">
        <v>1806</v>
      </c>
      <c r="I7942" s="165" t="str">
        <f>IF(ISBLANK('Q 8'!E284),"",IF('Q 8'!E284="&lt;please select&gt;","",'Q 8'!E284))</f>
        <v>12000</v>
      </c>
    </row>
    <row r="7943" spans="1:9" x14ac:dyDescent="0.3">
      <c r="A7943" t="s">
        <v>2109</v>
      </c>
      <c r="B7943" t="s">
        <v>2110</v>
      </c>
      <c r="C7943">
        <v>3</v>
      </c>
      <c r="D7943" t="s">
        <v>1447</v>
      </c>
      <c r="E7943" t="s">
        <v>2111</v>
      </c>
      <c r="F7943" t="s">
        <v>1806</v>
      </c>
      <c r="I7943" s="165" t="str">
        <f>IF(ISBLANK('Q 8'!E285),"",IF('Q 8'!E285="&lt;please select&gt;","",'Q 8'!E285))</f>
        <v>12000</v>
      </c>
    </row>
    <row r="7944" spans="1:9" x14ac:dyDescent="0.3">
      <c r="A7944" t="s">
        <v>2109</v>
      </c>
      <c r="B7944" t="s">
        <v>2110</v>
      </c>
      <c r="C7944">
        <v>4</v>
      </c>
      <c r="D7944" t="s">
        <v>1447</v>
      </c>
      <c r="E7944" t="s">
        <v>2111</v>
      </c>
      <c r="F7944" t="s">
        <v>1806</v>
      </c>
      <c r="I7944" s="165" t="str">
        <f>IF(ISBLANK('Q 8'!E286),"",IF('Q 8'!E286="&lt;please select&gt;","",'Q 8'!E286))</f>
        <v>12000</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72000</v>
      </c>
    </row>
    <row r="7950" spans="1:9" x14ac:dyDescent="0.3">
      <c r="A7950" t="s">
        <v>2109</v>
      </c>
      <c r="B7950" t="s">
        <v>2110</v>
      </c>
      <c r="C7950">
        <v>2</v>
      </c>
      <c r="D7950" t="s">
        <v>1447</v>
      </c>
      <c r="E7950" t="s">
        <v>2112</v>
      </c>
      <c r="F7950" t="s">
        <v>1806</v>
      </c>
      <c r="I7950" s="165" t="str">
        <f>IF(ISBLANK('Q 8'!$F284),"",IF('Q 8'!$F284="&lt;please select&gt;","",'Q 8'!$F284))</f>
        <v>72000</v>
      </c>
    </row>
    <row r="7951" spans="1:9" x14ac:dyDescent="0.3">
      <c r="A7951" t="s">
        <v>2109</v>
      </c>
      <c r="B7951" t="s">
        <v>2110</v>
      </c>
      <c r="C7951">
        <v>3</v>
      </c>
      <c r="D7951" t="s">
        <v>1447</v>
      </c>
      <c r="E7951" t="s">
        <v>2112</v>
      </c>
      <c r="F7951" t="s">
        <v>1806</v>
      </c>
      <c r="I7951" s="165" t="str">
        <f>IF(ISBLANK('Q 8'!$F285),"",IF('Q 8'!$F285="&lt;please select&gt;","",'Q 8'!$F285))</f>
        <v>72000</v>
      </c>
    </row>
    <row r="7952" spans="1:9" x14ac:dyDescent="0.3">
      <c r="A7952" t="s">
        <v>2109</v>
      </c>
      <c r="B7952" t="s">
        <v>2110</v>
      </c>
      <c r="C7952">
        <v>4</v>
      </c>
      <c r="D7952" t="s">
        <v>1447</v>
      </c>
      <c r="E7952" t="s">
        <v>2112</v>
      </c>
      <c r="F7952" t="s">
        <v>1806</v>
      </c>
      <c r="I7952" s="165" t="str">
        <f>IF(ISBLANK('Q 8'!$F286),"",IF('Q 8'!$F286="&lt;please select&gt;","",'Q 8'!$F286))</f>
        <v>72000</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These fines are for negligence. For fraud the fines are:Min=36 000  euros and Max=216 000 euros.</v>
      </c>
    </row>
    <row r="7974" spans="1:10" x14ac:dyDescent="0.3">
      <c r="A7974" t="s">
        <v>2109</v>
      </c>
      <c r="B7974" t="s">
        <v>2110</v>
      </c>
      <c r="C7974">
        <v>2</v>
      </c>
      <c r="D7974" t="s">
        <v>1447</v>
      </c>
      <c r="E7974" t="s">
        <v>2115</v>
      </c>
      <c r="F7974" t="s">
        <v>1741</v>
      </c>
      <c r="G7974" t="str">
        <f>IF(ISBLANK('Q 8'!$I284),"",IF('Q 8'!$I284="&lt;please select&gt;","",'Q 8'!$I284))</f>
        <v>These fines are for negligence. For fraud the fines are:Min=36 000  euros and Max=216 000 euros.</v>
      </c>
    </row>
    <row r="7975" spans="1:10" x14ac:dyDescent="0.3">
      <c r="A7975" t="s">
        <v>2109</v>
      </c>
      <c r="B7975" t="s">
        <v>2110</v>
      </c>
      <c r="C7975">
        <v>3</v>
      </c>
      <c r="D7975" t="s">
        <v>1447</v>
      </c>
      <c r="E7975" t="s">
        <v>2115</v>
      </c>
      <c r="F7975" t="s">
        <v>1741</v>
      </c>
      <c r="G7975" t="str">
        <f>IF(ISBLANK('Q 8'!$I285),"",IF('Q 8'!$I285="&lt;please select&gt;","",'Q 8'!$I285))</f>
        <v>These fines are for negligence. For fraud the fines are:Min=36 000  euros and Max=216 000 euros.</v>
      </c>
    </row>
    <row r="7976" spans="1:10" x14ac:dyDescent="0.3">
      <c r="A7976" t="s">
        <v>2109</v>
      </c>
      <c r="B7976" t="s">
        <v>2110</v>
      </c>
      <c r="C7976">
        <v>4</v>
      </c>
      <c r="D7976" t="s">
        <v>1447</v>
      </c>
      <c r="E7976" t="s">
        <v>2115</v>
      </c>
      <c r="F7976" t="s">
        <v>1741</v>
      </c>
      <c r="G7976" t="str">
        <f>IF(ISBLANK('Q 8'!$I286),"",IF('Q 8'!$I286="&lt;please select&gt;","",'Q 8'!$I286))</f>
        <v>These fines are for negligence. For fraud the fines are:Min=36 000  euros and Max=216 000 euros.</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207.96</v>
      </c>
    </row>
    <row r="8171" spans="1:11" x14ac:dyDescent="0.3">
      <c r="A8171" t="s">
        <v>2130</v>
      </c>
      <c r="B8171" t="s">
        <v>2132</v>
      </c>
      <c r="C8171">
        <v>2</v>
      </c>
      <c r="D8171" t="s">
        <v>1447</v>
      </c>
      <c r="E8171" t="s">
        <v>2133</v>
      </c>
      <c r="F8171" t="s">
        <v>1806</v>
      </c>
      <c r="I8171" s="165" t="str">
        <f>IF(ISBLANK('Q 9'!$G10),"",IF('Q 9'!$G10="&lt;please select&gt;","",'Q 9'!$G10))</f>
        <v>103.97</v>
      </c>
    </row>
    <row r="8172" spans="1:11" x14ac:dyDescent="0.3">
      <c r="A8172" t="s">
        <v>2130</v>
      </c>
      <c r="B8172" t="s">
        <v>2132</v>
      </c>
      <c r="C8172">
        <v>3</v>
      </c>
      <c r="D8172" t="s">
        <v>1447</v>
      </c>
      <c r="E8172" t="s">
        <v>2133</v>
      </c>
      <c r="F8172" t="s">
        <v>1806</v>
      </c>
      <c r="I8172" s="165" t="str">
        <f>IF(ISBLANK('Q 9'!$G11),"",IF('Q 9'!$G11="&lt;please select&gt;","",'Q 9'!$G11))</f>
        <v/>
      </c>
    </row>
    <row r="8173" spans="1:11" x14ac:dyDescent="0.3">
      <c r="A8173" t="s">
        <v>2130</v>
      </c>
      <c r="B8173" t="s">
        <v>2132</v>
      </c>
      <c r="C8173">
        <v>4</v>
      </c>
      <c r="D8173" t="s">
        <v>1447</v>
      </c>
      <c r="E8173" t="s">
        <v>2133</v>
      </c>
      <c r="F8173" t="s">
        <v>1806</v>
      </c>
      <c r="I8173" s="165" t="str">
        <f>IF(ISBLANK('Q 9'!$G12),"",IF('Q 9'!$G12="&lt;please select&gt;","",'Q 9'!$G12))</f>
        <v/>
      </c>
    </row>
    <row r="8174" spans="1:11" x14ac:dyDescent="0.3">
      <c r="A8174" t="s">
        <v>2130</v>
      </c>
      <c r="B8174" t="s">
        <v>2132</v>
      </c>
      <c r="C8174">
        <v>5</v>
      </c>
      <c r="D8174" t="s">
        <v>1447</v>
      </c>
      <c r="E8174" t="s">
        <v>2133</v>
      </c>
      <c r="F8174" t="s">
        <v>1806</v>
      </c>
      <c r="I8174" s="165" t="str">
        <f>IF(ISBLANK('Q 9'!$G13),"",IF('Q 9'!$G13="&lt;please select&gt;","",'Q 9'!$G13))</f>
        <v>1455.69</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Yes</v>
      </c>
    </row>
    <row r="8193" spans="1:10" x14ac:dyDescent="0.3">
      <c r="A8193" t="s">
        <v>2136</v>
      </c>
      <c r="B8193" t="s">
        <v>2138</v>
      </c>
      <c r="C8193">
        <v>1</v>
      </c>
      <c r="D8193" t="s">
        <v>1447</v>
      </c>
      <c r="E8193" t="s">
        <v>2133</v>
      </c>
      <c r="F8193" t="s">
        <v>1806</v>
      </c>
      <c r="I8193" s="165" t="str">
        <f>IF(ISBLANK('Q 9'!G34),"",IF('Q 9'!G34="&lt;please select&gt;","",'Q 9'!G34))</f>
        <v>279.14</v>
      </c>
    </row>
    <row r="8194" spans="1:10" x14ac:dyDescent="0.3">
      <c r="A8194" t="s">
        <v>2136</v>
      </c>
      <c r="B8194" t="s">
        <v>2138</v>
      </c>
      <c r="C8194">
        <v>2</v>
      </c>
      <c r="D8194" t="s">
        <v>1447</v>
      </c>
      <c r="E8194" t="s">
        <v>2133</v>
      </c>
      <c r="F8194" t="s">
        <v>1806</v>
      </c>
      <c r="I8194" s="165" t="str">
        <f>IF(ISBLANK('Q 9'!G35),"",IF('Q 9'!G35="&lt;please select&gt;","",'Q 9'!G35))</f>
        <v>139.57</v>
      </c>
    </row>
    <row r="8195" spans="1:10" x14ac:dyDescent="0.3">
      <c r="A8195" t="s">
        <v>2136</v>
      </c>
      <c r="B8195" t="s">
        <v>2138</v>
      </c>
      <c r="C8195">
        <v>3</v>
      </c>
      <c r="D8195" t="s">
        <v>1447</v>
      </c>
      <c r="E8195" t="s">
        <v>2133</v>
      </c>
      <c r="F8195" t="s">
        <v>1806</v>
      </c>
      <c r="I8195" s="165" t="str">
        <f>IF(ISBLANK('Q 9'!G36),"",IF('Q 9'!G36="&lt;please select&gt;","",'Q 9'!G36))</f>
        <v>279.14</v>
      </c>
    </row>
    <row r="8196" spans="1:10" x14ac:dyDescent="0.3">
      <c r="A8196" t="s">
        <v>2136</v>
      </c>
      <c r="B8196" t="s">
        <v>2138</v>
      </c>
      <c r="C8196">
        <v>4</v>
      </c>
      <c r="D8196" t="s">
        <v>1447</v>
      </c>
      <c r="E8196" t="s">
        <v>2133</v>
      </c>
      <c r="F8196" t="s">
        <v>1806</v>
      </c>
      <c r="I8196" s="165" t="str">
        <f>IF(ISBLANK('Q 9'!G37),"",IF('Q 9'!G37="&lt;please select&gt;","",'Q 9'!G37))</f>
        <v>139.57</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Opening operator's account fee &lt; 25,000 tCO2</v>
      </c>
    </row>
    <row r="8217" spans="1:10" x14ac:dyDescent="0.3">
      <c r="A8217" t="s">
        <v>2136</v>
      </c>
      <c r="B8217" t="s">
        <v>2140</v>
      </c>
      <c r="C8217">
        <v>2</v>
      </c>
      <c r="D8217" t="s">
        <v>1447</v>
      </c>
      <c r="E8217" t="s">
        <v>2141</v>
      </c>
      <c r="F8217" t="s">
        <v>1741</v>
      </c>
      <c r="G8217" t="str">
        <f>IF(ISBLANK('Q 9'!$C61),"",IF('Q 9'!$C61="&lt;please select&gt;","",'Q 9'!$C61))</f>
        <v>Opening operator's account fee &gt; 25,000 tCO2</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375.34</v>
      </c>
    </row>
    <row r="8227" spans="1:9" x14ac:dyDescent="0.3">
      <c r="A8227" t="s">
        <v>2136</v>
      </c>
      <c r="B8227" t="s">
        <v>2140</v>
      </c>
      <c r="C8227">
        <v>2</v>
      </c>
      <c r="D8227" t="s">
        <v>1447</v>
      </c>
      <c r="E8227" t="s">
        <v>2142</v>
      </c>
      <c r="F8227" t="s">
        <v>1806</v>
      </c>
      <c r="I8227" s="165" t="str">
        <f>IF(ISBLANK('Q 9'!$G61),"",IF('Q 9'!$G61="&lt;please select&gt;","",'Q 9'!$G61))</f>
        <v>750.68</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Maintenance operator's account fee &lt; 25,000 tCO2</v>
      </c>
    </row>
    <row r="8237" spans="1:9" x14ac:dyDescent="0.3">
      <c r="A8237" t="s">
        <v>2136</v>
      </c>
      <c r="B8237" t="s">
        <v>2143</v>
      </c>
      <c r="C8237">
        <v>2</v>
      </c>
      <c r="D8237" t="s">
        <v>1447</v>
      </c>
      <c r="E8237" t="s">
        <v>2144</v>
      </c>
      <c r="F8237" t="s">
        <v>1741</v>
      </c>
      <c r="G8237" t="str">
        <f>IF(ISBLANK('Q 9'!$C75),"",IF('Q 9'!$C75="&lt;please select&gt;","",'Q 9'!$C75))</f>
        <v>Maintenance operator's account fee &gt; 25,000 tCO2</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107.24</v>
      </c>
    </row>
    <row r="8247" spans="1:11" x14ac:dyDescent="0.3">
      <c r="A8247" t="s">
        <v>2136</v>
      </c>
      <c r="B8247" t="s">
        <v>2143</v>
      </c>
      <c r="C8247">
        <v>2</v>
      </c>
      <c r="D8247" t="s">
        <v>1447</v>
      </c>
      <c r="E8247" t="s">
        <v>2145</v>
      </c>
      <c r="F8247" t="s">
        <v>1806</v>
      </c>
      <c r="I8247" s="165" t="str">
        <f>IF(ISBLANK('Q 9'!$G75),"",IF('Q 9'!$G75="&lt;please select&gt;","",'Q 9'!$G75))</f>
        <v>214.48</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No</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
      </c>
    </row>
    <row r="8265" spans="1:11" x14ac:dyDescent="0.3">
      <c r="A8265" t="s">
        <v>2146</v>
      </c>
      <c r="B8265" t="s">
        <v>2147</v>
      </c>
      <c r="C8265">
        <v>2</v>
      </c>
      <c r="D8265" t="s">
        <v>1447</v>
      </c>
      <c r="E8265" t="s">
        <v>2149</v>
      </c>
      <c r="F8265" t="s">
        <v>1791</v>
      </c>
      <c r="J8265" t="str">
        <f>IF(ISBLANK('Q 10'!$I8),"",IF('Q 10'!$I8="&lt;please select&gt;","",'Q 10'!$I8))</f>
        <v>no irregularities detected</v>
      </c>
    </row>
    <row r="8266" spans="1:11" x14ac:dyDescent="0.3">
      <c r="A8266" t="s">
        <v>2146</v>
      </c>
      <c r="B8266" t="s">
        <v>2147</v>
      </c>
      <c r="C8266">
        <v>3</v>
      </c>
      <c r="D8266" t="s">
        <v>1447</v>
      </c>
      <c r="E8266" t="s">
        <v>2149</v>
      </c>
      <c r="F8266" t="s">
        <v>1791</v>
      </c>
      <c r="J8266" t="str">
        <f>IF(ISBLANK('Q 10'!$I9),"",IF('Q 10'!$I9="&lt;please select&gt;","",'Q 10'!$I9))</f>
        <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24000</v>
      </c>
    </row>
    <row r="8277" spans="1:10" x14ac:dyDescent="0.3">
      <c r="A8277" t="s">
        <v>2151</v>
      </c>
      <c r="B8277" t="s">
        <v>2152</v>
      </c>
      <c r="C8277">
        <v>2</v>
      </c>
      <c r="D8277" t="s">
        <v>1447</v>
      </c>
      <c r="E8277" t="s">
        <v>2111</v>
      </c>
      <c r="F8277" t="s">
        <v>1806</v>
      </c>
      <c r="I8277" s="165" t="str">
        <f>IF(ISBLANK('Q 10'!$E22),"",IF('Q 10'!$E22="&lt;please select&gt;","",'Q 10'!$E22))</f>
        <v>24000</v>
      </c>
    </row>
    <row r="8278" spans="1:10" x14ac:dyDescent="0.3">
      <c r="A8278" t="s">
        <v>2151</v>
      </c>
      <c r="B8278" t="s">
        <v>2152</v>
      </c>
      <c r="C8278">
        <v>3</v>
      </c>
      <c r="D8278" t="s">
        <v>1447</v>
      </c>
      <c r="E8278" t="s">
        <v>2111</v>
      </c>
      <c r="F8278" t="s">
        <v>1806</v>
      </c>
      <c r="I8278" s="165" t="str">
        <f>IF(ISBLANK('Q 10'!$E23),"",IF('Q 10'!$E23="&lt;please select&gt;","",'Q 10'!$E23))</f>
        <v>24000</v>
      </c>
    </row>
    <row r="8279" spans="1:10" x14ac:dyDescent="0.3">
      <c r="A8279" t="s">
        <v>2151</v>
      </c>
      <c r="B8279" t="s">
        <v>2152</v>
      </c>
      <c r="C8279">
        <v>4</v>
      </c>
      <c r="D8279" t="s">
        <v>1447</v>
      </c>
      <c r="E8279" t="s">
        <v>2111</v>
      </c>
      <c r="F8279" t="s">
        <v>1806</v>
      </c>
      <c r="I8279" s="165" t="str">
        <f>IF(ISBLANK('Q 10'!$E24),"",IF('Q 10'!$E24="&lt;please select&gt;","",'Q 10'!$E24))</f>
        <v/>
      </c>
    </row>
    <row r="8280" spans="1:10" x14ac:dyDescent="0.3">
      <c r="A8280" t="s">
        <v>2151</v>
      </c>
      <c r="B8280" t="s">
        <v>2152</v>
      </c>
      <c r="C8280">
        <v>5</v>
      </c>
      <c r="D8280" t="s">
        <v>1447</v>
      </c>
      <c r="E8280" t="s">
        <v>2111</v>
      </c>
      <c r="F8280" t="s">
        <v>1806</v>
      </c>
      <c r="I8280" s="165" t="str">
        <f>IF(ISBLANK('Q 10'!$E25),"",IF('Q 10'!$E25="&lt;please select&gt;","",'Q 10'!$E25))</f>
        <v/>
      </c>
    </row>
    <row r="8281" spans="1:10" x14ac:dyDescent="0.3">
      <c r="A8281" t="s">
        <v>2151</v>
      </c>
      <c r="B8281" t="s">
        <v>2152</v>
      </c>
      <c r="C8281">
        <v>6</v>
      </c>
      <c r="D8281" t="s">
        <v>1447</v>
      </c>
      <c r="E8281" t="s">
        <v>2111</v>
      </c>
      <c r="F8281" t="s">
        <v>1806</v>
      </c>
      <c r="I8281" s="165" t="str">
        <f>IF(ISBLANK('Q 10'!$E26),"",IF('Q 10'!$E26="&lt;please select&gt;","",'Q 10'!$E26))</f>
        <v>2000</v>
      </c>
    </row>
    <row r="8282" spans="1:10" x14ac:dyDescent="0.3">
      <c r="A8282" t="s">
        <v>2151</v>
      </c>
      <c r="B8282" t="s">
        <v>2152</v>
      </c>
      <c r="C8282">
        <v>7</v>
      </c>
      <c r="D8282" t="s">
        <v>1447</v>
      </c>
      <c r="E8282" t="s">
        <v>2111</v>
      </c>
      <c r="F8282" t="s">
        <v>1806</v>
      </c>
      <c r="I8282" s="165" t="str">
        <f>IF(ISBLANK('Q 10'!$E27),"",IF('Q 10'!$E27="&lt;please select&gt;","",'Q 10'!$E27))</f>
        <v>12000</v>
      </c>
    </row>
    <row r="8283" spans="1:10" x14ac:dyDescent="0.3">
      <c r="A8283" t="s">
        <v>2151</v>
      </c>
      <c r="B8283" t="s">
        <v>2152</v>
      </c>
      <c r="C8283">
        <v>8</v>
      </c>
      <c r="D8283" t="s">
        <v>1447</v>
      </c>
      <c r="E8283" t="s">
        <v>2111</v>
      </c>
      <c r="F8283" t="s">
        <v>1806</v>
      </c>
      <c r="I8283" s="165" t="str">
        <f>IF(ISBLANK('Q 10'!$E28),"",IF('Q 10'!$E28="&lt;please select&gt;","",'Q 10'!$E28))</f>
        <v>12000</v>
      </c>
    </row>
    <row r="8284" spans="1:10" x14ac:dyDescent="0.3">
      <c r="A8284" t="s">
        <v>2151</v>
      </c>
      <c r="B8284" t="s">
        <v>2152</v>
      </c>
      <c r="C8284">
        <v>9</v>
      </c>
      <c r="D8284" t="s">
        <v>1447</v>
      </c>
      <c r="E8284" t="s">
        <v>2111</v>
      </c>
      <c r="F8284" t="s">
        <v>1806</v>
      </c>
      <c r="I8284" s="165" t="str">
        <f>IF(ISBLANK('Q 10'!$E29),"",IF('Q 10'!$E29="&lt;please select&gt;","",'Q 10'!$E29))</f>
        <v>2000</v>
      </c>
    </row>
    <row r="8285" spans="1:10" x14ac:dyDescent="0.3">
      <c r="A8285" t="s">
        <v>2151</v>
      </c>
      <c r="B8285" t="s">
        <v>2152</v>
      </c>
      <c r="C8285">
        <v>10</v>
      </c>
      <c r="D8285" t="s">
        <v>1447</v>
      </c>
      <c r="E8285" t="s">
        <v>2111</v>
      </c>
      <c r="F8285" t="s">
        <v>1806</v>
      </c>
      <c r="I8285" s="165" t="str">
        <f>IF(ISBLANK('Q 10'!$E30),"",IF('Q 10'!$E30="&lt;please select&gt;","",'Q 10'!$E30))</f>
        <v>2000</v>
      </c>
    </row>
    <row r="8286" spans="1:10" x14ac:dyDescent="0.3">
      <c r="A8286" t="s">
        <v>2151</v>
      </c>
      <c r="B8286" t="s">
        <v>2152</v>
      </c>
      <c r="C8286">
        <v>11</v>
      </c>
      <c r="D8286" t="s">
        <v>1447</v>
      </c>
      <c r="E8286" t="s">
        <v>2111</v>
      </c>
      <c r="F8286" t="s">
        <v>1806</v>
      </c>
      <c r="I8286" s="165" t="str">
        <f>IF(ISBLANK('Q 10'!$E31),"",IF('Q 10'!$E31="&lt;please select&gt;","",'Q 10'!$E31))</f>
        <v/>
      </c>
    </row>
    <row r="8287" spans="1:10" x14ac:dyDescent="0.3">
      <c r="A8287" t="s">
        <v>2151</v>
      </c>
      <c r="B8287" t="s">
        <v>2152</v>
      </c>
      <c r="C8287">
        <v>12</v>
      </c>
      <c r="D8287" t="s">
        <v>1447</v>
      </c>
      <c r="E8287" t="s">
        <v>2111</v>
      </c>
      <c r="F8287" t="s">
        <v>1806</v>
      </c>
      <c r="I8287" s="165" t="str">
        <f>IF(ISBLANK('Q 10'!$E32),"",IF('Q 10'!$E32="&lt;please select&gt;","",'Q 10'!$E32))</f>
        <v>24000</v>
      </c>
    </row>
    <row r="8288" spans="1:10" x14ac:dyDescent="0.3">
      <c r="A8288" t="s">
        <v>2151</v>
      </c>
      <c r="B8288" t="s">
        <v>2152</v>
      </c>
      <c r="C8288">
        <v>13</v>
      </c>
      <c r="D8288" t="s">
        <v>1447</v>
      </c>
      <c r="E8288" t="s">
        <v>2111</v>
      </c>
      <c r="F8288" t="s">
        <v>1806</v>
      </c>
      <c r="I8288" s="165" t="str">
        <f>IF(ISBLANK('Q 10'!$E33),"",IF('Q 10'!$E33="&lt;please select&gt;","",'Q 10'!$E33))</f>
        <v>12000</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144000</v>
      </c>
    </row>
    <row r="8313" spans="1:9" x14ac:dyDescent="0.3">
      <c r="A8313" t="s">
        <v>2151</v>
      </c>
      <c r="B8313" t="s">
        <v>2152</v>
      </c>
      <c r="C8313">
        <v>2</v>
      </c>
      <c r="D8313" t="s">
        <v>1447</v>
      </c>
      <c r="E8313" t="s">
        <v>2112</v>
      </c>
      <c r="F8313" t="s">
        <v>1806</v>
      </c>
      <c r="I8313" s="165" t="str">
        <f>IF(ISBLANK('Q 10'!$F22),"",IF('Q 10'!$F22="&lt;please select&gt;","",'Q 10'!$F22))</f>
        <v>144000</v>
      </c>
    </row>
    <row r="8314" spans="1:9" x14ac:dyDescent="0.3">
      <c r="A8314" t="s">
        <v>2151</v>
      </c>
      <c r="B8314" t="s">
        <v>2152</v>
      </c>
      <c r="C8314">
        <v>3</v>
      </c>
      <c r="D8314" t="s">
        <v>1447</v>
      </c>
      <c r="E8314" t="s">
        <v>2112</v>
      </c>
      <c r="F8314" t="s">
        <v>1806</v>
      </c>
      <c r="I8314" s="165" t="str">
        <f>IF(ISBLANK('Q 10'!$F23),"",IF('Q 10'!$F23="&lt;please select&gt;","",'Q 10'!$F23))</f>
        <v>144000</v>
      </c>
    </row>
    <row r="8315" spans="1:9" x14ac:dyDescent="0.3">
      <c r="A8315" t="s">
        <v>2151</v>
      </c>
      <c r="B8315" t="s">
        <v>2152</v>
      </c>
      <c r="C8315">
        <v>4</v>
      </c>
      <c r="D8315" t="s">
        <v>1447</v>
      </c>
      <c r="E8315" t="s">
        <v>2112</v>
      </c>
      <c r="F8315" t="s">
        <v>1806</v>
      </c>
      <c r="I8315" s="165" t="str">
        <f>IF(ISBLANK('Q 10'!$F24),"",IF('Q 10'!$F24="&lt;please select&gt;","",'Q 10'!$F24))</f>
        <v/>
      </c>
    </row>
    <row r="8316" spans="1:9" x14ac:dyDescent="0.3">
      <c r="A8316" t="s">
        <v>2151</v>
      </c>
      <c r="B8316" t="s">
        <v>2152</v>
      </c>
      <c r="C8316">
        <v>5</v>
      </c>
      <c r="D8316" t="s">
        <v>1447</v>
      </c>
      <c r="E8316" t="s">
        <v>2112</v>
      </c>
      <c r="F8316" t="s">
        <v>1806</v>
      </c>
      <c r="I8316" s="165" t="str">
        <f>IF(ISBLANK('Q 10'!$F25),"",IF('Q 10'!$F25="&lt;please select&gt;","",'Q 10'!$F25))</f>
        <v/>
      </c>
    </row>
    <row r="8317" spans="1:9" x14ac:dyDescent="0.3">
      <c r="A8317" t="s">
        <v>2151</v>
      </c>
      <c r="B8317" t="s">
        <v>2152</v>
      </c>
      <c r="C8317">
        <v>6</v>
      </c>
      <c r="D8317" t="s">
        <v>1447</v>
      </c>
      <c r="E8317" t="s">
        <v>2112</v>
      </c>
      <c r="F8317" t="s">
        <v>1806</v>
      </c>
      <c r="I8317" s="165" t="str">
        <f>IF(ISBLANK('Q 10'!$F26),"",IF('Q 10'!$F26="&lt;please select&gt;","",'Q 10'!$F26))</f>
        <v>18000</v>
      </c>
    </row>
    <row r="8318" spans="1:9" x14ac:dyDescent="0.3">
      <c r="A8318" t="s">
        <v>2151</v>
      </c>
      <c r="B8318" t="s">
        <v>2152</v>
      </c>
      <c r="C8318">
        <v>7</v>
      </c>
      <c r="D8318" t="s">
        <v>1447</v>
      </c>
      <c r="E8318" t="s">
        <v>2112</v>
      </c>
      <c r="F8318" t="s">
        <v>1806</v>
      </c>
      <c r="I8318" s="165" t="str">
        <f>IF(ISBLANK('Q 10'!$F27),"",IF('Q 10'!$F27="&lt;please select&gt;","",'Q 10'!$F27))</f>
        <v>72000</v>
      </c>
    </row>
    <row r="8319" spans="1:9" x14ac:dyDescent="0.3">
      <c r="A8319" t="s">
        <v>2151</v>
      </c>
      <c r="B8319" t="s">
        <v>2152</v>
      </c>
      <c r="C8319">
        <v>8</v>
      </c>
      <c r="D8319" t="s">
        <v>1447</v>
      </c>
      <c r="E8319" t="s">
        <v>2112</v>
      </c>
      <c r="F8319" t="s">
        <v>1806</v>
      </c>
      <c r="I8319" s="165" t="str">
        <f>IF(ISBLANK('Q 10'!$F28),"",IF('Q 10'!$F28="&lt;please select&gt;","",'Q 10'!$F28))</f>
        <v>72000</v>
      </c>
    </row>
    <row r="8320" spans="1:9" x14ac:dyDescent="0.3">
      <c r="A8320" t="s">
        <v>2151</v>
      </c>
      <c r="B8320" t="s">
        <v>2152</v>
      </c>
      <c r="C8320">
        <v>9</v>
      </c>
      <c r="D8320" t="s">
        <v>1447</v>
      </c>
      <c r="E8320" t="s">
        <v>2112</v>
      </c>
      <c r="F8320" t="s">
        <v>1806</v>
      </c>
      <c r="I8320" s="165" t="str">
        <f>IF(ISBLANK('Q 10'!$F29),"",IF('Q 10'!$F29="&lt;please select&gt;","",'Q 10'!$F29))</f>
        <v>18000</v>
      </c>
    </row>
    <row r="8321" spans="1:9" x14ac:dyDescent="0.3">
      <c r="A8321" t="s">
        <v>2151</v>
      </c>
      <c r="B8321" t="s">
        <v>2152</v>
      </c>
      <c r="C8321">
        <v>10</v>
      </c>
      <c r="D8321" t="s">
        <v>1447</v>
      </c>
      <c r="E8321" t="s">
        <v>2112</v>
      </c>
      <c r="F8321" t="s">
        <v>1806</v>
      </c>
      <c r="I8321" s="165" t="str">
        <f>IF(ISBLANK('Q 10'!$F30),"",IF('Q 10'!$F30="&lt;please select&gt;","",'Q 10'!$F30))</f>
        <v>18000</v>
      </c>
    </row>
    <row r="8322" spans="1:9" x14ac:dyDescent="0.3">
      <c r="A8322" t="s">
        <v>2151</v>
      </c>
      <c r="B8322" t="s">
        <v>2152</v>
      </c>
      <c r="C8322">
        <v>11</v>
      </c>
      <c r="D8322" t="s">
        <v>1447</v>
      </c>
      <c r="E8322" t="s">
        <v>2112</v>
      </c>
      <c r="F8322" t="s">
        <v>1806</v>
      </c>
      <c r="I8322" s="165" t="str">
        <f>IF(ISBLANK('Q 10'!$F31),"",IF('Q 10'!$F31="&lt;please select&gt;","",'Q 10'!$F31))</f>
        <v/>
      </c>
    </row>
    <row r="8323" spans="1:9" x14ac:dyDescent="0.3">
      <c r="A8323" t="s">
        <v>2151</v>
      </c>
      <c r="B8323" t="s">
        <v>2152</v>
      </c>
      <c r="C8323">
        <v>12</v>
      </c>
      <c r="D8323" t="s">
        <v>1447</v>
      </c>
      <c r="E8323" t="s">
        <v>2112</v>
      </c>
      <c r="F8323" t="s">
        <v>1806</v>
      </c>
      <c r="I8323" s="165" t="str">
        <f>IF(ISBLANK('Q 10'!$F32),"",IF('Q 10'!$F32="&lt;please select&gt;","",'Q 10'!$F32))</f>
        <v>144000</v>
      </c>
    </row>
    <row r="8324" spans="1:9" x14ac:dyDescent="0.3">
      <c r="A8324" t="s">
        <v>2151</v>
      </c>
      <c r="B8324" t="s">
        <v>2152</v>
      </c>
      <c r="C8324">
        <v>13</v>
      </c>
      <c r="D8324" t="s">
        <v>1447</v>
      </c>
      <c r="E8324" t="s">
        <v>2112</v>
      </c>
      <c r="F8324" t="s">
        <v>1806</v>
      </c>
      <c r="I8324" s="165" t="str">
        <f>IF(ISBLANK('Q 10'!$F33),"",IF('Q 10'!$F33="&lt;please select&gt;","",'Q 10'!$F33))</f>
        <v>72000</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These fines are for neglicence. For fraud the fines are: Min=240 000 euros and Max=5 000 000 euros.</v>
      </c>
    </row>
    <row r="8421" spans="1:10" x14ac:dyDescent="0.3">
      <c r="A8421" t="s">
        <v>2151</v>
      </c>
      <c r="B8421" t="s">
        <v>2152</v>
      </c>
      <c r="C8421">
        <v>2</v>
      </c>
      <c r="D8421" t="s">
        <v>1447</v>
      </c>
      <c r="E8421" t="s">
        <v>2115</v>
      </c>
      <c r="F8421" t="s">
        <v>1791</v>
      </c>
      <c r="J8421" t="str">
        <f>IF(ISBLANK('Q 10'!$I22),"",IF('Q 10'!$I22="&lt;please select&gt;","",'Q 10'!$I22))</f>
        <v>These fines are for neglicence. For fraud the fines are: Min=240 000 euros and Max=5 000 000 euros.</v>
      </c>
    </row>
    <row r="8422" spans="1:10" x14ac:dyDescent="0.3">
      <c r="A8422" t="s">
        <v>2151</v>
      </c>
      <c r="B8422" t="s">
        <v>2152</v>
      </c>
      <c r="C8422">
        <v>3</v>
      </c>
      <c r="D8422" t="s">
        <v>1447</v>
      </c>
      <c r="E8422" t="s">
        <v>2115</v>
      </c>
      <c r="F8422" t="s">
        <v>1791</v>
      </c>
      <c r="J8422" t="str">
        <f>IF(ISBLANK('Q 10'!$I23),"",IF('Q 10'!$I23="&lt;please select&gt;","",'Q 10'!$I23))</f>
        <v>These fines are for neglicence. For fraud the fines are: Min=240 000 euros and Max=5 000 000 euros.</v>
      </c>
    </row>
    <row r="8423" spans="1:10" x14ac:dyDescent="0.3">
      <c r="A8423" t="s">
        <v>2151</v>
      </c>
      <c r="B8423" t="s">
        <v>2152</v>
      </c>
      <c r="C8423">
        <v>4</v>
      </c>
      <c r="D8423" t="s">
        <v>1447</v>
      </c>
      <c r="E8423" t="s">
        <v>2115</v>
      </c>
      <c r="F8423" t="s">
        <v>1791</v>
      </c>
      <c r="J8423" t="str">
        <f>IF(ISBLANK('Q 10'!$I24),"",IF('Q 10'!$I24="&lt;please select&gt;","",'Q 10'!$I24))</f>
        <v/>
      </c>
    </row>
    <row r="8424" spans="1:10" x14ac:dyDescent="0.3">
      <c r="A8424" t="s">
        <v>2151</v>
      </c>
      <c r="B8424" t="s">
        <v>2152</v>
      </c>
      <c r="C8424">
        <v>5</v>
      </c>
      <c r="D8424" t="s">
        <v>1447</v>
      </c>
      <c r="E8424" t="s">
        <v>2115</v>
      </c>
      <c r="F8424" t="s">
        <v>1791</v>
      </c>
      <c r="J8424" t="str">
        <f>IF(ISBLANK('Q 10'!$I25),"",IF('Q 10'!$I25="&lt;please select&gt;","",'Q 10'!$I25))</f>
        <v/>
      </c>
    </row>
    <row r="8425" spans="1:10" x14ac:dyDescent="0.3">
      <c r="A8425" t="s">
        <v>2151</v>
      </c>
      <c r="B8425" t="s">
        <v>2152</v>
      </c>
      <c r="C8425">
        <v>6</v>
      </c>
      <c r="D8425" t="s">
        <v>1447</v>
      </c>
      <c r="E8425" t="s">
        <v>2115</v>
      </c>
      <c r="F8425" t="s">
        <v>1791</v>
      </c>
      <c r="J8425" t="str">
        <f>IF(ISBLANK('Q 10'!$I26),"",IF('Q 10'!$I26="&lt;please select&gt;","",'Q 10'!$I26))</f>
        <v>These fines are for neglicence. For fraud the fines are: Min=6 000 euros and Max=36 000 euros.</v>
      </c>
    </row>
    <row r="8426" spans="1:10" x14ac:dyDescent="0.3">
      <c r="A8426" t="s">
        <v>2151</v>
      </c>
      <c r="B8426" t="s">
        <v>2152</v>
      </c>
      <c r="C8426">
        <v>7</v>
      </c>
      <c r="D8426" t="s">
        <v>1447</v>
      </c>
      <c r="E8426" t="s">
        <v>2115</v>
      </c>
      <c r="F8426" t="s">
        <v>1791</v>
      </c>
      <c r="J8426" t="str">
        <f>IF(ISBLANK('Q 10'!$I27),"",IF('Q 10'!$I27="&lt;please select&gt;","",'Q 10'!$I27))</f>
        <v>These fines are for neglicence. For fraud the fines are: Min=36 000 euros and Max=216 000 euros.</v>
      </c>
    </row>
    <row r="8427" spans="1:10" x14ac:dyDescent="0.3">
      <c r="A8427" t="s">
        <v>2151</v>
      </c>
      <c r="B8427" t="s">
        <v>2152</v>
      </c>
      <c r="C8427">
        <v>8</v>
      </c>
      <c r="D8427" t="s">
        <v>1447</v>
      </c>
      <c r="E8427" t="s">
        <v>2115</v>
      </c>
      <c r="F8427" t="s">
        <v>1791</v>
      </c>
      <c r="J8427" t="str">
        <f>IF(ISBLANK('Q 10'!$I28),"",IF('Q 10'!$I28="&lt;please select&gt;","",'Q 10'!$I28))</f>
        <v>These fines are for neglicence. For fraud the fines are: Min=36 000 euros and Max=216 000 euros.</v>
      </c>
    </row>
    <row r="8428" spans="1:10" x14ac:dyDescent="0.3">
      <c r="A8428" t="s">
        <v>2151</v>
      </c>
      <c r="B8428" t="s">
        <v>2152</v>
      </c>
      <c r="C8428">
        <v>9</v>
      </c>
      <c r="D8428" t="s">
        <v>1447</v>
      </c>
      <c r="E8428" t="s">
        <v>2115</v>
      </c>
      <c r="F8428" t="s">
        <v>1791</v>
      </c>
      <c r="J8428" t="str">
        <f>IF(ISBLANK('Q 10'!$I29),"",IF('Q 10'!$I29="&lt;please select&gt;","",'Q 10'!$I29))</f>
        <v>These fines are for neglicence. For fraud the fines are: Min=6 000 euros and Max=36 000 euros.</v>
      </c>
    </row>
    <row r="8429" spans="1:10" x14ac:dyDescent="0.3">
      <c r="A8429" t="s">
        <v>2151</v>
      </c>
      <c r="B8429" t="s">
        <v>2152</v>
      </c>
      <c r="C8429">
        <v>10</v>
      </c>
      <c r="D8429" t="s">
        <v>1447</v>
      </c>
      <c r="E8429" t="s">
        <v>2115</v>
      </c>
      <c r="F8429" t="s">
        <v>1791</v>
      </c>
      <c r="J8429" t="str">
        <f>IF(ISBLANK('Q 10'!$I30),"",IF('Q 10'!$I30="&lt;please select&gt;","",'Q 10'!$I30))</f>
        <v>These fines are for neglicence. For fraud the fines are: Min=6 000 euros and Max=36 000 euros.</v>
      </c>
    </row>
    <row r="8430" spans="1:10" x14ac:dyDescent="0.3">
      <c r="A8430" t="s">
        <v>2151</v>
      </c>
      <c r="B8430" t="s">
        <v>2152</v>
      </c>
      <c r="C8430">
        <v>11</v>
      </c>
      <c r="D8430" t="s">
        <v>1447</v>
      </c>
      <c r="E8430" t="s">
        <v>2115</v>
      </c>
      <c r="F8430" t="s">
        <v>1791</v>
      </c>
      <c r="J8430" t="str">
        <f>IF(ISBLANK('Q 10'!$I31),"",IF('Q 10'!$I31="&lt;please select&gt;","",'Q 10'!$I31))</f>
        <v/>
      </c>
    </row>
    <row r="8431" spans="1:10" x14ac:dyDescent="0.3">
      <c r="A8431" t="s">
        <v>2151</v>
      </c>
      <c r="B8431" t="s">
        <v>2152</v>
      </c>
      <c r="C8431">
        <v>12</v>
      </c>
      <c r="D8431" t="s">
        <v>1447</v>
      </c>
      <c r="E8431" t="s">
        <v>2115</v>
      </c>
      <c r="F8431" t="s">
        <v>1791</v>
      </c>
      <c r="J8431" t="str">
        <f>IF(ISBLANK('Q 10'!$I32),"",IF('Q 10'!$I32="&lt;please select&gt;","",'Q 10'!$I32))</f>
        <v>These fines are for neglicence. For fraud the fines are: Min=240 000 euros and Max=5 000 000 euros.</v>
      </c>
    </row>
    <row r="8432" spans="1:10" x14ac:dyDescent="0.3">
      <c r="A8432" t="s">
        <v>2151</v>
      </c>
      <c r="B8432" t="s">
        <v>2152</v>
      </c>
      <c r="C8432">
        <v>13</v>
      </c>
      <c r="D8432" t="s">
        <v>1447</v>
      </c>
      <c r="E8432" t="s">
        <v>2115</v>
      </c>
      <c r="F8432" t="s">
        <v>1791</v>
      </c>
      <c r="J8432" t="str">
        <f>IF(ISBLANK('Q 10'!$I33),"",IF('Q 10'!$I33="&lt;please select&gt;","",'Q 10'!$I33))</f>
        <v>These fines are for neglicence. For fraud the fines are: Min=36 000 euros and Max=216 000 euros.</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Absence of na account in the Portuguese ETS Registry</v>
      </c>
    </row>
    <row r="8457" spans="1:10" x14ac:dyDescent="0.3">
      <c r="A8457" t="s">
        <v>2151</v>
      </c>
      <c r="B8457" t="s">
        <v>2152</v>
      </c>
      <c r="C8457">
        <v>13</v>
      </c>
      <c r="D8457" t="s">
        <v>1419</v>
      </c>
      <c r="E8457" t="s">
        <v>2116</v>
      </c>
      <c r="F8457" t="s">
        <v>1791</v>
      </c>
      <c r="J8457" t="str">
        <f>IF(ISBLANK('Q 10'!$D33),"",IF('Q 10'!$D33="&lt;please select&gt;","",'Q 10'!$D33))</f>
        <v>Failure to submit the annual activity level report by 31 March</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Decree-Law No. 12/2020 of 06 April 2020</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No</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24000</v>
      </c>
    </row>
    <row r="8711" spans="1:10" x14ac:dyDescent="0.3">
      <c r="A8711" t="s">
        <v>2162</v>
      </c>
      <c r="B8711" t="s">
        <v>2163</v>
      </c>
      <c r="C8711">
        <v>2</v>
      </c>
      <c r="D8711" t="s">
        <v>1447</v>
      </c>
      <c r="E8711" t="s">
        <v>2111</v>
      </c>
      <c r="F8711" t="s">
        <v>1806</v>
      </c>
      <c r="I8711" s="165" t="str">
        <f>IF(ISBLANK('Q 10'!$E148),"",IF('Q 10'!$E148="&lt;please select&gt;","",'Q 10'!$E148))</f>
        <v>12000</v>
      </c>
    </row>
    <row r="8712" spans="1:10" x14ac:dyDescent="0.3">
      <c r="A8712" t="s">
        <v>2162</v>
      </c>
      <c r="B8712" t="s">
        <v>2163</v>
      </c>
      <c r="C8712">
        <v>3</v>
      </c>
      <c r="D8712" t="s">
        <v>1447</v>
      </c>
      <c r="E8712" t="s">
        <v>2111</v>
      </c>
      <c r="F8712" t="s">
        <v>1806</v>
      </c>
      <c r="I8712" s="165" t="str">
        <f>IF(ISBLANK('Q 10'!$E149),"",IF('Q 10'!$E149="&lt;please select&gt;","",'Q 10'!$E149))</f>
        <v>2000</v>
      </c>
    </row>
    <row r="8713" spans="1:10" x14ac:dyDescent="0.3">
      <c r="A8713" t="s">
        <v>2162</v>
      </c>
      <c r="B8713" t="s">
        <v>2163</v>
      </c>
      <c r="C8713">
        <v>4</v>
      </c>
      <c r="D8713" t="s">
        <v>1447</v>
      </c>
      <c r="E8713" t="s">
        <v>2111</v>
      </c>
      <c r="F8713" t="s">
        <v>1806</v>
      </c>
      <c r="I8713" s="165" t="str">
        <f>IF(ISBLANK('Q 10'!$E150),"",IF('Q 10'!$E150="&lt;please select&gt;","",'Q 10'!$E150))</f>
        <v>12000</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12000</v>
      </c>
    </row>
    <row r="8716" spans="1:10" x14ac:dyDescent="0.3">
      <c r="A8716" t="s">
        <v>2162</v>
      </c>
      <c r="B8716" t="s">
        <v>2163</v>
      </c>
      <c r="C8716">
        <v>7</v>
      </c>
      <c r="D8716" t="s">
        <v>1447</v>
      </c>
      <c r="E8716" t="s">
        <v>2111</v>
      </c>
      <c r="F8716" t="s">
        <v>1806</v>
      </c>
      <c r="I8716" s="165" t="str">
        <f>IF(ISBLANK('Q 10'!$E153),"",IF('Q 10'!$E153="&lt;please select&gt;","",'Q 10'!$E153))</f>
        <v>2000</v>
      </c>
    </row>
    <row r="8717" spans="1:10" x14ac:dyDescent="0.3">
      <c r="A8717" t="s">
        <v>2162</v>
      </c>
      <c r="B8717" t="s">
        <v>2163</v>
      </c>
      <c r="C8717">
        <v>8</v>
      </c>
      <c r="D8717" t="s">
        <v>1447</v>
      </c>
      <c r="E8717" t="s">
        <v>2111</v>
      </c>
      <c r="F8717" t="s">
        <v>1806</v>
      </c>
      <c r="I8717" s="165" t="str">
        <f>IF(ISBLANK('Q 10'!$E154),"",IF('Q 10'!$E154="&lt;please select&gt;","",'Q 10'!$E154))</f>
        <v>2000</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144000</v>
      </c>
    </row>
    <row r="8726" spans="1:9" x14ac:dyDescent="0.3">
      <c r="A8726" t="s">
        <v>2162</v>
      </c>
      <c r="B8726" t="s">
        <v>2163</v>
      </c>
      <c r="C8726">
        <v>2</v>
      </c>
      <c r="D8726" t="s">
        <v>1447</v>
      </c>
      <c r="E8726" t="s">
        <v>2112</v>
      </c>
      <c r="F8726" t="s">
        <v>1806</v>
      </c>
      <c r="I8726" s="165" t="str">
        <f>IF(ISBLANK('Q 10'!$F148),"",IF('Q 10'!$F148="&lt;please select&gt;","",'Q 10'!$F148))</f>
        <v>72000</v>
      </c>
    </row>
    <row r="8727" spans="1:9" x14ac:dyDescent="0.3">
      <c r="A8727" t="s">
        <v>2162</v>
      </c>
      <c r="B8727" t="s">
        <v>2163</v>
      </c>
      <c r="C8727">
        <v>3</v>
      </c>
      <c r="D8727" t="s">
        <v>1447</v>
      </c>
      <c r="E8727" t="s">
        <v>2112</v>
      </c>
      <c r="F8727" t="s">
        <v>1806</v>
      </c>
      <c r="I8727" s="165" t="str">
        <f>IF(ISBLANK('Q 10'!$F149),"",IF('Q 10'!$F149="&lt;please select&gt;","",'Q 10'!$F149))</f>
        <v>18000</v>
      </c>
    </row>
    <row r="8728" spans="1:9" x14ac:dyDescent="0.3">
      <c r="A8728" t="s">
        <v>2162</v>
      </c>
      <c r="B8728" t="s">
        <v>2163</v>
      </c>
      <c r="C8728">
        <v>4</v>
      </c>
      <c r="D8728" t="s">
        <v>1447</v>
      </c>
      <c r="E8728" t="s">
        <v>2112</v>
      </c>
      <c r="F8728" t="s">
        <v>1806</v>
      </c>
      <c r="I8728" s="165" t="str">
        <f>IF(ISBLANK('Q 10'!$F150),"",IF('Q 10'!$F150="&lt;please select&gt;","",'Q 10'!$F150))</f>
        <v>72000</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72000</v>
      </c>
    </row>
    <row r="8731" spans="1:9" x14ac:dyDescent="0.3">
      <c r="A8731" t="s">
        <v>2162</v>
      </c>
      <c r="B8731" t="s">
        <v>2163</v>
      </c>
      <c r="C8731">
        <v>7</v>
      </c>
      <c r="D8731" t="s">
        <v>1447</v>
      </c>
      <c r="E8731" t="s">
        <v>2112</v>
      </c>
      <c r="F8731" t="s">
        <v>1806</v>
      </c>
      <c r="I8731" s="165" t="str">
        <f>IF(ISBLANK('Q 10'!$F153),"",IF('Q 10'!$F153="&lt;please select&gt;","",'Q 10'!$F153))</f>
        <v>18000</v>
      </c>
    </row>
    <row r="8732" spans="1:9" x14ac:dyDescent="0.3">
      <c r="A8732" t="s">
        <v>2162</v>
      </c>
      <c r="B8732" t="s">
        <v>2163</v>
      </c>
      <c r="C8732">
        <v>8</v>
      </c>
      <c r="D8732" t="s">
        <v>1447</v>
      </c>
      <c r="E8732" t="s">
        <v>2112</v>
      </c>
      <c r="F8732" t="s">
        <v>1806</v>
      </c>
      <c r="I8732" s="165" t="str">
        <f>IF(ISBLANK('Q 10'!$F154),"",IF('Q 10'!$F154="&lt;please select&gt;","",'Q 10'!$F154))</f>
        <v>18000</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
      </c>
    </row>
    <row r="8758" spans="1:9" x14ac:dyDescent="0.3">
      <c r="A8758" t="s">
        <v>2162</v>
      </c>
      <c r="B8758" t="s">
        <v>2163</v>
      </c>
      <c r="C8758">
        <v>4</v>
      </c>
      <c r="D8758" t="s">
        <v>1447</v>
      </c>
      <c r="E8758" t="s">
        <v>2114</v>
      </c>
      <c r="F8758" t="s">
        <v>1806</v>
      </c>
      <c r="I8758" s="165" t="str">
        <f>IF(ISBLANK('Q 10'!$H150),"",IF('Q 10'!$H150="&lt;please select&gt;","",'Q 10'!$H150))</f>
        <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These fines are for neglicence. For fraud the fines are: Min=240 000 euros and Max=5 000 000 euros.</v>
      </c>
    </row>
    <row r="8771" spans="1:10" x14ac:dyDescent="0.3">
      <c r="A8771" t="s">
        <v>2162</v>
      </c>
      <c r="B8771" t="s">
        <v>2163</v>
      </c>
      <c r="C8771">
        <v>2</v>
      </c>
      <c r="D8771" t="s">
        <v>1447</v>
      </c>
      <c r="E8771" t="s">
        <v>2115</v>
      </c>
      <c r="F8771" t="s">
        <v>1791</v>
      </c>
      <c r="J8771" t="str">
        <f>IF(ISBLANK('Q 10'!$I148),"",IF('Q 10'!$I148="&lt;please select&gt;","",'Q 10'!$I148))</f>
        <v>These fines are for neglicence. For fraud the fines are: Min=36 000 euros and Max=216 000 euros.</v>
      </c>
    </row>
    <row r="8772" spans="1:10" x14ac:dyDescent="0.3">
      <c r="A8772" t="s">
        <v>2162</v>
      </c>
      <c r="B8772" t="s">
        <v>2163</v>
      </c>
      <c r="C8772">
        <v>3</v>
      </c>
      <c r="D8772" t="s">
        <v>1447</v>
      </c>
      <c r="E8772" t="s">
        <v>2115</v>
      </c>
      <c r="F8772" t="s">
        <v>1791</v>
      </c>
      <c r="J8772" t="str">
        <f>IF(ISBLANK('Q 10'!$I149),"",IF('Q 10'!$I149="&lt;please select&gt;","",'Q 10'!$I149))</f>
        <v>These fines are for neglicence. For fraud the fines are: Min=6 000 euros and Max=36 000 euros.</v>
      </c>
    </row>
    <row r="8773" spans="1:10" x14ac:dyDescent="0.3">
      <c r="A8773" t="s">
        <v>2162</v>
      </c>
      <c r="B8773" t="s">
        <v>2163</v>
      </c>
      <c r="C8773">
        <v>4</v>
      </c>
      <c r="D8773" t="s">
        <v>1447</v>
      </c>
      <c r="E8773" t="s">
        <v>2115</v>
      </c>
      <c r="F8773" t="s">
        <v>1791</v>
      </c>
      <c r="J8773" t="str">
        <f>IF(ISBLANK('Q 10'!$I150),"",IF('Q 10'!$I150="&lt;please select&gt;","",'Q 10'!$I150))</f>
        <v>These fines are for neglicence. For fraud the fines are: Min=36 000 euros and Max=216 000 euros.</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These fines are for neglicence. For fraud the fines are: Min=36 000 euros and Max=216 000 euros.</v>
      </c>
    </row>
    <row r="8776" spans="1:10" x14ac:dyDescent="0.3">
      <c r="A8776" t="s">
        <v>2162</v>
      </c>
      <c r="B8776" t="s">
        <v>2163</v>
      </c>
      <c r="C8776">
        <v>7</v>
      </c>
      <c r="D8776" t="s">
        <v>1447</v>
      </c>
      <c r="E8776" t="s">
        <v>2115</v>
      </c>
      <c r="F8776" t="s">
        <v>1791</v>
      </c>
      <c r="J8776" t="str">
        <f>IF(ISBLANK('Q 10'!$I153),"",IF('Q 10'!$I153="&lt;please select&gt;","",'Q 10'!$I153))</f>
        <v>These fines are for neglicence. For fraud the fines are: Min=6 000 euros and Max=36 000 euros.</v>
      </c>
    </row>
    <row r="8777" spans="1:10" x14ac:dyDescent="0.3">
      <c r="A8777" t="s">
        <v>2162</v>
      </c>
      <c r="B8777" t="s">
        <v>2163</v>
      </c>
      <c r="C8777">
        <v>8</v>
      </c>
      <c r="D8777" t="s">
        <v>1447</v>
      </c>
      <c r="E8777" t="s">
        <v>2115</v>
      </c>
      <c r="F8777" t="s">
        <v>1791</v>
      </c>
      <c r="J8777" t="str">
        <f>IF(ISBLANK('Q 10'!$I154),"",IF('Q 10'!$I154="&lt;please select&gt;","",'Q 10'!$I154))</f>
        <v>These fines are for neglicence. For fraud the fines are: Min=6 000 euros and Max=36 000 euros.</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Decree-Law No. 93/2010, of 27 July amended and republished by Decree-Law No. 195/2015 of 14 September</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1 - Whenever the seriousness of the infraction justifies it, the competent authority may, simultaneously with the fine, determine the application of the accessory sanctions that prove to be appropriate, under the terms provided for in Law no. 50/2006, of 29 August, in its current wording.
2 - The competent authority may also, whenever necessary, determine the provisional seizure of goods and documents, under the terms provided for in article 42 of Law No. 50/2006, of 29 August, in its current wording.</v>
      </c>
    </row>
    <row r="8918" spans="1:11" x14ac:dyDescent="0.3">
      <c r="A8918" t="s">
        <v>2174</v>
      </c>
      <c r="B8918" t="s">
        <v>2175</v>
      </c>
      <c r="C8918">
        <v>0</v>
      </c>
      <c r="D8918" t="s">
        <v>1447</v>
      </c>
      <c r="E8918" t="s">
        <v>2175</v>
      </c>
      <c r="F8918" t="s">
        <v>1741</v>
      </c>
      <c r="G8918" t="str">
        <f>IF(ISBLANK('Q 11'!$C$6),"",IF('Q 11'!$C$6="&lt;please select&gt;","",'Q 11'!$C$6))</f>
        <v>An allowance constitutes an intangible asset.</v>
      </c>
    </row>
    <row r="8919" spans="1:11" x14ac:dyDescent="0.3">
      <c r="A8919" t="s">
        <v>2176</v>
      </c>
      <c r="B8919" t="s">
        <v>2177</v>
      </c>
      <c r="C8919">
        <v>0</v>
      </c>
      <c r="D8919" t="s">
        <v>1447</v>
      </c>
      <c r="E8919" t="s">
        <v>2177</v>
      </c>
      <c r="F8919" t="s">
        <v>1741</v>
      </c>
      <c r="G8919" t="str">
        <f>IF(ISBLANK('Q 11'!$C$9),"",IF('Q 11'!$C$9="&lt;please select&gt;","",'Q 11'!$C$9))</f>
        <v>The accounting treatment of emission allowances is regulated by the National Standard NCRF 26 – Matérias Ambientais published
in national legislation Aviso n.º 8256/2015 29th July 2015, particularly in paragraphs 5-12 that are transcribed below: “5 - An
entity shall recognize as intangible assets licenses emission of greenhouse effect whether they have been assigned free or they
were acquired in the market. 6 – In counterpart for recognition of licenses assigned free a grant will be recognized. 7 - The
emission of greenhouse effect should be recognized as an expense. 8 - In counterpart for recognition of emissions of greenhouse
gases the respective amortization of intangible assets must be recognized. 9 - Emissions of greenhouse gas effect above the
licenses held should be recognized as a liability under NCRF 21. 10 - On initial recognition, the gas emission allowances
greenhouse or allocated free of charge or acquired for consideration must be measured at fair value, which is presumed to
coincide with the acquisition cost when acquired for consideration as recommended in paragraph 42 of NCRF 6 and in paragraph
22 of NCRF 22. 11 - The emission of greenhouse effect should be measured at cost of licenses held, according to the FIFO cost
formula. If the entity issues greenhouse gas effect without holding the related licenses, the measurement should be made by the
best estimate of the price for their production. 12 - Given the particular issue of greenhouse gas effect, the disclosures to be
made should be compiled in a note in the Annex.”</v>
      </c>
    </row>
    <row r="8920" spans="1:11" x14ac:dyDescent="0.3">
      <c r="A8920" t="s">
        <v>2178</v>
      </c>
      <c r="B8920" t="s">
        <v>2179</v>
      </c>
      <c r="C8920">
        <v>0</v>
      </c>
      <c r="D8920" t="s">
        <v>1447</v>
      </c>
      <c r="E8920" t="s">
        <v>2179</v>
      </c>
      <c r="F8920" t="s">
        <v>1759</v>
      </c>
      <c r="K8920" t="str">
        <f>IF(ISBLANK('Q 11'!$I$11),"",IF('Q 11'!$I$11="&lt;please select&gt;","",'Q 11'!$I$11))</f>
        <v>Yes</v>
      </c>
    </row>
    <row r="8921" spans="1:11" x14ac:dyDescent="0.3">
      <c r="A8921" t="s">
        <v>2178</v>
      </c>
      <c r="B8921" t="s">
        <v>2180</v>
      </c>
      <c r="C8921">
        <v>0</v>
      </c>
      <c r="D8921" t="s">
        <v>1447</v>
      </c>
      <c r="E8921" t="s">
        <v>2180</v>
      </c>
      <c r="F8921" t="s">
        <v>1759</v>
      </c>
      <c r="K8921" t="str">
        <f>IF(ISBLANK('Q 11'!$I$13),"",IF('Q 11'!$I$13="&lt;please select&gt;","",'Q 11'!$I$13))</f>
        <v>Yes</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VAT</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0.23</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EU regulation 1193/2011 of the Commission of 18 November, provides in Article 72 that the national administrator, directors and employees must cooperate with the FIU, including informing the FIU when they know or suspect activities related to ML / FT.</v>
      </c>
    </row>
    <row r="8936" spans="1:7" x14ac:dyDescent="0.3">
      <c r="A8936" t="s">
        <v>2186</v>
      </c>
      <c r="B8936" t="s">
        <v>2187</v>
      </c>
      <c r="C8936">
        <v>2</v>
      </c>
      <c r="D8936" t="s">
        <v>1447</v>
      </c>
      <c r="E8936" t="s">
        <v>2188</v>
      </c>
      <c r="F8936" t="s">
        <v>1741</v>
      </c>
      <c r="G8936" t="str">
        <f>IF(ISBLANK('Q 12'!$G8),"",IF('Q 12'!$G8="&lt;please select&gt;","",'Q 12'!$G8))</f>
        <v>yes</v>
      </c>
    </row>
    <row r="8937" spans="1:7" x14ac:dyDescent="0.3">
      <c r="A8937" t="s">
        <v>2186</v>
      </c>
      <c r="B8937" t="s">
        <v>2187</v>
      </c>
      <c r="C8937">
        <v>3</v>
      </c>
      <c r="D8937" t="s">
        <v>1447</v>
      </c>
      <c r="E8937" t="s">
        <v>2188</v>
      </c>
      <c r="F8937" t="s">
        <v>1741</v>
      </c>
      <c r="G8937" t="str">
        <f>IF(ISBLANK('Q 12'!$G9),"",IF('Q 12'!$G9="&lt;please select&gt;","",'Q 12'!$G9))</f>
        <v>Portuguese Judicial Police</v>
      </c>
    </row>
    <row r="8938" spans="1:7" x14ac:dyDescent="0.3">
      <c r="A8938" t="s">
        <v>2186</v>
      </c>
      <c r="B8938" t="s">
        <v>2187</v>
      </c>
      <c r="C8938">
        <v>4</v>
      </c>
      <c r="D8938" t="s">
        <v>1447</v>
      </c>
      <c r="E8938" t="s">
        <v>2188</v>
      </c>
      <c r="F8938" t="s">
        <v>1741</v>
      </c>
      <c r="G8938" t="str">
        <f>IF(ISBLANK('Q 12'!$G10),"",IF('Q 12'!$G10="&lt;please select&gt;","",'Q 12'!$G10))</f>
        <v>yes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 xml:space="preserve">In the case of the commitment of ML offences the sanctions are between 2 and 12 years of imprisonment. Crimes of fraud related crimes between 2 and 8 years of imprisonment and crimes related to pollution up to 5 years of imprisonment. Non criminal sanctions are also applicable in Decree-Law 12/2020, fines up to 250 000 00 euros, accompanied by seizures and imposture of prohibitions. </v>
      </c>
    </row>
    <row r="8941" spans="1:7" x14ac:dyDescent="0.3">
      <c r="A8941" t="s">
        <v>2189</v>
      </c>
      <c r="B8941" t="s">
        <v>2190</v>
      </c>
      <c r="C8941">
        <v>1</v>
      </c>
      <c r="D8941" t="s">
        <v>1447</v>
      </c>
      <c r="E8941" t="s">
        <v>2191</v>
      </c>
      <c r="F8941" t="s">
        <v>1741</v>
      </c>
      <c r="G8941" t="str">
        <f>IF(ISBLANK('Q 12'!$G17),"",IF('Q 12'!$G17="&lt;please select&gt;","",'Q 12'!$G17))</f>
        <v/>
      </c>
    </row>
    <row r="8942" spans="1:7" x14ac:dyDescent="0.3">
      <c r="A8942" t="s">
        <v>2189</v>
      </c>
      <c r="B8942" t="s">
        <v>2190</v>
      </c>
      <c r="C8942">
        <v>2</v>
      </c>
      <c r="D8942" t="s">
        <v>1447</v>
      </c>
      <c r="E8942" t="s">
        <v>2191</v>
      </c>
      <c r="F8942" t="s">
        <v>1741</v>
      </c>
      <c r="G8942" t="str">
        <f>IF(ISBLANK('Q 12'!$G18),"",IF('Q 12'!$G18="&lt;please select&gt;","",'Q 12'!$G18))</f>
        <v/>
      </c>
    </row>
    <row r="8943" spans="1:7" x14ac:dyDescent="0.3">
      <c r="A8943" t="s">
        <v>2189</v>
      </c>
      <c r="B8943" t="s">
        <v>2190</v>
      </c>
      <c r="C8943">
        <v>3</v>
      </c>
      <c r="D8943" t="s">
        <v>1447</v>
      </c>
      <c r="E8943" t="s">
        <v>2191</v>
      </c>
      <c r="F8943" t="s">
        <v>1741</v>
      </c>
      <c r="G8943" t="str">
        <f>IF(ISBLANK('Q 12'!$G19),"",IF('Q 12'!$G19="&lt;please select&gt;","",'Q 12'!$G19))</f>
        <v/>
      </c>
    </row>
    <row r="8944" spans="1:7" x14ac:dyDescent="0.3">
      <c r="A8944" t="s">
        <v>2189</v>
      </c>
      <c r="B8944" t="s">
        <v>2190</v>
      </c>
      <c r="C8944">
        <v>4</v>
      </c>
      <c r="D8944" t="s">
        <v>1447</v>
      </c>
      <c r="E8944" t="s">
        <v>2191</v>
      </c>
      <c r="F8944" t="s">
        <v>1741</v>
      </c>
      <c r="G8944" t="str">
        <f>IF(ISBLANK('Q 12'!$G20),"",IF('Q 12'!$G20="&lt;please select&gt;","",'Q 12'!$G20))</f>
        <v/>
      </c>
    </row>
    <row r="8945" spans="1:10" x14ac:dyDescent="0.3">
      <c r="A8945" t="s">
        <v>2192</v>
      </c>
      <c r="B8945" t="s">
        <v>2193</v>
      </c>
      <c r="C8945">
        <v>1</v>
      </c>
      <c r="D8945" t="s">
        <v>1447</v>
      </c>
      <c r="E8945" t="s">
        <v>2194</v>
      </c>
      <c r="F8945" t="s">
        <v>1748</v>
      </c>
      <c r="H8945" s="165" t="str">
        <f>IF(ISBLANK('Q 12'!$H28),"",IF('Q 12'!$H28="&lt;please select&gt;","",'Q 12'!$H28))</f>
        <v/>
      </c>
    </row>
    <row r="8946" spans="1:10" x14ac:dyDescent="0.3">
      <c r="A8946" t="s">
        <v>2192</v>
      </c>
      <c r="B8946" t="s">
        <v>2193</v>
      </c>
      <c r="C8946">
        <v>2</v>
      </c>
      <c r="D8946" t="s">
        <v>1447</v>
      </c>
      <c r="E8946" t="s">
        <v>2194</v>
      </c>
      <c r="F8946" t="s">
        <v>1748</v>
      </c>
      <c r="H8946" s="165" t="str">
        <f>IF(ISBLANK('Q 12'!$H29),"",IF('Q 12'!$H29="&lt;please select&gt;","",'Q 12'!$H29))</f>
        <v/>
      </c>
    </row>
    <row r="8947" spans="1:10" x14ac:dyDescent="0.3">
      <c r="A8947" t="s">
        <v>2192</v>
      </c>
      <c r="B8947" t="s">
        <v>2193</v>
      </c>
      <c r="C8947">
        <v>3</v>
      </c>
      <c r="D8947" t="s">
        <v>1447</v>
      </c>
      <c r="E8947" t="s">
        <v>2194</v>
      </c>
      <c r="F8947" t="s">
        <v>1748</v>
      </c>
      <c r="H8947" s="165" t="str">
        <f>IF(ISBLANK('Q 12'!$H30),"",IF('Q 12'!$H30="&lt;please select&gt;","",'Q 12'!$H30))</f>
        <v/>
      </c>
    </row>
    <row r="8948" spans="1:10" x14ac:dyDescent="0.3">
      <c r="A8948" t="s">
        <v>2192</v>
      </c>
      <c r="B8948" t="s">
        <v>2193</v>
      </c>
      <c r="C8948">
        <v>4</v>
      </c>
      <c r="D8948" t="s">
        <v>1447</v>
      </c>
      <c r="E8948" t="s">
        <v>2194</v>
      </c>
      <c r="F8948" t="s">
        <v>1748</v>
      </c>
      <c r="H8948" s="165" t="str">
        <f>IF(ISBLANK('Q 12'!$H31),"",IF('Q 12'!$H31="&lt;please select&gt;","",'Q 12'!$H31))</f>
        <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In CRF Category 1=1A2d and Category 2=2H1, This exercise does not account for the emissions associated with transferred CO2, so the total emissions accounted for here will be higher than the total value reported at the national level</v>
      </c>
    </row>
    <row r="8961" spans="1:10" x14ac:dyDescent="0.3">
      <c r="A8961" t="s">
        <v>2195</v>
      </c>
      <c r="B8961" t="s">
        <v>2196</v>
      </c>
      <c r="C8961">
        <v>13</v>
      </c>
      <c r="D8961" t="s">
        <v>1447</v>
      </c>
      <c r="E8961" t="s">
        <v>2197</v>
      </c>
      <c r="F8961" t="s">
        <v>1791</v>
      </c>
      <c r="J8961" t="str">
        <f>IF(ISBLANK('Q 13'!E19),"",IF('Q 13'!E19="&lt;please select&gt;","",'Q 13'!E19))</f>
        <v>Waste Tyres - The default values used were obtained from two separate studies conducted at national level on the basis of laboratory analyses carried out on representative batches received in 2018/2019 (first study) and 2020 (second study). The competent authority intervened in the working group created for this purpose, validating the sampling and analysis methodology. The results of this study will be reviewed for the second period of phase IV.</v>
      </c>
    </row>
    <row r="8962" spans="1:10" x14ac:dyDescent="0.3">
      <c r="A8962" t="s">
        <v>2195</v>
      </c>
      <c r="B8962" t="s">
        <v>2196</v>
      </c>
      <c r="C8962">
        <v>14</v>
      </c>
      <c r="D8962" t="s">
        <v>1447</v>
      </c>
      <c r="E8962" t="s">
        <v>2197</v>
      </c>
      <c r="F8962" t="s">
        <v>1791</v>
      </c>
      <c r="J8962" t="str">
        <f>IF(ISBLANK('Q 13'!E20),"",IF('Q 13'!E20="&lt;please select&gt;","",'Q 13'!E20))</f>
        <v>Estimated values based on the annual emissions reports</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Number of verifiers accredited by a national accreditation body in another Member State that carried out verification in your Member State -1 and the Member State of accreditation - ES</v>
      </c>
    </row>
    <row r="8984" spans="1:10" x14ac:dyDescent="0.3">
      <c r="A8984" t="s">
        <v>2195</v>
      </c>
      <c r="B8984" t="s">
        <v>2196</v>
      </c>
      <c r="C8984">
        <v>36</v>
      </c>
      <c r="D8984" t="s">
        <v>1447</v>
      </c>
      <c r="E8984" t="s">
        <v>2197</v>
      </c>
      <c r="F8984" t="s">
        <v>1791</v>
      </c>
      <c r="J8984" t="str">
        <f>IF(ISBLANK('Q 13'!E42),"",IF('Q 13'!E42="&lt;please select&gt;","",'Q 13'!E42))</f>
        <v>Number of verifiers accredited by a national accreditation body in another Member State that carried out verification in your Member State -1 and the Member State of accreditation - NL</v>
      </c>
    </row>
    <row r="8985" spans="1:10" x14ac:dyDescent="0.3">
      <c r="A8985" t="s">
        <v>2195</v>
      </c>
      <c r="B8985" t="s">
        <v>2196</v>
      </c>
      <c r="C8985">
        <v>37</v>
      </c>
      <c r="D8985" t="s">
        <v>1447</v>
      </c>
      <c r="E8985" t="s">
        <v>2197</v>
      </c>
      <c r="F8985" t="s">
        <v>1791</v>
      </c>
      <c r="J8985" t="str">
        <f>IF(ISBLANK('Q 13'!E43),"",IF('Q 13'!E43="&lt;please select&gt;","",'Q 13'!E43))</f>
        <v>Still to be confirmed if the installation was in operation during the reporting period.</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Permit issuance/ monitoring plan approval:
&lt;25 kt CO2 - 207,96 €
≥25 kt CO2 and &lt;50 kt CO2 - 363,92 €
&gt;50 kt CO2 and ≤500 kt CO2 - 727,85 €
&gt;500 kt CO2 - 1455,69 €
Permit update:
&lt;25 kt CO2 - 103,97 €
≥25 kt CO2 and &lt;50 kt CO2 - 207,96 €
&gt;50 kt CO2 and ≤500 kt CO2 - 415,91 €
&gt;500 kt CO2 - 987,79 €</v>
      </c>
    </row>
    <row r="9017" spans="1:10" x14ac:dyDescent="0.3">
      <c r="A9017" t="s">
        <v>2195</v>
      </c>
      <c r="B9017" t="s">
        <v>2196</v>
      </c>
      <c r="C9017">
        <v>69</v>
      </c>
      <c r="D9017" t="s">
        <v>1447</v>
      </c>
      <c r="E9017" t="s">
        <v>2197</v>
      </c>
      <c r="F9017" t="s">
        <v>1791</v>
      </c>
      <c r="J9017" t="str">
        <f>IF(ISBLANK('Q 13'!E75),"",IF('Q 13'!E75="&lt;please select&gt;","",'Q 13'!E75))</f>
        <v xml:space="preserve">Approval of monitoring plan for emissions and Approval of monitoring plan for tonne-kilometre data:
&lt;25 kt CO2 - 279,14 €
≥25 kt CO2 - 1954,00 €
Approval of change to monitoring plan for emissions and Approval of change to monitoring plan for tonne-kilometre data:
&lt;25 kt CO2 - 139,57 €
≥25 kt CO2 - 1320,56 €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There are no specific arrangements in place to ensure that the competent authorities involved in the implementation of EU ETS are made aware of fraudulent activities.</v>
      </c>
    </row>
    <row r="9033" spans="1:11" x14ac:dyDescent="0.3">
      <c r="A9033" t="s">
        <v>2195</v>
      </c>
      <c r="B9033" t="s">
        <v>2196</v>
      </c>
      <c r="C9033">
        <v>85</v>
      </c>
      <c r="D9033" t="s">
        <v>1447</v>
      </c>
      <c r="E9033" t="s">
        <v>2197</v>
      </c>
      <c r="F9033" t="s">
        <v>1791</v>
      </c>
      <c r="J9033" t="str">
        <f>IF(ISBLANK('Q 13'!E91),"",IF('Q 13'!E91="&lt;please select&gt;","",'Q 13'!E91))</f>
        <v>This Agency is not aware of any ongoing investigation, cases brought to court, or any convictions that have occurred.</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Question 5.6</v>
      </c>
    </row>
    <row r="9045" spans="1:11" x14ac:dyDescent="0.3">
      <c r="A9045" t="s">
        <v>2195</v>
      </c>
      <c r="B9045" t="s">
        <v>2196</v>
      </c>
      <c r="C9045">
        <v>13</v>
      </c>
      <c r="D9045" t="s">
        <v>1447</v>
      </c>
      <c r="E9045" t="s">
        <v>2198</v>
      </c>
      <c r="F9045" t="s">
        <v>1737</v>
      </c>
      <c r="K9045" t="str">
        <f>IF(ISBLANK('Q 13'!$D19),"",IF('Q 13'!$D19="&lt;please select&gt;","",'Q 13'!$D19))</f>
        <v>Question 5.7</v>
      </c>
    </row>
    <row r="9046" spans="1:11" x14ac:dyDescent="0.3">
      <c r="A9046" t="s">
        <v>2195</v>
      </c>
      <c r="B9046" t="s">
        <v>2196</v>
      </c>
      <c r="C9046">
        <v>14</v>
      </c>
      <c r="D9046" t="s">
        <v>1447</v>
      </c>
      <c r="E9046" t="s">
        <v>2198</v>
      </c>
      <c r="F9046" t="s">
        <v>1737</v>
      </c>
      <c r="K9046" t="str">
        <f>IF(ISBLANK('Q 13'!$D20),"",IF('Q 13'!$D20="&lt;please select&gt;","",'Q 13'!$D20))</f>
        <v>Question 5.19</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Question 6.1</v>
      </c>
    </row>
    <row r="9068" spans="1:11" x14ac:dyDescent="0.3">
      <c r="A9068" t="s">
        <v>2195</v>
      </c>
      <c r="B9068" t="s">
        <v>2196</v>
      </c>
      <c r="C9068">
        <v>36</v>
      </c>
      <c r="D9068" t="s">
        <v>1447</v>
      </c>
      <c r="E9068" t="s">
        <v>2198</v>
      </c>
      <c r="F9068" t="s">
        <v>1737</v>
      </c>
      <c r="K9068" t="str">
        <f>IF(ISBLANK('Q 13'!$D42),"",IF('Q 13'!$D42="&lt;please select&gt;","",'Q 13'!$D42))</f>
        <v>Question 6.1</v>
      </c>
    </row>
    <row r="9069" spans="1:11" x14ac:dyDescent="0.3">
      <c r="A9069" t="s">
        <v>2195</v>
      </c>
      <c r="B9069" t="s">
        <v>2196</v>
      </c>
      <c r="C9069">
        <v>37</v>
      </c>
      <c r="D9069" t="s">
        <v>1447</v>
      </c>
      <c r="E9069" t="s">
        <v>2198</v>
      </c>
      <c r="F9069" t="s">
        <v>1737</v>
      </c>
      <c r="K9069" t="str">
        <f>IF(ISBLANK('Q 13'!$D43),"",IF('Q 13'!$D43="&lt;please select&gt;","",'Q 13'!$D43))</f>
        <v>Question 6.3</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Question 9.1</v>
      </c>
    </row>
    <row r="9101" spans="1:11" x14ac:dyDescent="0.3">
      <c r="A9101" t="s">
        <v>2195</v>
      </c>
      <c r="B9101" t="s">
        <v>2196</v>
      </c>
      <c r="C9101">
        <v>69</v>
      </c>
      <c r="D9101" t="s">
        <v>1447</v>
      </c>
      <c r="E9101" t="s">
        <v>2198</v>
      </c>
      <c r="F9101" t="s">
        <v>1737</v>
      </c>
      <c r="K9101" t="str">
        <f>IF(ISBLANK('Q 13'!$D75),"",IF('Q 13'!$D75="&lt;please select&gt;","",'Q 13'!$D75))</f>
        <v>Question 9.2</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Question 12.2</v>
      </c>
    </row>
    <row r="9117" spans="1:11" x14ac:dyDescent="0.3">
      <c r="A9117" t="s">
        <v>2195</v>
      </c>
      <c r="B9117" t="s">
        <v>2196</v>
      </c>
      <c r="C9117">
        <v>85</v>
      </c>
      <c r="D9117" t="s">
        <v>1447</v>
      </c>
      <c r="E9117" t="s">
        <v>2198</v>
      </c>
      <c r="F9117" t="s">
        <v>1737</v>
      </c>
      <c r="K9117" t="str">
        <f>IF(ISBLANK('Q 13'!$D91),"",IF('Q 13'!$D91="&lt;please select&gt;","",'Q 13'!$D91))</f>
        <v>Question 12.3</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Portuguese Environment Agency, Climate Change Department</v>
      </c>
      <c r="F5" s="244"/>
      <c r="G5" s="244"/>
      <c r="H5" s="244"/>
      <c r="I5" s="245"/>
    </row>
    <row r="6" spans="1:9" s="69" customFormat="1" ht="14.4" x14ac:dyDescent="0.3">
      <c r="A6" s="68"/>
      <c r="C6" s="251" t="s">
        <v>654</v>
      </c>
      <c r="D6" s="250"/>
      <c r="E6" s="243" t="str">
        <f>_xlfn.CONCAT(_xlfn.XLOOKUP("[S01_InstitutionDetails][0][ContactPersonName]",Submission!$O:$O,Submission!$H:$N,""))</f>
        <v>Joana Veloso</v>
      </c>
      <c r="F6" s="244"/>
      <c r="G6" s="244"/>
      <c r="H6" s="244"/>
      <c r="I6" s="245"/>
    </row>
    <row r="7" spans="1:9" s="69" customFormat="1" ht="14.4" x14ac:dyDescent="0.3">
      <c r="A7" s="68"/>
      <c r="C7" s="251" t="s">
        <v>655</v>
      </c>
      <c r="D7" s="250"/>
      <c r="E7" s="243" t="str">
        <f>_xlfn.CONCAT(_xlfn.XLOOKUP("[S01_InstitutionDetails][0][ContactPersonJobTitle]",Submission!$O:$O,Submission!$H:$N,""))</f>
        <v>Head of Mitigation and Carbon Markets Unit</v>
      </c>
      <c r="F7" s="244"/>
      <c r="G7" s="244"/>
      <c r="H7" s="244"/>
      <c r="I7" s="245"/>
    </row>
    <row r="8" spans="1:9" s="69" customFormat="1" ht="14.4" x14ac:dyDescent="0.3">
      <c r="A8" s="68"/>
      <c r="C8" s="251" t="s">
        <v>656</v>
      </c>
      <c r="D8" s="250"/>
      <c r="E8" s="243" t="str">
        <f>_xlfn.CONCAT(_xlfn.XLOOKUP("[S01_InstitutionDetails][0][Address]",Submission!$O:$O,Submission!$H:$N,""))</f>
        <v>Rua da Murgueira, 9/9A Zambujal Ap.7585 | 2610-124 Amadora | Portugal</v>
      </c>
      <c r="F8" s="244"/>
      <c r="G8" s="244"/>
      <c r="H8" s="244"/>
      <c r="I8" s="245"/>
    </row>
    <row r="9" spans="1:9" s="69" customFormat="1" ht="14.4" x14ac:dyDescent="0.3">
      <c r="A9" s="68"/>
      <c r="C9" s="251" t="s">
        <v>657</v>
      </c>
      <c r="D9" s="250"/>
      <c r="E9" s="246" t="str">
        <f>_xlfn.CONCAT(_xlfn.XLOOKUP("[S01_InstitutionDetails][0][InternationalTelephoneNumber]",Submission!$O:$O,Submission!$H:$N,""))</f>
        <v xml:space="preserve"> +351 93 789 10 88</v>
      </c>
      <c r="F9" s="247"/>
      <c r="G9" s="247"/>
      <c r="H9" s="247"/>
      <c r="I9" s="248"/>
    </row>
    <row r="10" spans="1:9" s="69" customFormat="1" ht="14.4" x14ac:dyDescent="0.3">
      <c r="A10" s="68"/>
      <c r="C10" s="251" t="s">
        <v>658</v>
      </c>
      <c r="D10" s="250"/>
      <c r="E10" s="252" t="str">
        <f>_xlfn.CONCAT(_xlfn.XLOOKUP("[S01_InstitutionDetails][0][EMail]",Submission!$O:$O,Submission!$H:$N,""))</f>
        <v>joana.veloso@apambiente.pt</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Portuguese Environment Agency, Public Institute</v>
      </c>
      <c r="D7" s="72" t="str">
        <f>_xlfn.CONCAT(_xlfn.XLOOKUP("[S02_CompetentAuthority][1][CAAbbreviation]",Submission!$O:$O,Submission!$H:$N,""))</f>
        <v>APA, I.P.</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351937891088</v>
      </c>
      <c r="H7" s="83" t="str">
        <f>_xlfn.CONCAT(_xlfn.XLOOKUP("[S02_CompetentAuthority][1][CAEmail]",Submission!$O:$O,Submission!$H:$N,""))</f>
        <v>cele@apambiente.pt; joana.veloso@apambiente.pt</v>
      </c>
      <c r="I7" s="72" t="str">
        <f>_xlfn.CONCAT(_xlfn.XLOOKUP("[S02_CompetentAuthority][1][CAWebsite]",Submission!$O:$O,Submission!$H:$N,""))</f>
        <v>http://www.apambiente.pt</v>
      </c>
      <c r="J7" s="79"/>
    </row>
    <row r="8" spans="1:11" s="58" customFormat="1" ht="15.9" customHeight="1" x14ac:dyDescent="0.3">
      <c r="B8" s="79"/>
      <c r="C8" s="71" t="str">
        <f>_xlfn.CONCAT(_xlfn.XLOOKUP("[S02_CompetentAuthority][2][CAName]",Submission!$O:$O,Submission!$H:$N,""))</f>
        <v>Regional Directorate of Environment and Climate Change - Azores</v>
      </c>
      <c r="D8" s="72" t="str">
        <f>_xlfn.CONCAT(_xlfn.XLOOKUP("[S02_CompetentAuthority][2][CAAbbreviation]",Submission!$O:$O,Submission!$H:$N,""))</f>
        <v>DRAAC-Az</v>
      </c>
      <c r="E8" s="72" t="str">
        <f>_xlfn.CONCAT(_xlfn.XLOOKUP("[S02_CompetentAuthority][2][CAType]",Submission!$O:$O,Submission!$H:$N,""))</f>
        <v>Regional competent authority</v>
      </c>
      <c r="F8" s="105" t="str">
        <f>_xlfn.CONCAT(_xlfn.XLOOKUP("[S02_CompetentAuthority][2][CANumber]",Submission!$O:$O,Submission!$H:$N,""))</f>
        <v>1</v>
      </c>
      <c r="G8" s="177" t="str">
        <f>_xlfn.CONCAT(_xlfn.XLOOKUP("[S02_CompetentAuthority][2][CATelephone]",Submission!$O:$O,Submission!$H:$N,""))</f>
        <v>351292207300</v>
      </c>
      <c r="H8" s="83" t="str">
        <f>_xlfn.CONCAT(_xlfn.XLOOKUP("[S02_CompetentAuthority][2][CAEmail]",Submission!$O:$O,Submission!$H:$N,""))</f>
        <v>info.draac@azores.gov.pt</v>
      </c>
      <c r="I8" s="72" t="str">
        <f>_xlfn.CONCAT(_xlfn.XLOOKUP("[S02_CompetentAuthority][2][CAWebsite]",Submission!$O:$O,Submission!$H:$N,""))</f>
        <v>https://portal.azores.gov.pt/web/draac</v>
      </c>
      <c r="J8" s="79"/>
    </row>
    <row r="9" spans="1:11" s="58" customFormat="1" ht="15.9" customHeight="1" x14ac:dyDescent="0.3">
      <c r="B9" s="79"/>
      <c r="C9" s="71" t="str">
        <f>_xlfn.CONCAT(_xlfn.XLOOKUP("[S02_CompetentAuthority][3][CAName]",Submission!$O:$O,Submission!$H:$N,""))</f>
        <v>Regional Directorate of Environment and Climate Change - Madeira</v>
      </c>
      <c r="D9" s="72" t="str">
        <f>_xlfn.CONCAT(_xlfn.XLOOKUP("[S02_CompetentAuthority][3][CAAbbreviation]",Submission!$O:$O,Submission!$H:$N,""))</f>
        <v>DRAAC</v>
      </c>
      <c r="E9" s="72" t="str">
        <f>_xlfn.CONCAT(_xlfn.XLOOKUP("[S02_CompetentAuthority][3][CAType]",Submission!$O:$O,Submission!$H:$N,""))</f>
        <v>Regional competent authority</v>
      </c>
      <c r="F9" s="105" t="str">
        <f>_xlfn.CONCAT(_xlfn.XLOOKUP("[S02_CompetentAuthority][3][CANumber]",Submission!$O:$O,Submission!$H:$N,""))</f>
        <v>1</v>
      </c>
      <c r="G9" s="177" t="str">
        <f>_xlfn.CONCAT(_xlfn.XLOOKUP("[S02_CompetentAuthority][3][CATelephone]",Submission!$O:$O,Submission!$H:$N,""))</f>
        <v>351291207350</v>
      </c>
      <c r="H9" s="83" t="str">
        <f>_xlfn.CONCAT(_xlfn.XLOOKUP("[S02_CompetentAuthority][3][CAEmail]",Submission!$O:$O,Submission!$H:$N,""))</f>
        <v>draac@madeira.gov.pt</v>
      </c>
      <c r="I9" s="72" t="str">
        <f>_xlfn.CONCAT(_xlfn.XLOOKUP("[S02_CompetentAuthority][3][CAWebsite]",Submission!$O:$O,Submission!$H:$N,""))</f>
        <v>http://www.madeira.gov.pt/draac</v>
      </c>
      <c r="J9" s="79"/>
    </row>
    <row r="10" spans="1:11" s="58" customFormat="1" ht="15.9" customHeight="1" x14ac:dyDescent="0.3">
      <c r="B10" s="79"/>
      <c r="C10" s="71" t="str">
        <f>_xlfn.CONCAT(_xlfn.XLOOKUP("[S02_CompetentAuthority][4][CAName]",Submission!$O:$O,Submission!$H:$N,""))</f>
        <v>Inspectorate-General of agriculture, of Sea, of Environment and Territorial Planning</v>
      </c>
      <c r="D10" s="72" t="str">
        <f>_xlfn.CONCAT(_xlfn.XLOOKUP("[S02_CompetentAuthority][4][CAAbbreviation]",Submission!$O:$O,Submission!$H:$N,""))</f>
        <v>IGAMAOT</v>
      </c>
      <c r="E10" s="72" t="str">
        <f>_xlfn.CONCAT(_xlfn.XLOOKUP("[S02_CompetentAuthority][4][CAType]",Submission!$O:$O,Submission!$H:$N,""))</f>
        <v>Other</v>
      </c>
      <c r="F10" s="105" t="str">
        <f>_xlfn.CONCAT(_xlfn.XLOOKUP("[S02_CompetentAuthority][4][CANumber]",Submission!$O:$O,Submission!$H:$N,""))</f>
        <v/>
      </c>
      <c r="G10" s="177" t="str">
        <f>_xlfn.CONCAT(_xlfn.XLOOKUP("[S02_CompetentAuthority][4][CATelephone]",Submission!$O:$O,Submission!$H:$N,""))</f>
        <v>351213215500</v>
      </c>
      <c r="H10" s="83" t="str">
        <f>_xlfn.CONCAT(_xlfn.XLOOKUP("[S02_CompetentAuthority][4][CAEmail]",Submission!$O:$O,Submission!$H:$N,""))</f>
        <v>igamaot@igamaot.gov.pt</v>
      </c>
      <c r="I10" s="72" t="str">
        <f>_xlfn.CONCAT(_xlfn.XLOOKUP("[S02_CompetentAuthority][4][CAWebsite]",Submission!$O:$O,Submission!$H:$N,""))</f>
        <v>http://www.igamaot.gov.pt</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Instituto Português de Acreditação, I.P.</v>
      </c>
      <c r="D39" s="289"/>
      <c r="E39" s="72" t="str">
        <f>_xlfn.CONCAT(_xlfn.XLOOKUP("[S02_AccreditationBody][1][AccBodyAbbreviation]",Submission!$O:$O,Submission!$H:$N,""))</f>
        <v>IPAC I.P.</v>
      </c>
      <c r="F39" s="177" t="str">
        <f>_xlfn.CONCAT(_xlfn.XLOOKUP("[S02_AccreditationBody][1][AccBodyTelephone]",Submission!$O:$O,Submission!$H:$N,""))</f>
        <v>351212948201</v>
      </c>
      <c r="G39" s="77" t="str">
        <f>_xlfn.CONCAT(_xlfn.XLOOKUP("[S02_AccreditationBody][1][AccBodyEmail]",Submission!$O:$O,Submission!$H:$N,""))</f>
        <v>acredita@ipac.pt</v>
      </c>
      <c r="H39" s="292" t="str">
        <f>_xlfn.CONCAT(_xlfn.XLOOKUP("[S02_AccreditationBody][1][AccBodyWebsite]",Submission!$O:$O,Submission!$H:$N,""))</f>
        <v>www.ipac.pt</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Portuguese Environment Agency, Public Institute</v>
      </c>
      <c r="D49" s="289"/>
      <c r="E49" s="72" t="str">
        <f>_xlfn.CONCAT(_xlfn.XLOOKUP("[S02_RegistryAdministrator][1][RegAdminAbbreviation]",Submission!$O:$O,Submission!$H:$N,""))</f>
        <v>APA I.P.</v>
      </c>
      <c r="F49" s="177" t="str">
        <f>_xlfn.CONCAT(_xlfn.XLOOKUP("[S02_RegistryAdministrator][1][RegAdminTelephone]",Submission!$O:$O,Submission!$H:$N,""))</f>
        <v>351214728293</v>
      </c>
      <c r="G49" s="77" t="str">
        <f>_xlfn.CONCAT(_xlfn.XLOOKUP("[S02_RegistryAdministrator][1][RegAdminEmail]",Submission!$O:$O,Submission!$H:$N,""))</f>
        <v>admin@rple.pt</v>
      </c>
      <c r="H49" s="292" t="str">
        <f>_xlfn.CONCAT(_xlfn.XLOOKUP("[S02_RegistryAdministrator][1][RegAdminWebsite]",Submission!$O:$O,Submission!$H:$N,""))</f>
        <v>https://ets-registry.webgate.ec.europa.eu/euregistry/PT/index.xhtml</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APA, DRAAC-Az , DRAAC</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APA, DRAAC-Az , DRAAC</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APA</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APA</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APA</v>
      </c>
      <c r="I58" s="256"/>
    </row>
    <row r="59" spans="1:9" s="79" customFormat="1" ht="28.95" customHeight="1" x14ac:dyDescent="0.3">
      <c r="A59" s="78"/>
      <c r="C59" s="251" t="s">
        <v>691</v>
      </c>
      <c r="D59" s="272"/>
      <c r="E59" s="273"/>
      <c r="F59" s="255" t="str">
        <f>_xlfn.CONCAT(_xlfn.XLOOKUP("[S02_CompetentAuthorityRoles][6][CAForInstallationTask]",Submission!$O:$O,Submission!$H:$N,""))</f>
        <v>APA</v>
      </c>
      <c r="G59" s="256"/>
      <c r="H59" s="255" t="str">
        <f>_xlfn.CONCAT(_xlfn.XLOOKUP("[S02_CompetentAuthorityRoles][6][CAForAviationTask]",Submission!$O:$O,Submission!$H:$N,""))</f>
        <v>APA</v>
      </c>
      <c r="I59" s="256"/>
    </row>
    <row r="60" spans="1:9" s="79" customFormat="1" ht="28.95" customHeight="1" x14ac:dyDescent="0.3">
      <c r="A60" s="78"/>
      <c r="C60" s="251" t="s">
        <v>42</v>
      </c>
      <c r="D60" s="272"/>
      <c r="E60" s="273"/>
      <c r="F60" s="255" t="str">
        <f>_xlfn.CONCAT(_xlfn.XLOOKUP("[S02_CompetentAuthorityRoles][7][CAForInstallationTask]",Submission!$O:$O,Submission!$H:$N,""))</f>
        <v>APA</v>
      </c>
      <c r="G60" s="256"/>
      <c r="H60" s="255" t="str">
        <f>_xlfn.CONCAT(_xlfn.XLOOKUP("[S02_CompetentAuthorityRoles][7][CAForAviationTask]",Submission!$O:$O,Submission!$H:$N,""))</f>
        <v>APA</v>
      </c>
      <c r="I60" s="256"/>
    </row>
    <row r="61" spans="1:9" s="79" customFormat="1" ht="28.95" customHeight="1" x14ac:dyDescent="0.3">
      <c r="A61" s="78"/>
      <c r="C61" s="251" t="s">
        <v>692</v>
      </c>
      <c r="D61" s="272"/>
      <c r="E61" s="273"/>
      <c r="F61" s="255" t="str">
        <f>_xlfn.CONCAT(_xlfn.XLOOKUP("[S02_CompetentAuthorityRoles][8][CAForInstallationTask]",Submission!$O:$O,Submission!$H:$N,""))</f>
        <v>APA,DRAAC-Az , DRAAC</v>
      </c>
      <c r="G61" s="256"/>
      <c r="H61" s="255" t="str">
        <f>_xlfn.CONCAT(_xlfn.XLOOKUP("[S02_CompetentAuthorityRoles][8][CAForAviationTask]",Submission!$O:$O,Submission!$H:$N,""))</f>
        <v>APA</v>
      </c>
      <c r="I61" s="256"/>
    </row>
    <row r="62" spans="1:9" s="79" customFormat="1" ht="28.95" customHeight="1" x14ac:dyDescent="0.3">
      <c r="A62" s="78"/>
      <c r="C62" s="251" t="s">
        <v>693</v>
      </c>
      <c r="D62" s="272"/>
      <c r="E62" s="273"/>
      <c r="F62" s="255" t="str">
        <f>_xlfn.CONCAT(_xlfn.XLOOKUP("[S02_CompetentAuthorityRoles][9][CAForInstallationTask]",Submission!$O:$O,Submission!$H:$N,""))</f>
        <v>APA, DRAAC-Az , DRAAC</v>
      </c>
      <c r="G62" s="256"/>
      <c r="H62" s="255" t="str">
        <f>_xlfn.CONCAT(_xlfn.XLOOKUP("[S02_CompetentAuthorityRoles][9][CAForAviationTask]",Submission!$O:$O,Submission!$H:$N,""))</f>
        <v>APA</v>
      </c>
      <c r="I62" s="256"/>
    </row>
    <row r="63" spans="1:9" s="79" customFormat="1" ht="28.95" customHeight="1" x14ac:dyDescent="0.3">
      <c r="A63" s="78"/>
      <c r="C63" s="251" t="s">
        <v>694</v>
      </c>
      <c r="D63" s="272"/>
      <c r="E63" s="273"/>
      <c r="F63" s="255" t="str">
        <f>_xlfn.CONCAT(_xlfn.XLOOKUP("[S02_CompetentAuthorityRoles][10][CAForInstallationTask]",Submission!$O:$O,Submission!$H:$N,""))</f>
        <v>APA, DRAAC-Az , DRAAC</v>
      </c>
      <c r="G63" s="256"/>
      <c r="H63" s="255" t="str">
        <f>_xlfn.CONCAT(_xlfn.XLOOKUP("[S02_CompetentAuthorityRoles][10][CAForAviationTask]",Submission!$O:$O,Submission!$H:$N,""))</f>
        <v>APA</v>
      </c>
      <c r="I63" s="256"/>
    </row>
    <row r="64" spans="1:9" s="79" customFormat="1" ht="28.95" customHeight="1" x14ac:dyDescent="0.3">
      <c r="A64" s="78"/>
      <c r="C64" s="251" t="s">
        <v>46</v>
      </c>
      <c r="D64" s="272"/>
      <c r="E64" s="273"/>
      <c r="F64" s="255" t="str">
        <f>_xlfn.CONCAT(_xlfn.XLOOKUP("[S02_CompetentAuthorityRoles][11][CAForInstallationTask]",Submission!$O:$O,Submission!$H:$N,""))</f>
        <v>IGAMAOT</v>
      </c>
      <c r="G64" s="256"/>
      <c r="H64" s="255" t="str">
        <f>_xlfn.CONCAT(_xlfn.XLOOKUP("[S02_CompetentAuthorityRoles][11][CAForAviationTask]",Submission!$O:$O,Submission!$H:$N,""))</f>
        <v>IGAMAOT</v>
      </c>
      <c r="I64" s="256"/>
    </row>
    <row r="65" spans="1:9" s="79" customFormat="1" ht="28.95" customHeight="1" x14ac:dyDescent="0.3">
      <c r="A65" s="78"/>
      <c r="C65" s="251" t="s">
        <v>695</v>
      </c>
      <c r="D65" s="272"/>
      <c r="E65" s="273"/>
      <c r="F65" s="255" t="str">
        <f>_xlfn.CONCAT(_xlfn.XLOOKUP("[S02_CompetentAuthorityRoles][12][CAForInstallationTask]",Submission!$O:$O,Submission!$H:$N,""))</f>
        <v>APA</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 xml:space="preserve">APA, DRAAC-Az </v>
      </c>
      <c r="G66" s="256"/>
      <c r="H66" s="261"/>
      <c r="I66" s="261"/>
    </row>
    <row r="67" spans="1:9" s="79" customFormat="1" ht="28.95" customHeight="1" x14ac:dyDescent="0.3">
      <c r="A67" s="78"/>
      <c r="C67" s="80" t="s">
        <v>697</v>
      </c>
      <c r="D67" s="254" t="str">
        <f>_xlfn.CONCAT(_xlfn.XLOOKUP("[S02_CompetentAuthorityRoles][14][OtherDescription]",Submission!$O:$O,Submission!$H:$N,""))</f>
        <v>Information to the public</v>
      </c>
      <c r="E67" s="254"/>
      <c r="F67" s="255" t="str">
        <f>_xlfn.CONCAT(_xlfn.XLOOKUP("[S02_CompetentAuthorityRoles][14][CAForInstallationTask]",Submission!$O:$O,Submission!$H:$N,""))</f>
        <v>APA</v>
      </c>
      <c r="G67" s="256"/>
      <c r="H67" s="255" t="str">
        <f>_xlfn.CONCAT(_xlfn.XLOOKUP("[S02_CompetentAuthorityRoles][14][CAForAviationTask]",Submission!$O:$O,Submission!$H:$N,""))</f>
        <v>APA</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Portuguese Environment Agency, Public Institut</v>
      </c>
      <c r="D82" s="254"/>
      <c r="E82" s="254"/>
      <c r="F82" s="254"/>
      <c r="G82" s="254" t="str">
        <f>_xlfn.CONCAT(_xlfn.XLOOKUP("[S02_CAFocalPoint][0][CAArt70Abbrev]",Submission!$O:$O,Submission!$H:$N,""))</f>
        <v>APA I.P.</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No</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Yes</v>
      </c>
      <c r="H87" s="258" t="str">
        <f>_xlfn.CONCAT(_xlfn.XLOOKUP("[S02_CompetentAuthorityCoordination][2][CACoordinationComment]",Submission!$O:$O,Submission!$H:$N,""))</f>
        <v>When necessary there are meetings with the regional authorities to clarify new rules and procedures.</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No</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Yes</v>
      </c>
      <c r="H89" s="258" t="str">
        <f>_xlfn.CONCAT(_xlfn.XLOOKUP("[S02_CompetentAuthorityCoordination][4][CACoordinationComment]",Submission!$O:$O,Submission!$H:$N,""))</f>
        <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Yes</v>
      </c>
      <c r="H90" s="258" t="str">
        <f>_xlfn.CONCAT(_xlfn.XLOOKUP("[S02_CompetentAuthorityCoordination][5][CACoordinationComment]",Submission!$O:$O,Submission!$H:$N,""))</f>
        <v xml:space="preserve">When necessary </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Yes</v>
      </c>
      <c r="H91" s="258" t="str">
        <f>_xlfn.CONCAT(_xlfn.XLOOKUP("[S02_CompetentAuthorityCoordination][6][CACoordinationComment]",Submission!$O:$O,Submission!$H:$N,""))</f>
        <v>The CA carries out internal coordination and has harmonized internal procedures with respect to permiting, monitoring rules aplication, review of the diferent reports</v>
      </c>
      <c r="I91" s="260"/>
    </row>
    <row r="92" spans="1:9" s="79" customFormat="1" ht="23.4" customHeight="1" x14ac:dyDescent="0.3">
      <c r="A92" s="78"/>
      <c r="C92" s="249" t="s">
        <v>716</v>
      </c>
      <c r="D92" s="257"/>
      <c r="E92" s="250"/>
      <c r="F92" s="258" t="str">
        <f>_xlfn.CONCAT(_xlfn.XLOOKUP("[S02_CompetentAuthorityCoordination][7][OtherDescription]",Submission!$O:$O,Submission!$H:$N,""))</f>
        <v>Yes</v>
      </c>
      <c r="G92" s="259"/>
      <c r="H92" s="258" t="str">
        <f>_xlfn.CONCAT(_xlfn.XLOOKUP("[S02_CompetentAuthorityCoordination][7][CACoordinationComment]",Submission!$O:$O,Submission!$H:$N,""))</f>
        <v>In relation to the ETS permit procedure the CA also carries out coordination activities with the CA responsable for the permit under the integrated pollution prevention and control Directive.</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Yes</v>
      </c>
      <c r="H100" s="274" t="str">
        <f>_xlfn.CONCAT(_xlfn.XLOOKUP("[S02_InformationExchangeAccBodyAndCA][1][InfoExchangeComment]",Submission!$O:$O,Submission!$H:$N,""))</f>
        <v>IPAC has established a Technical Comittee (CTaC) with regular meetings, with the presence of all accredited verifiers and the Competent Authority.
Where there are relevant issues for EU ETS verifiers they are discussed in these meetings.</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Yes</v>
      </c>
      <c r="H101" s="274" t="str">
        <f>_xlfn.CONCAT(_xlfn.XLOOKUP("[S02_InformationExchangeAccBodyAndCA][2][InfoExchangeComment]",Submission!$O:$O,Submission!$H:$N,""))</f>
        <v>IPAC has established a Technical Comittee (CTaC) with regular meetings, with the presence of all accredited verifiers and the Competent Authority.
Where there are relevant issues for EU ETS verifiers they are discussed in these meetings.</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
      </c>
      <c r="I102" s="259"/>
    </row>
    <row r="103" spans="1:9" s="79" customFormat="1" ht="27.6" customHeight="1" x14ac:dyDescent="0.3">
      <c r="A103" s="78"/>
      <c r="C103" s="249" t="s">
        <v>716</v>
      </c>
      <c r="D103" s="257"/>
      <c r="E103" s="250"/>
      <c r="F103" s="258" t="str">
        <f>_xlfn.CONCAT(_xlfn.XLOOKUP("[S02_InformationExchangeAccBodyAndCA][4][OtherDescription]",Submission!$O:$O,Submission!$H:$N,""))</f>
        <v>No</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142</v>
      </c>
      <c r="H7" s="305"/>
      <c r="I7" s="306"/>
    </row>
    <row r="8" spans="1:9" s="7" customFormat="1" ht="15" customHeight="1" x14ac:dyDescent="0.3">
      <c r="A8" s="8"/>
      <c r="C8" s="301" t="s">
        <v>727</v>
      </c>
      <c r="D8" s="302"/>
      <c r="E8" s="302"/>
      <c r="F8" s="303"/>
      <c r="G8" s="304" t="str">
        <f>_xlfn.CONCAT(_xlfn.XLOOKUP("[S03_EmittingInstallations][2][NumberOfInstallations]",Submission!$O:$O,Submission!$H:$N,""))</f>
        <v>100</v>
      </c>
      <c r="H8" s="305"/>
      <c r="I8" s="306"/>
    </row>
    <row r="9" spans="1:9" s="7" customFormat="1" ht="15" customHeight="1" x14ac:dyDescent="0.3">
      <c r="A9" s="8"/>
      <c r="C9" s="301" t="s">
        <v>728</v>
      </c>
      <c r="D9" s="302"/>
      <c r="E9" s="302"/>
      <c r="F9" s="303"/>
      <c r="G9" s="304" t="str">
        <f>_xlfn.CONCAT(_xlfn.XLOOKUP("[S03_EmittingInstallations][3][NumberOfInstallations]",Submission!$O:$O,Submission!$H:$N,""))</f>
        <v>30</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12</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73</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Yes</v>
      </c>
      <c r="I16" s="300"/>
    </row>
    <row r="17" spans="3:9" s="11" customFormat="1" ht="14.4" x14ac:dyDescent="0.3">
      <c r="C17" s="296" t="s">
        <v>735</v>
      </c>
      <c r="D17" s="297"/>
      <c r="E17" s="297"/>
      <c r="F17" s="297"/>
      <c r="G17" s="298"/>
      <c r="H17" s="299" t="str">
        <f>_xlfn.CONCAT(_xlfn.XLOOKUP("[S03_ActivityPermits][3][ActivityPermitsIssued]",Submission!$O:$O,Submission!$H:$N,""))</f>
        <v>No</v>
      </c>
      <c r="I17" s="300"/>
    </row>
    <row r="18" spans="3:9" s="11" customFormat="1" ht="14.4" x14ac:dyDescent="0.3">
      <c r="C18" s="296" t="s">
        <v>736</v>
      </c>
      <c r="D18" s="297"/>
      <c r="E18" s="297"/>
      <c r="F18" s="297"/>
      <c r="G18" s="298"/>
      <c r="H18" s="299" t="str">
        <f>_xlfn.CONCAT(_xlfn.XLOOKUP("[S03_ActivityPermits][4][ActivityPermitsIssued]",Submission!$O:$O,Submission!$H:$N,""))</f>
        <v>No</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No</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Yes</v>
      </c>
      <c r="I28" s="300"/>
    </row>
    <row r="29" spans="3:9" s="11" customFormat="1" ht="14.4" x14ac:dyDescent="0.3">
      <c r="C29" s="296" t="s">
        <v>747</v>
      </c>
      <c r="D29" s="297"/>
      <c r="E29" s="297"/>
      <c r="F29" s="297"/>
      <c r="G29" s="298"/>
      <c r="H29" s="299" t="str">
        <f>_xlfn.CONCAT(_xlfn.XLOOKUP("[S03_ActivityPermits][15][ActivityPermitsIssued]",Submission!$O:$O,Submission!$H:$N,""))</f>
        <v>Yes</v>
      </c>
      <c r="I29" s="300"/>
    </row>
    <row r="30" spans="3:9" s="11" customFormat="1" ht="14.4" x14ac:dyDescent="0.3">
      <c r="C30" s="296" t="s">
        <v>748</v>
      </c>
      <c r="D30" s="297"/>
      <c r="E30" s="297"/>
      <c r="F30" s="297"/>
      <c r="G30" s="298"/>
      <c r="H30" s="299" t="str">
        <f>_xlfn.CONCAT(_xlfn.XLOOKUP("[S03_ActivityPermits][16][ActivityPermitsIssued]",Submission!$O:$O,Submission!$H:$N,""))</f>
        <v>Yes</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Yes</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No</v>
      </c>
      <c r="I36" s="300"/>
    </row>
    <row r="37" spans="1:9" s="11" customFormat="1" ht="14.4" x14ac:dyDescent="0.3">
      <c r="C37" s="296" t="s">
        <v>755</v>
      </c>
      <c r="D37" s="297"/>
      <c r="E37" s="297"/>
      <c r="F37" s="297"/>
      <c r="G37" s="298"/>
      <c r="H37" s="299" t="str">
        <f>_xlfn.CONCAT(_xlfn.XLOOKUP("[S03_ActivityPermits][23][ActivityPermitsIssued]",Submission!$O:$O,Submission!$H:$N,""))</f>
        <v>Yes</v>
      </c>
      <c r="I37" s="300"/>
    </row>
    <row r="38" spans="1:9" s="11" customFormat="1" ht="15" x14ac:dyDescent="0.3">
      <c r="C38" s="296" t="s">
        <v>756</v>
      </c>
      <c r="D38" s="297"/>
      <c r="E38" s="297"/>
      <c r="F38" s="297"/>
      <c r="G38" s="298"/>
      <c r="H38" s="299" t="str">
        <f>_xlfn.CONCAT(_xlfn.XLOOKUP("[S03_ActivityPermits][24][ActivityPermitsIssued]",Submission!$O:$O,Submission!$H:$N,""))</f>
        <v>Yes</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Yes</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Article 27</v>
      </c>
      <c r="D51" s="340"/>
      <c r="E51" s="341"/>
      <c r="F51" s="346" t="str">
        <f>_xlfn.CONCAT(_xlfn.XLOOKUP("[S03_InstallationsExcludedArt27Detail][1][InstallationsExcludedEmissions]",Submission!$O:$O,Submission!$H:$N,""))</f>
        <v>96399</v>
      </c>
      <c r="G51" s="326"/>
      <c r="H51" s="325" t="str">
        <f>_xlfn.CONCAT(_xlfn.XLOOKUP("[S03_InstallationsExcludedArt27Detail][1][InstallationsExceededThreshold]",Submission!$O:$O,Submission!$H:$N,""))</f>
        <v>0</v>
      </c>
      <c r="I51" s="326"/>
    </row>
    <row r="52" spans="1:12" s="7" customFormat="1" ht="14.4" x14ac:dyDescent="0.3">
      <c r="A52" s="8"/>
      <c r="C52" s="299" t="str">
        <f>_xlfn.CONCAT(_xlfn.XLOOKUP("[S03_InstallationsExcludedArt27Detail][2][ExclusionArticle]",Submission!$O:$O,Submission!$H:$N,""))</f>
        <v>Article 27a (1)</v>
      </c>
      <c r="D52" s="340"/>
      <c r="E52" s="341"/>
      <c r="F52" s="325" t="str">
        <f>_xlfn.CONCAT(_xlfn.XLOOKUP("[S03_InstallationsExcludedArt27Detail][2][InstallationsExcludedEmissions]",Submission!$O:$O,Submission!$H:$N,""))</f>
        <v>1839</v>
      </c>
      <c r="G52" s="326"/>
      <c r="H52" s="325" t="str">
        <f>_xlfn.CONCAT(_xlfn.XLOOKUP("[S03_InstallationsExcludedArt27Detail][2][InstallationsExceededThreshold]",Submission!$O:$O,Submission!$H:$N,""))</f>
        <v>0</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1</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0</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3</v>
      </c>
      <c r="H64" s="132" t="str">
        <f>_xlfn.CONCAT(_xlfn.XLOOKUP("[S03_AircraftAnnex1Activities][1][NumberNonCommercialOperators]",Submission!$O:$O,Submission!$H:$N,""))</f>
        <v>0</v>
      </c>
      <c r="I64" s="132" t="str">
        <f>_xlfn.CONCAT(_xlfn.XLOOKUP("[S03_AircraftAnnex1Activities][1][NumberTotalOperators]",Submission!$O:$O,Submission!$H:$N,""))</f>
        <v>3</v>
      </c>
    </row>
    <row r="65" spans="3:9" ht="15.9" customHeight="1" x14ac:dyDescent="0.3">
      <c r="C65" s="322" t="s">
        <v>782</v>
      </c>
      <c r="D65" s="323"/>
      <c r="E65" s="323"/>
      <c r="F65" s="324"/>
      <c r="G65" s="132" t="str">
        <f>_xlfn.CONCAT(_xlfn.XLOOKUP("[S03_AircraftAnnex1Activities][2][NumberCommercialOperators]",Submission!$O:$O,Submission!$H:$N,""))</f>
        <v>0</v>
      </c>
      <c r="H65" s="132" t="str">
        <f>_xlfn.CONCAT(_xlfn.XLOOKUP("[S03_AircraftAnnex1Activities][2][NumberNonCommercialOperators]",Submission!$O:$O,Submission!$H:$N,""))</f>
        <v>1</v>
      </c>
      <c r="I65" s="132" t="str">
        <f>_xlfn.CONCAT(_xlfn.XLOOKUP("[S03_AircraftAnnex1Activities][2][NumberTotalOperators]",Submission!$O:$O,Submission!$H:$N,""))</f>
        <v>1</v>
      </c>
    </row>
    <row r="66" spans="3:9" ht="15.9" customHeight="1" x14ac:dyDescent="0.3">
      <c r="C66" s="322" t="s">
        <v>780</v>
      </c>
      <c r="D66" s="323"/>
      <c r="E66" s="323"/>
      <c r="F66" s="324"/>
      <c r="G66" s="132" t="str">
        <f>_xlfn.CONCAT(_xlfn.XLOOKUP("[S03_AircraftAnnex1Activities][3][NumberCommercialOperators]",Submission!$O:$O,Submission!$H:$N,""))</f>
        <v>3</v>
      </c>
      <c r="H66" s="132" t="str">
        <f>_xlfn.CONCAT(_xlfn.XLOOKUP("[S03_AircraftAnnex1Activities][3][NumberNonCommercialOperators]",Submission!$O:$O,Submission!$H:$N,""))</f>
        <v>1</v>
      </c>
      <c r="I66" s="132" t="str">
        <f>_xlfn.CONCAT(_xlfn.XLOOKUP("[S03_AircraftAnnex1Activities][3][NumberTotalOperators]",Submission!$O:$O,Submission!$H:$N,""))</f>
        <v>4</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Yes</v>
      </c>
      <c r="H8" s="258" t="str">
        <f>_xlfn.CONCAT(_xlfn.XLOOKUP("[S04_IEDProcedureRequirementsIntegratedYes][1][IntegrationComments]",Submission!$O:$O,Submission!$H:$N,""))</f>
        <v>The EU ETS permit is an annex of the IED permit. However, the issuing of these documents is performed by different departments, both within APA.</v>
      </c>
      <c r="I8" s="260"/>
    </row>
    <row r="9" spans="1:9" s="58" customFormat="1" ht="31.95" customHeight="1" x14ac:dyDescent="0.3">
      <c r="A9" s="75"/>
      <c r="C9" s="249" t="s">
        <v>789</v>
      </c>
      <c r="D9" s="272"/>
      <c r="E9" s="272"/>
      <c r="F9" s="273"/>
      <c r="G9" s="63" t="str">
        <f>_xlfn.CONCAT(_xlfn.XLOOKUP("[S04_IEDProcedureRequirementsIntegratedYes][2][IntegrationYesNo]",Submission!$O:$O,Submission!$H:$N,""))</f>
        <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The approval of monitoring plans and assessment of emissions reports are carried by the Climate Change department. Information on the emission data reported under the ETS, after being aproved and reviewed by the ETS team is aldo shared with the colleagues responsable for the Pollutant Release and Transfer Register (PRTR).</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The inspection of the EU ETS activities is carried by a different entity: General Inspection of Agriculture, Sea, Environment and Territorial Planning (IGAMAOT).</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No</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Under the national law the permit is withdrawn (Under article 9 (1) (2) of Decree-Law 12/2020, 06 April) when: the installation ceased operation, the industrial permit expired or was revoked, the installation went out of scope of the EU ETS or when the request for a permit under EID Directive was rejected, or the permit expired or was revoked.</v>
      </c>
      <c r="H19" s="349"/>
      <c r="I19" s="350"/>
    </row>
    <row r="20" spans="1:9" ht="15.9" customHeight="1" x14ac:dyDescent="0.3">
      <c r="C20" s="301" t="s">
        <v>797</v>
      </c>
      <c r="D20" s="332"/>
      <c r="E20" s="332"/>
      <c r="F20" s="347"/>
      <c r="G20" s="348" t="str">
        <f>_xlfn.CONCAT(_xlfn.XLOOKUP("[S04_NationalLawPermitUpdate][2][PermitUpdateNationalLawDetail]",Submission!$O:$O,Submission!$H:$N,""))</f>
        <v>No</v>
      </c>
      <c r="H20" s="349"/>
      <c r="I20" s="350"/>
    </row>
    <row r="21" spans="1:9" ht="15.9" customHeight="1" x14ac:dyDescent="0.3">
      <c r="C21" s="301" t="s">
        <v>134</v>
      </c>
      <c r="D21" s="332"/>
      <c r="E21" s="332"/>
      <c r="F21" s="347"/>
      <c r="G21" s="348" t="str">
        <f>_xlfn.CONCAT(_xlfn.XLOOKUP("[S04_NationalLawPermitUpdate][3][PermitUpdateNationalLawDetail]",Submission!$O:$O,Submission!$H:$N,""))</f>
        <v>The permit is updated when the increase of capacity is associated with significant modifications of the monitoring plan according to the Commission Implementing Regulation (EU) 2018/2066 of 19 December 2018, amended and corrected by Commission Implementing Regulation (EU) 2020/2085 of 14 December 2020. For example the introduction of new source streams or emission sources.</v>
      </c>
      <c r="H21" s="349"/>
      <c r="I21" s="350"/>
    </row>
    <row r="22" spans="1:9" ht="15.9" customHeight="1" x14ac:dyDescent="0.3">
      <c r="C22" s="301" t="s">
        <v>136</v>
      </c>
      <c r="D22" s="332"/>
      <c r="E22" s="332"/>
      <c r="F22" s="347"/>
      <c r="G22" s="348" t="str">
        <f>_xlfn.CONCAT(_xlfn.XLOOKUP("[S04_NationalLawPermitUpdate][4][PermitUpdateNationalLawDetail]",Submission!$O:$O,Submission!$H:$N,""))</f>
        <v>The permit is updated when the decrease of capacity is associated with significant modifications of the monitoring plan according to the Commission Implementing Regulation (EU) 2018/2066 of 19 December 2018, amended and corrected by Commission Implementing Regulation (EU) 2020/2085 of 14 December 2020. For example the removal of emission sources.</v>
      </c>
      <c r="H22" s="349"/>
      <c r="I22" s="350"/>
    </row>
    <row r="23" spans="1:9" ht="15.9" customHeight="1" x14ac:dyDescent="0.3">
      <c r="C23" s="301" t="s">
        <v>138</v>
      </c>
      <c r="D23" s="332"/>
      <c r="E23" s="332"/>
      <c r="F23" s="347"/>
      <c r="G23" s="348" t="str">
        <f>_xlfn.CONCAT(_xlfn.XLOOKUP("[S04_NationalLawPermitUpdate][5][PermitUpdateNationalLawDetail]",Submission!$O:$O,Submission!$H:$N,""))</f>
        <v>The permit is updated when there are significant modifications of the monitoring plan according to the Commission Implementing Regulation (EU) 2018/2066 of 19 December 2018, amended and corrected by Commission Implementing Regulation (EU) 2020/2085 of 14 December 2020.</v>
      </c>
      <c r="H23" s="349"/>
      <c r="I23" s="350"/>
    </row>
    <row r="24" spans="1:9" ht="15.9" customHeight="1" x14ac:dyDescent="0.3">
      <c r="C24" s="301" t="s">
        <v>798</v>
      </c>
      <c r="D24" s="332"/>
      <c r="E24" s="332"/>
      <c r="F24" s="347"/>
      <c r="G24" s="348" t="str">
        <f>_xlfn.CONCAT(_xlfn.XLOOKUP("[S04_NationalLawPermitUpdate][6][PermitUpdateNationalLawDetail]",Submission!$O:$O,Submission!$H:$N,""))</f>
        <v>Yes. Changes of the Tax number leads to permit update.</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18</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No</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No</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
      </c>
      <c r="I17" s="394"/>
    </row>
    <row r="18" spans="1:9" s="58" customFormat="1" ht="32.4" customHeight="1" x14ac:dyDescent="0.3">
      <c r="C18" s="382" t="s">
        <v>817</v>
      </c>
      <c r="D18" s="382"/>
      <c r="E18" s="382"/>
      <c r="F18" s="382"/>
      <c r="G18" s="47" t="str">
        <f>_xlfn.CONCAT(_xlfn.XLOOKUP("[MeasuresStreamline][3][MeasuresStreamlineYesNo]",Submission!$O:$O,Submission!$H:$N,""))</f>
        <v>Yes</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Yes</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Yes</v>
      </c>
      <c r="H21" s="394" t="str">
        <f>_xlfn.CONCAT(_xlfn.XLOOKUP("[MeasuresStreamline][6][MeasuresStreamlineComments]",Submission!$O:$O,Submission!$H:$N,""))</f>
        <v xml:space="preserve">Information reported is shared between the diferent regimes and there is good colaboration between the diferent teams (all belongin to APA) </v>
      </c>
      <c r="I21" s="394"/>
    </row>
    <row r="22" spans="1:9" s="58" customFormat="1" ht="32.4" customHeight="1" x14ac:dyDescent="0.3">
      <c r="A22" s="75"/>
      <c r="C22" s="249" t="s">
        <v>821</v>
      </c>
      <c r="D22" s="272"/>
      <c r="E22" s="272"/>
      <c r="F22" s="273"/>
      <c r="G22" s="47" t="str">
        <f>_xlfn.CONCAT(_xlfn.XLOOKUP("[MeasuresStreamline][7][MeasuresStreamlineYesNo]",Submission!$O:$O,Submission!$H:$N,""))</f>
        <v>No</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Yes</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A few years ago it was created an IT platform that allows the submission of all the reports from stationary installation and aircraft operators through this system.</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8014.89</v>
      </c>
      <c r="G53" s="378"/>
      <c r="H53" s="375" t="str">
        <f>_xlfn.CONCAT(_xlfn.XLOOKUP("[S05_InstallationFuelConsEmissions][1][FuelAnnualEmissions]",Submission!$O:$O,Submission!$H:$N,""))</f>
        <v>731666.7</v>
      </c>
      <c r="I53" s="376"/>
    </row>
    <row r="54" spans="1:9" ht="15.9" customHeight="1" x14ac:dyDescent="0.3">
      <c r="C54" s="251" t="s">
        <v>197</v>
      </c>
      <c r="D54" s="257"/>
      <c r="E54" s="250"/>
      <c r="F54" s="377" t="str">
        <f>_xlfn.CONCAT(_xlfn.XLOOKUP("[S05_InstallationFuelConsEmissions][2][FuelConsumption]",Submission!$O:$O,Submission!$H:$N,""))</f>
        <v>0</v>
      </c>
      <c r="G54" s="378"/>
      <c r="H54" s="375" t="str">
        <f>_xlfn.CONCAT(_xlfn.XLOOKUP("[S05_InstallationFuelConsEmissions][2][FuelAnnualEmissions]",Submission!$O:$O,Submission!$H:$N,""))</f>
        <v>0</v>
      </c>
      <c r="I54" s="376"/>
    </row>
    <row r="55" spans="1:9" ht="15.9" customHeight="1" x14ac:dyDescent="0.3">
      <c r="C55" s="251" t="s">
        <v>199</v>
      </c>
      <c r="D55" s="257"/>
      <c r="E55" s="250"/>
      <c r="F55" s="377" t="str">
        <f>_xlfn.CONCAT(_xlfn.XLOOKUP("[S05_InstallationFuelConsEmissions][3][FuelConsumption]",Submission!$O:$O,Submission!$H:$N,""))</f>
        <v>0</v>
      </c>
      <c r="G55" s="378"/>
      <c r="H55" s="375" t="str">
        <f>_xlfn.CONCAT(_xlfn.XLOOKUP("[S05_InstallationFuelConsEmissions][3][FuelAnnualEmissions]",Submission!$O:$O,Submission!$H:$N,""))</f>
        <v>0</v>
      </c>
      <c r="I55" s="376"/>
    </row>
    <row r="56" spans="1:9" ht="15.9" customHeight="1" x14ac:dyDescent="0.3">
      <c r="C56" s="251" t="s">
        <v>201</v>
      </c>
      <c r="D56" s="257"/>
      <c r="E56" s="250"/>
      <c r="F56" s="377" t="str">
        <f>_xlfn.CONCAT(_xlfn.XLOOKUP("[S05_InstallationFuelConsEmissions][4][FuelConsumption]",Submission!$O:$O,Submission!$H:$N,""))</f>
        <v>0</v>
      </c>
      <c r="G56" s="378"/>
      <c r="H56" s="375" t="str">
        <f>_xlfn.CONCAT(_xlfn.XLOOKUP("[S05_InstallationFuelConsEmissions][4][FuelAnnualEmissions]",Submission!$O:$O,Submission!$H:$N,""))</f>
        <v>0</v>
      </c>
      <c r="I56" s="376"/>
    </row>
    <row r="57" spans="1:9" ht="15.9" customHeight="1" x14ac:dyDescent="0.3">
      <c r="C57" s="251" t="s">
        <v>846</v>
      </c>
      <c r="D57" s="257"/>
      <c r="E57" s="250"/>
      <c r="F57" s="377" t="str">
        <f>_xlfn.CONCAT(_xlfn.XLOOKUP("[S05_InstallationFuelConsEmissions][5][FuelConsumption]",Submission!$O:$O,Submission!$H:$N,""))</f>
        <v>138850.94</v>
      </c>
      <c r="G57" s="378"/>
      <c r="H57" s="375" t="str">
        <f>_xlfn.CONCAT(_xlfn.XLOOKUP("[S05_InstallationFuelConsEmissions][5][FuelAnnualEmissions]",Submission!$O:$O,Submission!$H:$N,""))</f>
        <v>7734752.7</v>
      </c>
      <c r="I57" s="376"/>
    </row>
    <row r="58" spans="1:9" ht="15.9" customHeight="1" x14ac:dyDescent="0.3">
      <c r="C58" s="251" t="s">
        <v>847</v>
      </c>
      <c r="D58" s="257"/>
      <c r="E58" s="250"/>
      <c r="F58" s="377" t="str">
        <f>_xlfn.CONCAT(_xlfn.XLOOKUP("[S05_InstallationFuelConsEmissions][6][FuelConsumption]",Submission!$O:$O,Submission!$H:$N,""))</f>
        <v>0</v>
      </c>
      <c r="G58" s="378"/>
      <c r="H58" s="375" t="str">
        <f>_xlfn.CONCAT(_xlfn.XLOOKUP("[S05_InstallationFuelConsEmissions][6][FuelAnnualEmissions]",Submission!$O:$O,Submission!$H:$N,""))</f>
        <v>0</v>
      </c>
      <c r="I58" s="376"/>
    </row>
    <row r="59" spans="1:9" ht="15.9" customHeight="1" x14ac:dyDescent="0.3">
      <c r="C59" s="251" t="s">
        <v>848</v>
      </c>
      <c r="D59" s="257"/>
      <c r="E59" s="250"/>
      <c r="F59" s="377" t="str">
        <f>_xlfn.CONCAT(_xlfn.XLOOKUP("[S05_InstallationFuelConsEmissions][7][FuelConsumption]",Submission!$O:$O,Submission!$H:$N,""))</f>
        <v>0</v>
      </c>
      <c r="G59" s="378"/>
      <c r="H59" s="375" t="str">
        <f>_xlfn.CONCAT(_xlfn.XLOOKUP("[S05_InstallationFuelConsEmissions][7][FuelAnnualEmissions]",Submission!$O:$O,Submission!$H:$N,""))</f>
        <v>0</v>
      </c>
      <c r="I59" s="376"/>
    </row>
    <row r="60" spans="1:9" ht="15.9" customHeight="1" x14ac:dyDescent="0.3">
      <c r="C60" s="251" t="s">
        <v>207</v>
      </c>
      <c r="D60" s="257"/>
      <c r="E60" s="250"/>
      <c r="F60" s="377" t="str">
        <f>_xlfn.CONCAT(_xlfn.XLOOKUP("[S05_InstallationFuelConsEmissions][8][FuelConsumption]",Submission!$O:$O,Submission!$H:$N,""))</f>
        <v>29071.28</v>
      </c>
      <c r="G60" s="378"/>
      <c r="H60" s="375" t="str">
        <f>_xlfn.CONCAT(_xlfn.XLOOKUP("[S05_InstallationFuelConsEmissions][8][FuelAnnualEmissions]",Submission!$O:$O,Submission!$H:$N,""))</f>
        <v>1502511.5</v>
      </c>
      <c r="I60" s="376"/>
    </row>
    <row r="61" spans="1:9" ht="15.9" customHeight="1" x14ac:dyDescent="0.3">
      <c r="C61" s="251" t="s">
        <v>849</v>
      </c>
      <c r="D61" s="257"/>
      <c r="E61" s="250"/>
      <c r="F61" s="377" t="str">
        <f>_xlfn.CONCAT(_xlfn.XLOOKUP("[S05_InstallationFuelConsEmissions][9][FuelConsumption]",Submission!$O:$O,Submission!$H:$N,""))</f>
        <v>10880.57</v>
      </c>
      <c r="G61" s="378"/>
      <c r="H61" s="375" t="str">
        <f>_xlfn.CONCAT(_xlfn.XLOOKUP("[S05_InstallationFuelConsEmissions][9][FuelAnnualEmissions]",Submission!$O:$O,Submission!$H:$N,""))</f>
        <v>859467.7</v>
      </c>
      <c r="I61" s="376"/>
    </row>
    <row r="62" spans="1:9" ht="15.9" customHeight="1" x14ac:dyDescent="0.3">
      <c r="C62" s="251" t="s">
        <v>211</v>
      </c>
      <c r="D62" s="257"/>
      <c r="E62" s="250"/>
      <c r="F62" s="377" t="str">
        <f>_xlfn.CONCAT(_xlfn.XLOOKUP("[S05_InstallationFuelConsEmissions][10][FuelConsumption]",Submission!$O:$O,Submission!$H:$N,""))</f>
        <v>268.08</v>
      </c>
      <c r="G62" s="378"/>
      <c r="H62" s="375" t="str">
        <f>_xlfn.CONCAT(_xlfn.XLOOKUP("[S05_InstallationFuelConsEmissions][10][FuelAnnualEmissions]",Submission!$O:$O,Submission!$H:$N,""))</f>
        <v>15339.1</v>
      </c>
      <c r="I62" s="376"/>
    </row>
    <row r="63" spans="1:9" ht="15.9" customHeight="1" x14ac:dyDescent="0.3">
      <c r="C63" s="251" t="s">
        <v>212</v>
      </c>
      <c r="D63" s="257"/>
      <c r="E63" s="250"/>
      <c r="F63" s="377" t="str">
        <f>_xlfn.CONCAT(_xlfn.XLOOKUP("[S05_InstallationFuelConsEmissions][11][FuelConsumption]",Submission!$O:$O,Submission!$H:$N,""))</f>
        <v>10238.02</v>
      </c>
      <c r="G63" s="378"/>
      <c r="H63" s="375" t="str">
        <f>_xlfn.CONCAT(_xlfn.XLOOKUP("[S05_InstallationFuelConsEmissions][11][FuelAnnualEmissions]",Submission!$O:$O,Submission!$H:$N,""))</f>
        <v>967943.3</v>
      </c>
      <c r="I63" s="376"/>
    </row>
    <row r="64" spans="1:9" ht="15.9" customHeight="1" x14ac:dyDescent="0.3">
      <c r="C64" s="251" t="s">
        <v>850</v>
      </c>
      <c r="D64" s="257"/>
      <c r="E64" s="250"/>
      <c r="F64" s="377" t="str">
        <f>_xlfn.CONCAT(_xlfn.XLOOKUP("[S05_InstallationFuelConsEmissions][12][FuelConsumption]",Submission!$O:$O,Submission!$H:$N,""))</f>
        <v>5726.89000000001</v>
      </c>
      <c r="G64" s="378"/>
      <c r="H64" s="375" t="str">
        <f>_xlfn.CONCAT(_xlfn.XLOOKUP("[S05_InstallationFuelConsEmissions][12][FuelAnnualEmissions]",Submission!$O:$O,Submission!$H:$N,""))</f>
        <v>496872.1</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
      </c>
      <c r="F69" s="366"/>
      <c r="G69" s="126" t="str">
        <f>_xlfn.CONCAT(_xlfn.XLOOKUP("[S05_AggregateTotalEmissionsByCRF][1][TotalEmissionsTCo2e]",Submission!$O:$O,Submission!$H:$N,""))</f>
        <v>5053489</v>
      </c>
      <c r="H69" s="126" t="str">
        <f>_xlfn.CONCAT(_xlfn.XLOOKUP("[S05_AggregateTotalEmissionsByCRF][1][TotalCombustionEmissionsTCo2e]",Submission!$O:$O,Submission!$H:$N,""))</f>
        <v>5053489</v>
      </c>
      <c r="I69" s="126" t="str">
        <f>_xlfn.CONCAT(_xlfn.XLOOKUP("[S05_AggregateTotalEmissionsByCRF][1][TotalProcessEmissionsTCo2e]",Submission!$O:$O,Submission!$H:$N,""))</f>
        <v>0</v>
      </c>
    </row>
    <row r="70" spans="1:14" ht="16.2" customHeight="1" x14ac:dyDescent="0.3">
      <c r="C70" s="365" t="str">
        <f>_xlfn.CONCAT(_xlfn.XLOOKUP("[S05_AggregateTotalEmissionsByCRF][2][CRFCategory1]",Submission!$O:$O,Submission!$H:$N,""))</f>
        <v>1A1a - Energy - Public Electricity and Heat Production</v>
      </c>
      <c r="D70" s="366"/>
      <c r="E70" s="367" t="str">
        <f>_xlfn.CONCAT(_xlfn.XLOOKUP("[S05_AggregateTotalEmissionsByCRF][2][CRFCategory2]",Submission!$O:$O,Submission!$H:$N,""))</f>
        <v>2A4 - Process - Other Process Uses of Carbonates</v>
      </c>
      <c r="F70" s="368"/>
      <c r="G70" s="126" t="str">
        <f>_xlfn.CONCAT(_xlfn.XLOOKUP("[S05_AggregateTotalEmissionsByCRF][2][TotalEmissionsTCo2e]",Submission!$O:$O,Submission!$H:$N,""))</f>
        <v>700910.4</v>
      </c>
      <c r="H70" s="126" t="str">
        <f>_xlfn.CONCAT(_xlfn.XLOOKUP("[S05_AggregateTotalEmissionsByCRF][2][TotalCombustionEmissionsTCo2e]",Submission!$O:$O,Submission!$H:$N,""))</f>
        <v>699731.4</v>
      </c>
      <c r="I70" s="126" t="str">
        <f>_xlfn.CONCAT(_xlfn.XLOOKUP("[S05_AggregateTotalEmissionsByCRF][2][TotalProcessEmissionsTCo2e]",Submission!$O:$O,Submission!$H:$N,""))</f>
        <v>1179</v>
      </c>
    </row>
    <row r="71" spans="1:14" ht="16.2" customHeight="1" x14ac:dyDescent="0.3">
      <c r="C71" s="365" t="str">
        <f>_xlfn.CONCAT(_xlfn.XLOOKUP("[S05_AggregateTotalEmissionsByCRF][3][CRFCategory1]",Submission!$O:$O,Submission!$H:$N,""))</f>
        <v>1A1b - Energy - Petroleum Refining</v>
      </c>
      <c r="D71" s="366"/>
      <c r="E71" s="367" t="str">
        <f>_xlfn.CONCAT(_xlfn.XLOOKUP("[S05_AggregateTotalEmissionsByCRF][3][CRFCategory2]",Submission!$O:$O,Submission!$H:$N,""))</f>
        <v>2B8 - Process - Petrochemical and Carbon Black Production</v>
      </c>
      <c r="F71" s="368"/>
      <c r="G71" s="126" t="str">
        <f>_xlfn.CONCAT(_xlfn.XLOOKUP("[S05_AggregateTotalEmissionsByCRF][3][TotalEmissionsTCo2e]",Submission!$O:$O,Submission!$H:$N,""))</f>
        <v>2674057.9</v>
      </c>
      <c r="H71" s="126" t="str">
        <f>_xlfn.CONCAT(_xlfn.XLOOKUP("[S05_AggregateTotalEmissionsByCRF][3][TotalCombustionEmissionsTCo2e]",Submission!$O:$O,Submission!$H:$N,""))</f>
        <v>1854824.8</v>
      </c>
      <c r="I71" s="126" t="str">
        <f>_xlfn.CONCAT(_xlfn.XLOOKUP("[S05_AggregateTotalEmissionsByCRF][3][TotalProcessEmissionsTCo2e]",Submission!$O:$O,Submission!$H:$N,""))</f>
        <v>819233.1</v>
      </c>
    </row>
    <row r="72" spans="1:14" ht="16.2" customHeight="1" x14ac:dyDescent="0.3">
      <c r="C72" s="365" t="str">
        <f>_xlfn.CONCAT(_xlfn.XLOOKUP("[S05_AggregateTotalEmissionsByCRF][4][CRFCategory1]",Submission!$O:$O,Submission!$H:$N,""))</f>
        <v>1A2a - Energy - Iron and Steel</v>
      </c>
      <c r="D72" s="366"/>
      <c r="E72" s="367" t="str">
        <f>_xlfn.CONCAT(_xlfn.XLOOKUP("[S05_AggregateTotalEmissionsByCRF][4][CRFCategory2]",Submission!$O:$O,Submission!$H:$N,""))</f>
        <v>2C1 - Process - Iron and Steel Production</v>
      </c>
      <c r="F72" s="368"/>
      <c r="G72" s="126" t="str">
        <f>_xlfn.CONCAT(_xlfn.XLOOKUP("[S05_AggregateTotalEmissionsByCRF][4][TotalEmissionsTCo2e]",Submission!$O:$O,Submission!$H:$N,""))</f>
        <v>128796.6</v>
      </c>
      <c r="H72" s="126" t="str">
        <f>_xlfn.CONCAT(_xlfn.XLOOKUP("[S05_AggregateTotalEmissionsByCRF][4][TotalCombustionEmissionsTCo2e]",Submission!$O:$O,Submission!$H:$N,""))</f>
        <v>84789.1</v>
      </c>
      <c r="I72" s="126" t="str">
        <f>_xlfn.CONCAT(_xlfn.XLOOKUP("[S05_AggregateTotalEmissionsByCRF][4][TotalProcessEmissionsTCo2e]",Submission!$O:$O,Submission!$H:$N,""))</f>
        <v>44007.4</v>
      </c>
    </row>
    <row r="73" spans="1:14" ht="16.2" customHeight="1" x14ac:dyDescent="0.3">
      <c r="C73" s="365" t="str">
        <f>_xlfn.CONCAT(_xlfn.XLOOKUP("[S05_AggregateTotalEmissionsByCRF][5][CRFCategory1]",Submission!$O:$O,Submission!$H:$N,""))</f>
        <v>1A2c - Energy - Chemicals</v>
      </c>
      <c r="D73" s="366"/>
      <c r="E73" s="367" t="str">
        <f>_xlfn.CONCAT(_xlfn.XLOOKUP("[S05_AggregateTotalEmissionsByCRF][5][CRFCategory2]",Submission!$O:$O,Submission!$H:$N,""))</f>
        <v/>
      </c>
      <c r="F73" s="368"/>
      <c r="G73" s="126" t="str">
        <f>_xlfn.CONCAT(_xlfn.XLOOKUP("[S05_AggregateTotalEmissionsByCRF][5][TotalEmissionsTCo2e]",Submission!$O:$O,Submission!$H:$N,""))</f>
        <v>840904.7</v>
      </c>
      <c r="H73" s="126" t="str">
        <f>_xlfn.CONCAT(_xlfn.XLOOKUP("[S05_AggregateTotalEmissionsByCRF][5][TotalCombustionEmissionsTCo2e]",Submission!$O:$O,Submission!$H:$N,""))</f>
        <v>840904.7</v>
      </c>
      <c r="I73" s="126" t="str">
        <f>_xlfn.CONCAT(_xlfn.XLOOKUP("[S05_AggregateTotalEmissionsByCRF][5][TotalProcessEmissionsTCo2e]",Submission!$O:$O,Submission!$H:$N,""))</f>
        <v>0</v>
      </c>
    </row>
    <row r="74" spans="1:14" ht="16.2" customHeight="1" x14ac:dyDescent="0.3">
      <c r="C74" s="365" t="str">
        <f>_xlfn.CONCAT(_xlfn.XLOOKUP("[S05_AggregateTotalEmissionsByCRF][6][CRFCategory1]",Submission!$O:$O,Submission!$H:$N,""))</f>
        <v>1A2c - Energy - Chemicals</v>
      </c>
      <c r="D74" s="366"/>
      <c r="E74" s="367" t="str">
        <f>_xlfn.CONCAT(_xlfn.XLOOKUP("[S05_AggregateTotalEmissionsByCRF][6][CRFCategory2]",Submission!$O:$O,Submission!$H:$N,""))</f>
        <v xml:space="preserve">2B2 - Process - Nitric Acid Production </v>
      </c>
      <c r="F74" s="368"/>
      <c r="G74" s="126" t="str">
        <f>_xlfn.CONCAT(_xlfn.XLOOKUP("[S05_AggregateTotalEmissionsByCRF][6][TotalEmissionsTCo2e]",Submission!$O:$O,Submission!$H:$N,""))</f>
        <v>66227.6</v>
      </c>
      <c r="H74" s="126" t="str">
        <f>_xlfn.CONCAT(_xlfn.XLOOKUP("[S05_AggregateTotalEmissionsByCRF][6][TotalCombustionEmissionsTCo2e]",Submission!$O:$O,Submission!$H:$N,""))</f>
        <v>20362.8</v>
      </c>
      <c r="I74" s="126" t="str">
        <f>_xlfn.CONCAT(_xlfn.XLOOKUP("[S05_AggregateTotalEmissionsByCRF][6][TotalProcessEmissionsTCo2e]",Submission!$O:$O,Submission!$H:$N,""))</f>
        <v>45864.8</v>
      </c>
    </row>
    <row r="75" spans="1:14" ht="16.2" customHeight="1" x14ac:dyDescent="0.3">
      <c r="C75" s="365" t="str">
        <f>_xlfn.CONCAT(_xlfn.XLOOKUP("[S05_AggregateTotalEmissionsByCRF][7][CRFCategory1]",Submission!$O:$O,Submission!$H:$N,""))</f>
        <v>1A2c - Energy - Chemicals</v>
      </c>
      <c r="D75" s="366"/>
      <c r="E75" s="367" t="str">
        <f>_xlfn.CONCAT(_xlfn.XLOOKUP("[S05_AggregateTotalEmissionsByCRF][7][CRFCategory2]",Submission!$O:$O,Submission!$H:$N,""))</f>
        <v>2B10 - Process - Other Chemical Industry</v>
      </c>
      <c r="F75" s="368"/>
      <c r="G75" s="126" t="str">
        <f>_xlfn.CONCAT(_xlfn.XLOOKUP("[S05_AggregateTotalEmissionsByCRF][7][TotalEmissionsTCo2e]",Submission!$O:$O,Submission!$H:$N,""))</f>
        <v>70264.9</v>
      </c>
      <c r="H75" s="126" t="str">
        <f>_xlfn.CONCAT(_xlfn.XLOOKUP("[S05_AggregateTotalEmissionsByCRF][7][TotalCombustionEmissionsTCo2e]",Submission!$O:$O,Submission!$H:$N,""))</f>
        <v>3625.5</v>
      </c>
      <c r="I75" s="126" t="str">
        <f>_xlfn.CONCAT(_xlfn.XLOOKUP("[S05_AggregateTotalEmissionsByCRF][7][TotalProcessEmissionsTCo2e]",Submission!$O:$O,Submission!$H:$N,""))</f>
        <v>66639.4</v>
      </c>
    </row>
    <row r="76" spans="1:14" ht="16.2" customHeight="1" x14ac:dyDescent="0.3">
      <c r="C76" s="365" t="str">
        <f>_xlfn.CONCAT(_xlfn.XLOOKUP("[S05_AggregateTotalEmissionsByCRF][8][CRFCategory1]",Submission!$O:$O,Submission!$H:$N,""))</f>
        <v>1A2c - Energy - Chemicals</v>
      </c>
      <c r="D76" s="366"/>
      <c r="E76" s="367" t="str">
        <f>_xlfn.CONCAT(_xlfn.XLOOKUP("[S05_AggregateTotalEmissionsByCRF][8][CRFCategory2]",Submission!$O:$O,Submission!$H:$N,""))</f>
        <v>2C7 - Process - Other Metal Industry</v>
      </c>
      <c r="F76" s="368"/>
      <c r="G76" s="126" t="str">
        <f>_xlfn.CONCAT(_xlfn.XLOOKUP("[S05_AggregateTotalEmissionsByCRF][8][TotalEmissionsTCo2e]",Submission!$O:$O,Submission!$H:$N,""))</f>
        <v>65989.8</v>
      </c>
      <c r="H76" s="126" t="str">
        <f>_xlfn.CONCAT(_xlfn.XLOOKUP("[S05_AggregateTotalEmissionsByCRF][8][TotalCombustionEmissionsTCo2e]",Submission!$O:$O,Submission!$H:$N,""))</f>
        <v>12.2</v>
      </c>
      <c r="I76" s="126" t="str">
        <f>_xlfn.CONCAT(_xlfn.XLOOKUP("[S05_AggregateTotalEmissionsByCRF][8][TotalProcessEmissionsTCo2e]",Submission!$O:$O,Submission!$H:$N,""))</f>
        <v>65977.6</v>
      </c>
    </row>
    <row r="77" spans="1:14" ht="16.2" customHeight="1" x14ac:dyDescent="0.3">
      <c r="C77" s="365" t="str">
        <f>_xlfn.CONCAT(_xlfn.XLOOKUP("[S05_AggregateTotalEmissionsByCRF][9][CRFCategory1]",Submission!$O:$O,Submission!$H:$N,""))</f>
        <v>1A2d - Energy - Pulp, Paper and Print</v>
      </c>
      <c r="D77" s="366"/>
      <c r="E77" s="367" t="str">
        <f>_xlfn.CONCAT(_xlfn.XLOOKUP("[S05_AggregateTotalEmissionsByCRF][9][CRFCategory2]",Submission!$O:$O,Submission!$H:$N,""))</f>
        <v/>
      </c>
      <c r="F77" s="368"/>
      <c r="G77" s="126" t="str">
        <f>_xlfn.CONCAT(_xlfn.XLOOKUP("[S05_AggregateTotalEmissionsByCRF][9][TotalEmissionsTCo2e]",Submission!$O:$O,Submission!$H:$N,""))</f>
        <v>569859</v>
      </c>
      <c r="H77" s="126" t="str">
        <f>_xlfn.CONCAT(_xlfn.XLOOKUP("[S05_AggregateTotalEmissionsByCRF][9][TotalCombustionEmissionsTCo2e]",Submission!$O:$O,Submission!$H:$N,""))</f>
        <v>569859</v>
      </c>
      <c r="I77" s="126" t="str">
        <f>_xlfn.CONCAT(_xlfn.XLOOKUP("[S05_AggregateTotalEmissionsByCRF][9][TotalProcessEmissionsTCo2e]",Submission!$O:$O,Submission!$H:$N,""))</f>
        <v>0</v>
      </c>
    </row>
    <row r="78" spans="1:14" ht="16.2" customHeight="1" x14ac:dyDescent="0.3">
      <c r="C78" s="365" t="str">
        <f>_xlfn.CONCAT(_xlfn.XLOOKUP("[S05_AggregateTotalEmissionsByCRF][10][CRFCategory1]",Submission!$O:$O,Submission!$H:$N,""))</f>
        <v>1A2d - Energy - Pulp, Paper and Print</v>
      </c>
      <c r="D78" s="366"/>
      <c r="E78" s="367" t="str">
        <f>_xlfn.CONCAT(_xlfn.XLOOKUP("[S05_AggregateTotalEmissionsByCRF][10][CRFCategory2]",Submission!$O:$O,Submission!$H:$N,""))</f>
        <v>2H - Process - Other Industrial Process and Product Use</v>
      </c>
      <c r="F78" s="368"/>
      <c r="G78" s="126" t="str">
        <f>_xlfn.CONCAT(_xlfn.XLOOKUP("[S05_AggregateTotalEmissionsByCRF][10][TotalEmissionsTCo2e]",Submission!$O:$O,Submission!$H:$N,""))</f>
        <v>468992.8</v>
      </c>
      <c r="H78" s="126" t="str">
        <f>_xlfn.CONCAT(_xlfn.XLOOKUP("[S05_AggregateTotalEmissionsByCRF][10][TotalCombustionEmissionsTCo2e]",Submission!$O:$O,Submission!$H:$N,""))</f>
        <v>459193.3</v>
      </c>
      <c r="I78" s="126" t="str">
        <f>_xlfn.CONCAT(_xlfn.XLOOKUP("[S05_AggregateTotalEmissionsByCRF][10][TotalProcessEmissionsTCo2e]",Submission!$O:$O,Submission!$H:$N,""))</f>
        <v>9799.5</v>
      </c>
    </row>
    <row r="79" spans="1:14" ht="16.2" customHeight="1" x14ac:dyDescent="0.3">
      <c r="C79" s="365" t="str">
        <f>_xlfn.CONCAT(_xlfn.XLOOKUP("[S05_AggregateTotalEmissionsByCRF][11][CRFCategory1]",Submission!$O:$O,Submission!$H:$N,""))</f>
        <v>1A2e - Energy - Food Processing, Beverages and Tobacco</v>
      </c>
      <c r="D79" s="366"/>
      <c r="E79" s="367" t="str">
        <f>_xlfn.CONCAT(_xlfn.XLOOKUP("[S05_AggregateTotalEmissionsByCRF][11][CRFCategory2]",Submission!$O:$O,Submission!$H:$N,""))</f>
        <v/>
      </c>
      <c r="F79" s="368"/>
      <c r="G79" s="126" t="str">
        <f>_xlfn.CONCAT(_xlfn.XLOOKUP("[S05_AggregateTotalEmissionsByCRF][11][TotalEmissionsTCo2e]",Submission!$O:$O,Submission!$H:$N,""))</f>
        <v>269783.8</v>
      </c>
      <c r="H79" s="126" t="str">
        <f>_xlfn.CONCAT(_xlfn.XLOOKUP("[S05_AggregateTotalEmissionsByCRF][11][TotalCombustionEmissionsTCo2e]",Submission!$O:$O,Submission!$H:$N,""))</f>
        <v>269783.8</v>
      </c>
      <c r="I79" s="126" t="str">
        <f>_xlfn.CONCAT(_xlfn.XLOOKUP("[S05_AggregateTotalEmissionsByCRF][11][TotalProcessEmissionsTCo2e]",Submission!$O:$O,Submission!$H:$N,""))</f>
        <v>0</v>
      </c>
    </row>
    <row r="80" spans="1:14" ht="16.2" customHeight="1" x14ac:dyDescent="0.3">
      <c r="C80" s="365" t="str">
        <f>_xlfn.CONCAT(_xlfn.XLOOKUP("[S05_AggregateTotalEmissionsByCRF][12][CRFCategory1]",Submission!$O:$O,Submission!$H:$N,""))</f>
        <v>1A2f - Energy - Non-metallic minerals</v>
      </c>
      <c r="D80" s="366"/>
      <c r="E80" s="367" t="str">
        <f>_xlfn.CONCAT(_xlfn.XLOOKUP("[S05_AggregateTotalEmissionsByCRF][12][CRFCategory2]",Submission!$O:$O,Submission!$H:$N,""))</f>
        <v/>
      </c>
      <c r="F80" s="368"/>
      <c r="G80" s="126" t="str">
        <f>_xlfn.CONCAT(_xlfn.XLOOKUP("[S05_AggregateTotalEmissionsByCRF][12][TotalEmissionsTCo2e]",Submission!$O:$O,Submission!$H:$N,""))</f>
        <v>1818.9</v>
      </c>
      <c r="H80" s="126" t="str">
        <f>_xlfn.CONCAT(_xlfn.XLOOKUP("[S05_AggregateTotalEmissionsByCRF][12][TotalCombustionEmissionsTCo2e]",Submission!$O:$O,Submission!$H:$N,""))</f>
        <v>1818.9</v>
      </c>
      <c r="I80" s="126" t="str">
        <f>_xlfn.CONCAT(_xlfn.XLOOKUP("[S05_AggregateTotalEmissionsByCRF][12][TotalProcessEmissionsTCo2e]",Submission!$O:$O,Submission!$H:$N,""))</f>
        <v>0</v>
      </c>
    </row>
    <row r="81" spans="3:9" ht="16.2" customHeight="1" x14ac:dyDescent="0.3">
      <c r="C81" s="365" t="str">
        <f>_xlfn.CONCAT(_xlfn.XLOOKUP("[S05_AggregateTotalEmissionsByCRF][13][CRFCategory1]",Submission!$O:$O,Submission!$H:$N,""))</f>
        <v>1A2f - Energy - Non-metallic minerals</v>
      </c>
      <c r="D81" s="366"/>
      <c r="E81" s="367" t="str">
        <f>_xlfn.CONCAT(_xlfn.XLOOKUP("[S05_AggregateTotalEmissionsByCRF][13][CRFCategory2]",Submission!$O:$O,Submission!$H:$N,""))</f>
        <v>2A1 - Process - Cement Production</v>
      </c>
      <c r="F81" s="368"/>
      <c r="G81" s="126" t="str">
        <f>_xlfn.CONCAT(_xlfn.XLOOKUP("[S05_AggregateTotalEmissionsByCRF][13][TotalEmissionsTCo2e]",Submission!$O:$O,Submission!$H:$N,""))</f>
        <v>3350029.3</v>
      </c>
      <c r="H81" s="126" t="str">
        <f>_xlfn.CONCAT(_xlfn.XLOOKUP("[S05_AggregateTotalEmissionsByCRF][13][TotalCombustionEmissionsTCo2e]",Submission!$O:$O,Submission!$H:$N,""))</f>
        <v>1244110.7</v>
      </c>
      <c r="I81" s="126" t="str">
        <f>_xlfn.CONCAT(_xlfn.XLOOKUP("[S05_AggregateTotalEmissionsByCRF][13][TotalProcessEmissionsTCo2e]",Submission!$O:$O,Submission!$H:$N,""))</f>
        <v>2105918.6</v>
      </c>
    </row>
    <row r="82" spans="3:9" ht="16.2" customHeight="1" x14ac:dyDescent="0.3">
      <c r="C82" s="365" t="str">
        <f>_xlfn.CONCAT(_xlfn.XLOOKUP("[S05_AggregateTotalEmissionsByCRF][14][CRFCategory1]",Submission!$O:$O,Submission!$H:$N,""))</f>
        <v>1A2f - Energy - Non-metallic minerals</v>
      </c>
      <c r="D82" s="366"/>
      <c r="E82" s="367" t="str">
        <f>_xlfn.CONCAT(_xlfn.XLOOKUP("[S05_AggregateTotalEmissionsByCRF][14][CRFCategory2]",Submission!$O:$O,Submission!$H:$N,""))</f>
        <v>2A2 - Process - Lime Production</v>
      </c>
      <c r="F82" s="368"/>
      <c r="G82" s="126" t="str">
        <f>_xlfn.CONCAT(_xlfn.XLOOKUP("[S05_AggregateTotalEmissionsByCRF][14][TotalEmissionsTCo2e]",Submission!$O:$O,Submission!$H:$N,""))</f>
        <v>478321.1</v>
      </c>
      <c r="H82" s="126" t="str">
        <f>_xlfn.CONCAT(_xlfn.XLOOKUP("[S05_AggregateTotalEmissionsByCRF][14][TotalCombustionEmissionsTCo2e]",Submission!$O:$O,Submission!$H:$N,""))</f>
        <v>101594.5</v>
      </c>
      <c r="I82" s="126" t="str">
        <f>_xlfn.CONCAT(_xlfn.XLOOKUP("[S05_AggregateTotalEmissionsByCRF][14][TotalProcessEmissionsTCo2e]",Submission!$O:$O,Submission!$H:$N,""))</f>
        <v>376726.6</v>
      </c>
    </row>
    <row r="83" spans="3:9" ht="16.2" customHeight="1" x14ac:dyDescent="0.3">
      <c r="C83" s="365" t="str">
        <f>_xlfn.CONCAT(_xlfn.XLOOKUP("[S05_AggregateTotalEmissionsByCRF][15][CRFCategory1]",Submission!$O:$O,Submission!$H:$N,""))</f>
        <v>1A2f - Energy - Non-metallic minerals</v>
      </c>
      <c r="D83" s="366"/>
      <c r="E83" s="367" t="str">
        <f>_xlfn.CONCAT(_xlfn.XLOOKUP("[S05_AggregateTotalEmissionsByCRF][15][CRFCategory2]",Submission!$O:$O,Submission!$H:$N,""))</f>
        <v>2A3 - Process - Glass production</v>
      </c>
      <c r="F83" s="368"/>
      <c r="G83" s="126" t="str">
        <f>_xlfn.CONCAT(_xlfn.XLOOKUP("[S05_AggregateTotalEmissionsByCRF][15][TotalEmissionsTCo2e]",Submission!$O:$O,Submission!$H:$N,""))</f>
        <v>608681</v>
      </c>
      <c r="H83" s="126" t="str">
        <f>_xlfn.CONCAT(_xlfn.XLOOKUP("[S05_AggregateTotalEmissionsByCRF][15][TotalCombustionEmissionsTCo2e]",Submission!$O:$O,Submission!$H:$N,""))</f>
        <v>450808</v>
      </c>
      <c r="I83" s="126" t="str">
        <f>_xlfn.CONCAT(_xlfn.XLOOKUP("[S05_AggregateTotalEmissionsByCRF][15][TotalProcessEmissionsTCo2e]",Submission!$O:$O,Submission!$H:$N,""))</f>
        <v>157873</v>
      </c>
    </row>
    <row r="84" spans="3:9" ht="16.2" customHeight="1" x14ac:dyDescent="0.3">
      <c r="C84" s="365" t="str">
        <f>_xlfn.CONCAT(_xlfn.XLOOKUP("[S05_AggregateTotalEmissionsByCRF][16][CRFCategory1]",Submission!$O:$O,Submission!$H:$N,""))</f>
        <v>1A2f - Energy - Non-metallic minerals</v>
      </c>
      <c r="D84" s="366"/>
      <c r="E84" s="367" t="str">
        <f>_xlfn.CONCAT(_xlfn.XLOOKUP("[S05_AggregateTotalEmissionsByCRF][16][CRFCategory2]",Submission!$O:$O,Submission!$H:$N,""))</f>
        <v xml:space="preserve">2B4 - Process - Caprolactam, Glyoxal and Glyoxylic Acid Production </v>
      </c>
      <c r="F84" s="368"/>
      <c r="G84" s="126" t="str">
        <f>_xlfn.CONCAT(_xlfn.XLOOKUP("[S05_AggregateTotalEmissionsByCRF][16][TotalEmissionsTCo2e]",Submission!$O:$O,Submission!$H:$N,""))</f>
        <v>513277.4</v>
      </c>
      <c r="H84" s="126" t="str">
        <f>_xlfn.CONCAT(_xlfn.XLOOKUP("[S05_AggregateTotalEmissionsByCRF][16][TotalCombustionEmissionsTCo2e]",Submission!$O:$O,Submission!$H:$N,""))</f>
        <v>457871</v>
      </c>
      <c r="I84" s="126" t="str">
        <f>_xlfn.CONCAT(_xlfn.XLOOKUP("[S05_AggregateTotalEmissionsByCRF][16][TotalProcessEmissionsTCo2e]",Submission!$O:$O,Submission!$H:$N,""))</f>
        <v>55406.4</v>
      </c>
    </row>
    <row r="85" spans="3:9" ht="16.2" customHeight="1" x14ac:dyDescent="0.3">
      <c r="C85" s="365" t="str">
        <f>_xlfn.CONCAT(_xlfn.XLOOKUP("[S05_AggregateTotalEmissionsByCRF][17][CRFCategory1]",Submission!$O:$O,Submission!$H:$N,""))</f>
        <v>1A2g - Energy - Other Manufacturing Industries and Construction</v>
      </c>
      <c r="D85" s="366"/>
      <c r="E85" s="367" t="str">
        <f>_xlfn.CONCAT(_xlfn.XLOOKUP("[S05_AggregateTotalEmissionsByCRF][17][CRFCategory2]",Submission!$O:$O,Submission!$H:$N,""))</f>
        <v/>
      </c>
      <c r="F85" s="368"/>
      <c r="G85" s="126" t="str">
        <f>_xlfn.CONCAT(_xlfn.XLOOKUP("[S05_AggregateTotalEmissionsByCRF][17][TotalEmissionsTCo2e]",Submission!$O:$O,Submission!$H:$N,""))</f>
        <v>195774</v>
      </c>
      <c r="H85" s="126" t="str">
        <f>_xlfn.CONCAT(_xlfn.XLOOKUP("[S05_AggregateTotalEmissionsByCRF][17][TotalCombustionEmissionsTCo2e]",Submission!$O:$O,Submission!$H:$N,""))</f>
        <v>195774</v>
      </c>
      <c r="I85" s="126" t="str">
        <f>_xlfn.CONCAT(_xlfn.XLOOKUP("[S05_AggregateTotalEmissionsByCRF][17][TotalProcessEmissionsTCo2e]",Submission!$O:$O,Submission!$H:$N,""))</f>
        <v>0</v>
      </c>
    </row>
    <row r="86" spans="3:9" ht="16.2" customHeight="1" x14ac:dyDescent="0.3">
      <c r="C86" s="365" t="str">
        <f>_xlfn.CONCAT(_xlfn.XLOOKUP("[S05_AggregateTotalEmissionsByCRF][18][CRFCategory1]",Submission!$O:$O,Submission!$H:$N,""))</f>
        <v/>
      </c>
      <c r="D86" s="366"/>
      <c r="E86" s="367" t="str">
        <f>_xlfn.CONCAT(_xlfn.XLOOKUP("[S05_AggregateTotalEmissionsByCRF][18][CRFCategory2]",Submission!$O:$O,Submission!$H:$N,""))</f>
        <v/>
      </c>
      <c r="F86" s="368"/>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65" t="str">
        <f>_xlfn.CONCAT(_xlfn.XLOOKUP("[S05_AggregateTotalEmissionsByCRF][19][CRFCategory1]",Submission!$O:$O,Submission!$H:$N,""))</f>
        <v/>
      </c>
      <c r="D87" s="366"/>
      <c r="E87" s="367" t="str">
        <f>_xlfn.CONCAT(_xlfn.XLOOKUP("[S05_AggregateTotalEmissionsByCRF][19][CRFCategory2]",Submission!$O:$O,Submission!$H:$N,""))</f>
        <v/>
      </c>
      <c r="F87" s="368"/>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
      </c>
      <c r="F88" s="368"/>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
      </c>
      <c r="F89" s="368"/>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
      </c>
      <c r="F90" s="368"/>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B installation</v>
      </c>
      <c r="D203" s="414"/>
      <c r="E203" s="414"/>
      <c r="F203" s="414"/>
      <c r="G203" s="364"/>
      <c r="H203" s="123" t="str">
        <f>_xlfn.CONCAT(_xlfn.XLOOKUP("[S05_DefaultValues][1][FuelMaterialType]",Submission!$O:$O,Submission!$H:$N,""))</f>
        <v>waste tyres</v>
      </c>
      <c r="I203" s="106" t="str">
        <f>_xlfn.CONCAT(_xlfn.XLOOKUP("[S05_DefaultValues][1][InstallationNumber]",Submission!$O:$O,Submission!$H:$N,""))</f>
        <v>4</v>
      </c>
    </row>
    <row r="204" spans="1:9" ht="15.9" customHeight="1" x14ac:dyDescent="0.3">
      <c r="A204" s="13"/>
      <c r="B204" s="34"/>
      <c r="C204" s="274" t="str">
        <f>_xlfn.CONCAT(_xlfn.XLOOKUP("[S05_DefaultValues][2][InstallationCategory]",Submission!$O:$O,Submission!$H:$N,""))</f>
        <v>Category C installation</v>
      </c>
      <c r="D204" s="414"/>
      <c r="E204" s="414"/>
      <c r="F204" s="414"/>
      <c r="G204" s="364"/>
      <c r="H204" s="123" t="str">
        <f>_xlfn.CONCAT(_xlfn.XLOOKUP("[S05_DefaultValues][2][FuelMaterialType]",Submission!$O:$O,Submission!$H:$N,""))</f>
        <v>waste tyres</v>
      </c>
      <c r="I204" s="106" t="str">
        <f>_xlfn.CONCAT(_xlfn.XLOOKUP("[S05_DefaultValues][2][InstallationNumber]",Submission!$O:$O,Submission!$H:$N,""))</f>
        <v>4</v>
      </c>
    </row>
    <row r="205" spans="1:9" ht="15.9" customHeight="1" x14ac:dyDescent="0.3">
      <c r="A205" s="13"/>
      <c r="B205" s="34"/>
      <c r="C205" s="274" t="str">
        <f>_xlfn.CONCAT(_xlfn.XLOOKUP("[S05_DefaultValues][3][InstallationCategory]",Submission!$O:$O,Submission!$H:$N,""))</f>
        <v>Category C installation</v>
      </c>
      <c r="D205" s="414"/>
      <c r="E205" s="414"/>
      <c r="F205" s="414"/>
      <c r="G205" s="364"/>
      <c r="H205" s="123" t="str">
        <f>_xlfn.CONCAT(_xlfn.XLOOKUP("[S05_DefaultValues][3][FuelMaterialType]",Submission!$O:$O,Submission!$H:$N,""))</f>
        <v>Vacuum Distillation Off Gas I</v>
      </c>
      <c r="I205" s="106" t="str">
        <f>_xlfn.CONCAT(_xlfn.XLOOKUP("[S05_DefaultValues][3][InstallationNumber]",Submission!$O:$O,Submission!$H:$N,""))</f>
        <v>1</v>
      </c>
    </row>
    <row r="206" spans="1:9" ht="15.9" customHeight="1" x14ac:dyDescent="0.3">
      <c r="A206" s="13"/>
      <c r="B206" s="34"/>
      <c r="C206" s="274" t="str">
        <f>_xlfn.CONCAT(_xlfn.XLOOKUP("[S05_DefaultValues][4][InstallationCategory]",Submission!$O:$O,Submission!$H:$N,""))</f>
        <v>Category C installation</v>
      </c>
      <c r="D206" s="414"/>
      <c r="E206" s="414"/>
      <c r="F206" s="414"/>
      <c r="G206" s="364"/>
      <c r="H206" s="123" t="str">
        <f>_xlfn.CONCAT(_xlfn.XLOOKUP("[S05_DefaultValues][4][FuelMaterialType]",Submission!$O:$O,Submission!$H:$N,""))</f>
        <v>Vacuum Distillation Off Gas II</v>
      </c>
      <c r="I206" s="106" t="str">
        <f>_xlfn.CONCAT(_xlfn.XLOOKUP("[S05_DefaultValues][4][InstallationNumber]",Submission!$O:$O,Submission!$H:$N,""))</f>
        <v>1</v>
      </c>
    </row>
    <row r="207" spans="1:9" ht="15.9" customHeight="1" x14ac:dyDescent="0.3">
      <c r="A207" s="13"/>
      <c r="B207" s="34"/>
      <c r="C207" s="274" t="str">
        <f>_xlfn.CONCAT(_xlfn.XLOOKUP("[S05_DefaultValues][5][InstallationCategory]",Submission!$O:$O,Submission!$H:$N,""))</f>
        <v>Category C installation</v>
      </c>
      <c r="D207" s="414"/>
      <c r="E207" s="414"/>
      <c r="F207" s="414"/>
      <c r="G207" s="364"/>
      <c r="H207" s="123" t="str">
        <f>_xlfn.CONCAT(_xlfn.XLOOKUP("[S05_DefaultValues][5][FuelMaterialType]",Submission!$O:$O,Submission!$H:$N,""))</f>
        <v>Tail Gas Sulfur Recovery I</v>
      </c>
      <c r="I207" s="106" t="str">
        <f>_xlfn.CONCAT(_xlfn.XLOOKUP("[S05_DefaultValues][5][InstallationNumber]",Submission!$O:$O,Submission!$H:$N,""))</f>
        <v>1</v>
      </c>
    </row>
    <row r="208" spans="1:9" ht="15.9" customHeight="1" x14ac:dyDescent="0.3">
      <c r="A208" s="13"/>
      <c r="B208" s="34"/>
      <c r="C208" s="274" t="str">
        <f>_xlfn.CONCAT(_xlfn.XLOOKUP("[S05_DefaultValues][6][InstallationCategory]",Submission!$O:$O,Submission!$H:$N,""))</f>
        <v>Category C installation</v>
      </c>
      <c r="D208" s="414"/>
      <c r="E208" s="414"/>
      <c r="F208" s="414"/>
      <c r="G208" s="364"/>
      <c r="H208" s="123" t="str">
        <f>_xlfn.CONCAT(_xlfn.XLOOKUP("[S05_DefaultValues][6][FuelMaterialType]",Submission!$O:$O,Submission!$H:$N,""))</f>
        <v>Tail Gas Sulfur Recovery II</v>
      </c>
      <c r="I208" s="106" t="str">
        <f>_xlfn.CONCAT(_xlfn.XLOOKUP("[S05_DefaultValues][6][InstallationNumber]",Submission!$O:$O,Submission!$H:$N,""))</f>
        <v>1</v>
      </c>
    </row>
    <row r="209" spans="1:9" ht="15.9" customHeight="1" x14ac:dyDescent="0.3">
      <c r="A209" s="13"/>
      <c r="B209" s="34"/>
      <c r="C209" s="274" t="str">
        <f>_xlfn.CONCAT(_xlfn.XLOOKUP("[S05_DefaultValues][7][InstallationCategory]",Submission!$O:$O,Submission!$H:$N,""))</f>
        <v>Category C installation</v>
      </c>
      <c r="D209" s="414"/>
      <c r="E209" s="414"/>
      <c r="F209" s="414"/>
      <c r="G209" s="364"/>
      <c r="H209" s="123" t="str">
        <f>_xlfn.CONCAT(_xlfn.XLOOKUP("[S05_DefaultValues][7][FuelMaterialType]",Submission!$O:$O,Submission!$H:$N,""))</f>
        <v>Acid Soluble Oil</v>
      </c>
      <c r="I209" s="106" t="str">
        <f>_xlfn.CONCAT(_xlfn.XLOOKUP("[S05_DefaultValues][7][InstallationNumber]",Submission!$O:$O,Submission!$H:$N,""))</f>
        <v>1</v>
      </c>
    </row>
    <row r="210" spans="1:9" ht="15.9" customHeight="1" x14ac:dyDescent="0.3">
      <c r="A210" s="13"/>
      <c r="B210" s="34"/>
      <c r="C210" s="274" t="str">
        <f>_xlfn.CONCAT(_xlfn.XLOOKUP("[S05_DefaultValues][8][InstallationCategory]",Submission!$O:$O,Submission!$H:$N,""))</f>
        <v>Category C installation</v>
      </c>
      <c r="D210" s="414"/>
      <c r="E210" s="414"/>
      <c r="F210" s="414"/>
      <c r="G210" s="364"/>
      <c r="H210" s="123" t="str">
        <f>_xlfn.CONCAT(_xlfn.XLOOKUP("[S05_DefaultValues][8][FuelMaterialType]",Submission!$O:$O,Submission!$H:$N,""))</f>
        <v>Acid gases</v>
      </c>
      <c r="I210" s="106" t="str">
        <f>_xlfn.CONCAT(_xlfn.XLOOKUP("[S05_DefaultValues][8][InstallationNumber]",Submission!$O:$O,Submission!$H:$N,""))</f>
        <v>1</v>
      </c>
    </row>
    <row r="211" spans="1:9" ht="15.9" customHeight="1" x14ac:dyDescent="0.3">
      <c r="A211" s="13"/>
      <c r="B211" s="34"/>
      <c r="C211" s="274" t="str">
        <f>_xlfn.CONCAT(_xlfn.XLOOKUP("[S05_DefaultValues][9][InstallationCategory]",Submission!$O:$O,Submission!$H:$N,""))</f>
        <v>Category C installation</v>
      </c>
      <c r="D211" s="414"/>
      <c r="E211" s="414"/>
      <c r="F211" s="414"/>
      <c r="G211" s="364"/>
      <c r="H211" s="123" t="str">
        <f>_xlfn.CONCAT(_xlfn.XLOOKUP("[S05_DefaultValues][9][FuelMaterialType]",Submission!$O:$O,Submission!$H:$N,""))</f>
        <v>Waste Gases</v>
      </c>
      <c r="I211" s="106" t="str">
        <f>_xlfn.CONCAT(_xlfn.XLOOKUP("[S05_DefaultValues][9][InstallationNumber]",Submission!$O:$O,Submission!$H:$N,""))</f>
        <v>1</v>
      </c>
    </row>
    <row r="212" spans="1:9" ht="15.9" customHeight="1" x14ac:dyDescent="0.3">
      <c r="A212" s="13"/>
      <c r="B212" s="34"/>
      <c r="C212" s="274" t="str">
        <f>_xlfn.CONCAT(_xlfn.XLOOKUP("[S05_DefaultValues][10][InstallationCategory]",Submission!$O:$O,Submission!$H:$N,""))</f>
        <v>Category A installation</v>
      </c>
      <c r="D212" s="414"/>
      <c r="E212" s="414"/>
      <c r="F212" s="414"/>
      <c r="G212" s="364"/>
      <c r="H212" s="123" t="str">
        <f>_xlfn.CONCAT(_xlfn.XLOOKUP("[S05_DefaultValues][10][FuelMaterialType]",Submission!$O:$O,Submission!$H:$N,""))</f>
        <v>Black liquor</v>
      </c>
      <c r="I212" s="106" t="str">
        <f>_xlfn.CONCAT(_xlfn.XLOOKUP("[S05_DefaultValues][10][InstallationNumber]",Submission!$O:$O,Submission!$H:$N,""))</f>
        <v>1</v>
      </c>
    </row>
    <row r="213" spans="1:9" ht="15.9" customHeight="1" x14ac:dyDescent="0.3">
      <c r="A213" s="13"/>
      <c r="B213" s="34"/>
      <c r="C213" s="274" t="str">
        <f>_xlfn.CONCAT(_xlfn.XLOOKUP("[S05_DefaultValues][11][InstallationCategory]",Submission!$O:$O,Submission!$H:$N,""))</f>
        <v>Category B installation</v>
      </c>
      <c r="D213" s="414"/>
      <c r="E213" s="414"/>
      <c r="F213" s="414"/>
      <c r="G213" s="364"/>
      <c r="H213" s="123" t="str">
        <f>_xlfn.CONCAT(_xlfn.XLOOKUP("[S05_DefaultValues][11][FuelMaterialType]",Submission!$O:$O,Submission!$H:$N,""))</f>
        <v>Black liquor</v>
      </c>
      <c r="I213" s="106" t="str">
        <f>_xlfn.CONCAT(_xlfn.XLOOKUP("[S05_DefaultValues][11][InstallationNumber]",Submission!$O:$O,Submission!$H:$N,""))</f>
        <v>2</v>
      </c>
    </row>
    <row r="214" spans="1:9" ht="15.9" customHeight="1" x14ac:dyDescent="0.3">
      <c r="A214" s="13"/>
      <c r="B214" s="34"/>
      <c r="C214" s="274" t="str">
        <f>_xlfn.CONCAT(_xlfn.XLOOKUP("[S05_DefaultValues][12][InstallationCategory]",Submission!$O:$O,Submission!$H:$N,""))</f>
        <v>Category B installation</v>
      </c>
      <c r="D214" s="414"/>
      <c r="E214" s="414"/>
      <c r="F214" s="414"/>
      <c r="G214" s="364"/>
      <c r="H214" s="123" t="str">
        <f>_xlfn.CONCAT(_xlfn.XLOOKUP("[S05_DefaultValues][12][FuelMaterialType]",Submission!$O:$O,Submission!$H:$N,""))</f>
        <v>methanol</v>
      </c>
      <c r="I214" s="106" t="str">
        <f>_xlfn.CONCAT(_xlfn.XLOOKUP("[S05_DefaultValues][12][InstallationNumber]",Submission!$O:$O,Submission!$H:$N,""))</f>
        <v>1</v>
      </c>
    </row>
    <row r="215" spans="1:9" ht="15.9" customHeight="1" x14ac:dyDescent="0.3">
      <c r="A215" s="13"/>
      <c r="B215" s="34"/>
      <c r="C215" s="274" t="str">
        <f>_xlfn.CONCAT(_xlfn.XLOOKUP("[S05_DefaultValues][13][InstallationCategory]",Submission!$O:$O,Submission!$H:$N,""))</f>
        <v>Category B installation</v>
      </c>
      <c r="D215" s="414"/>
      <c r="E215" s="414"/>
      <c r="F215" s="414"/>
      <c r="G215" s="364"/>
      <c r="H215" s="123" t="str">
        <f>_xlfn.CONCAT(_xlfn.XLOOKUP("[S05_DefaultValues][13][FuelMaterialType]",Submission!$O:$O,Submission!$H:$N,""))</f>
        <v>gaseous effluent - CO stream</v>
      </c>
      <c r="I215" s="106" t="str">
        <f>_xlfn.CONCAT(_xlfn.XLOOKUP("[S05_DefaultValues][13][InstallationNumber]",Submission!$O:$O,Submission!$H:$N,""))</f>
        <v>1</v>
      </c>
    </row>
    <row r="216" spans="1:9" ht="15.9" customHeight="1" x14ac:dyDescent="0.3">
      <c r="A216" s="13"/>
      <c r="B216" s="34"/>
      <c r="C216" s="274" t="str">
        <f>_xlfn.CONCAT(_xlfn.XLOOKUP("[S05_DefaultValues][14][InstallationCategory]",Submission!$O:$O,Submission!$H:$N,""))</f>
        <v>Category B installation</v>
      </c>
      <c r="D216" s="414"/>
      <c r="E216" s="414"/>
      <c r="F216" s="414"/>
      <c r="G216" s="364"/>
      <c r="H216" s="123" t="str">
        <f>_xlfn.CONCAT(_xlfn.XLOOKUP("[S05_DefaultValues][14][FuelMaterialType]",Submission!$O:$O,Submission!$H:$N,""))</f>
        <v>gaseous effluent - HCl stream</v>
      </c>
      <c r="I216" s="106" t="str">
        <f>_xlfn.CONCAT(_xlfn.XLOOKUP("[S05_DefaultValues][14][InstallationNumber]",Submission!$O:$O,Submission!$H:$N,""))</f>
        <v>1</v>
      </c>
    </row>
    <row r="217" spans="1:9" ht="15.9" customHeight="1" x14ac:dyDescent="0.3">
      <c r="A217" s="13"/>
      <c r="B217" s="34"/>
      <c r="C217" s="274" t="str">
        <f>_xlfn.CONCAT(_xlfn.XLOOKUP("[S05_DefaultValues][15][InstallationCategory]",Submission!$O:$O,Submission!$H:$N,""))</f>
        <v>Category B installation</v>
      </c>
      <c r="D217" s="414"/>
      <c r="E217" s="414"/>
      <c r="F217" s="414"/>
      <c r="G217" s="364"/>
      <c r="H217" s="123" t="str">
        <f>_xlfn.CONCAT(_xlfn.XLOOKUP("[S05_DefaultValues][15][FuelMaterialType]",Submission!$O:$O,Submission!$H:$N,""))</f>
        <v>liquid effluent - 070103*</v>
      </c>
      <c r="I217" s="106" t="str">
        <f>_xlfn.CONCAT(_xlfn.XLOOKUP("[S05_DefaultValues][15][InstallationNumber]",Submission!$O:$O,Submission!$H:$N,""))</f>
        <v>1</v>
      </c>
    </row>
    <row r="218" spans="1:9" ht="15.9" customHeight="1" x14ac:dyDescent="0.3">
      <c r="A218" s="13"/>
      <c r="B218" s="34"/>
      <c r="C218" s="274" t="str">
        <f>_xlfn.CONCAT(_xlfn.XLOOKUP("[S05_DefaultValues][16][InstallationCategory]",Submission!$O:$O,Submission!$H:$N,""))</f>
        <v>Category B installation</v>
      </c>
      <c r="D218" s="414"/>
      <c r="E218" s="414"/>
      <c r="F218" s="414"/>
      <c r="G218" s="364"/>
      <c r="H218" s="123" t="str">
        <f>_xlfn.CONCAT(_xlfn.XLOOKUP("[S05_DefaultValues][16][FuelMaterialType]",Submission!$O:$O,Submission!$H:$N,""))</f>
        <v>liquid effluent - 070104*</v>
      </c>
      <c r="I218" s="106" t="str">
        <f>_xlfn.CONCAT(_xlfn.XLOOKUP("[S05_DefaultValues][16][InstallationNumber]",Submission!$O:$O,Submission!$H:$N,""))</f>
        <v>1</v>
      </c>
    </row>
    <row r="219" spans="1:9" ht="15.9" customHeight="1" x14ac:dyDescent="0.3">
      <c r="A219" s="13"/>
      <c r="B219" s="34"/>
      <c r="C219" s="274" t="str">
        <f>_xlfn.CONCAT(_xlfn.XLOOKUP("[S05_DefaultValues][17][InstallationCategory]",Submission!$O:$O,Submission!$H:$N,""))</f>
        <v>Category B installation</v>
      </c>
      <c r="D219" s="414"/>
      <c r="E219" s="414"/>
      <c r="F219" s="414"/>
      <c r="G219" s="364"/>
      <c r="H219" s="123" t="str">
        <f>_xlfn.CONCAT(_xlfn.XLOOKUP("[S05_DefaultValues][17][FuelMaterialType]",Submission!$O:$O,Submission!$H:$N,""))</f>
        <v>liquid effluent - 070107*</v>
      </c>
      <c r="I219" s="106" t="str">
        <f>_xlfn.CONCAT(_xlfn.XLOOKUP("[S05_DefaultValues][17][InstallationNumber]",Submission!$O:$O,Submission!$H:$N,""))</f>
        <v>1</v>
      </c>
    </row>
    <row r="220" spans="1:9" ht="15.9" customHeight="1" x14ac:dyDescent="0.3">
      <c r="A220" s="13"/>
      <c r="B220" s="34"/>
      <c r="C220" s="274" t="str">
        <f>_xlfn.CONCAT(_xlfn.XLOOKUP("[S05_DefaultValues][18][InstallationCategory]",Submission!$O:$O,Submission!$H:$N,""))</f>
        <v>Category B installation</v>
      </c>
      <c r="D220" s="414"/>
      <c r="E220" s="414"/>
      <c r="F220" s="414"/>
      <c r="G220" s="364"/>
      <c r="H220" s="123" t="str">
        <f>_xlfn.CONCAT(_xlfn.XLOOKUP("[S05_DefaultValues][18][FuelMaterialType]",Submission!$O:$O,Submission!$H:$N,""))</f>
        <v>gaseous effluent - R-1019/R-1035</v>
      </c>
      <c r="I220" s="106" t="str">
        <f>_xlfn.CONCAT(_xlfn.XLOOKUP("[S05_DefaultValues][18][InstallationNumber]",Submission!$O:$O,Submission!$H:$N,""))</f>
        <v>1</v>
      </c>
    </row>
    <row r="221" spans="1:9" ht="15.9" customHeight="1" x14ac:dyDescent="0.3">
      <c r="A221" s="13"/>
      <c r="B221" s="34"/>
      <c r="C221" s="274" t="str">
        <f>_xlfn.CONCAT(_xlfn.XLOOKUP("[S05_DefaultValues][19][InstallationCategory]",Submission!$O:$O,Submission!$H:$N,""))</f>
        <v>Category B installation</v>
      </c>
      <c r="D221" s="414"/>
      <c r="E221" s="414"/>
      <c r="F221" s="414"/>
      <c r="G221" s="364"/>
      <c r="H221" s="123" t="str">
        <f>_xlfn.CONCAT(_xlfn.XLOOKUP("[S05_DefaultValues][19][FuelMaterialType]",Submission!$O:$O,Submission!$H:$N,""))</f>
        <v>gaseous effluent - R-5004</v>
      </c>
      <c r="I221" s="106" t="str">
        <f>_xlfn.CONCAT(_xlfn.XLOOKUP("[S05_DefaultValues][19][InstallationNumber]",Submission!$O:$O,Submission!$H:$N,""))</f>
        <v>1</v>
      </c>
    </row>
    <row r="222" spans="1:9" ht="15.9" customHeight="1" x14ac:dyDescent="0.3">
      <c r="A222" s="13"/>
      <c r="B222" s="34"/>
      <c r="C222" s="274" t="str">
        <f>_xlfn.CONCAT(_xlfn.XLOOKUP("[S05_DefaultValues][20][InstallationCategory]",Submission!$O:$O,Submission!$H:$N,""))</f>
        <v>Category B installation</v>
      </c>
      <c r="D222" s="414"/>
      <c r="E222" s="414"/>
      <c r="F222" s="414"/>
      <c r="G222" s="364"/>
      <c r="H222" s="123" t="str">
        <f>_xlfn.CONCAT(_xlfn.XLOOKUP("[S05_DefaultValues][20][FuelMaterialType]",Submission!$O:$O,Submission!$H:$N,""))</f>
        <v>gaseous effluent - R-6010</v>
      </c>
      <c r="I222" s="106" t="str">
        <f>_xlfn.CONCAT(_xlfn.XLOOKUP("[S05_DefaultValues][20][InstallationNumber]",Submission!$O:$O,Submission!$H:$N,""))</f>
        <v>1</v>
      </c>
    </row>
    <row r="223" spans="1:9" ht="15.9" customHeight="1" x14ac:dyDescent="0.3">
      <c r="A223" s="13"/>
      <c r="B223" s="34"/>
      <c r="C223" s="274" t="str">
        <f>_xlfn.CONCAT(_xlfn.XLOOKUP("[S05_DefaultValues][21][InstallationCategory]",Submission!$O:$O,Submission!$H:$N,""))</f>
        <v>Category B installation</v>
      </c>
      <c r="D223" s="414"/>
      <c r="E223" s="414"/>
      <c r="F223" s="414"/>
      <c r="G223" s="364"/>
      <c r="H223" s="123" t="str">
        <f>_xlfn.CONCAT(_xlfn.XLOOKUP("[S05_DefaultValues][21][FuelMaterialType]",Submission!$O:$O,Submission!$H:$N,""))</f>
        <v>gaseous effluent - R-6012</v>
      </c>
      <c r="I223" s="106" t="str">
        <f>_xlfn.CONCAT(_xlfn.XLOOKUP("[S05_DefaultValues][21][InstallationNumber]",Submission!$O:$O,Submission!$H:$N,""))</f>
        <v>1</v>
      </c>
    </row>
    <row r="224" spans="1:9" ht="15.9" customHeight="1" x14ac:dyDescent="0.3">
      <c r="A224" s="13"/>
      <c r="B224" s="34"/>
      <c r="C224" s="274" t="str">
        <f>_xlfn.CONCAT(_xlfn.XLOOKUP("[S05_DefaultValues][22][InstallationCategory]",Submission!$O:$O,Submission!$H:$N,""))</f>
        <v>Category B installation</v>
      </c>
      <c r="D224" s="414"/>
      <c r="E224" s="414"/>
      <c r="F224" s="414"/>
      <c r="G224" s="364"/>
      <c r="H224" s="123" t="str">
        <f>_xlfn.CONCAT(_xlfn.XLOOKUP("[S05_DefaultValues][22][FuelMaterialType]",Submission!$O:$O,Submission!$H:$N,""))</f>
        <v>oxalic acid 10%</v>
      </c>
      <c r="I224" s="106" t="str">
        <f>_xlfn.CONCAT(_xlfn.XLOOKUP("[S05_DefaultValues][22][InstallationNumber]",Submission!$O:$O,Submission!$H:$N,""))</f>
        <v>1</v>
      </c>
    </row>
    <row r="225" spans="1:9" ht="15.9" customHeight="1" x14ac:dyDescent="0.3">
      <c r="A225" s="13"/>
      <c r="B225" s="34"/>
      <c r="C225" s="274" t="str">
        <f>_xlfn.CONCAT(_xlfn.XLOOKUP("[S05_DefaultValues][23][InstallationCategory]",Submission!$O:$O,Submission!$H:$N,""))</f>
        <v>Category B installation</v>
      </c>
      <c r="D225" s="414"/>
      <c r="E225" s="414"/>
      <c r="F225" s="414"/>
      <c r="G225" s="364"/>
      <c r="H225" s="123" t="str">
        <f>_xlfn.CONCAT(_xlfn.XLOOKUP("[S05_DefaultValues][23][FuelMaterialType]",Submission!$O:$O,Submission!$H:$N,""))</f>
        <v>n-propyl acetate</v>
      </c>
      <c r="I225" s="106" t="str">
        <f>_xlfn.CONCAT(_xlfn.XLOOKUP("[S05_DefaultValues][23][InstallationNumber]",Submission!$O:$O,Submission!$H:$N,""))</f>
        <v>1</v>
      </c>
    </row>
    <row r="226" spans="1:9" ht="15.9" customHeight="1" x14ac:dyDescent="0.3">
      <c r="A226" s="13"/>
      <c r="B226" s="34"/>
      <c r="C226" s="274" t="str">
        <f>_xlfn.CONCAT(_xlfn.XLOOKUP("[S05_DefaultValues][24][InstallationCategory]",Submission!$O:$O,Submission!$H:$N,""))</f>
        <v>Category B installation</v>
      </c>
      <c r="D226" s="414"/>
      <c r="E226" s="414"/>
      <c r="F226" s="414"/>
      <c r="G226" s="364"/>
      <c r="H226" s="123" t="str">
        <f>_xlfn.CONCAT(_xlfn.XLOOKUP("[S05_DefaultValues][24][FuelMaterialType]",Submission!$O:$O,Submission!$H:$N,""))</f>
        <v>Manganese acetate 5%</v>
      </c>
      <c r="I226" s="106" t="str">
        <f>_xlfn.CONCAT(_xlfn.XLOOKUP("[S05_DefaultValues][24][InstallationNumber]",Submission!$O:$O,Submission!$H:$N,""))</f>
        <v>1</v>
      </c>
    </row>
    <row r="227" spans="1:9" ht="15.9" customHeight="1" x14ac:dyDescent="0.3">
      <c r="A227" s="13"/>
      <c r="B227" s="34"/>
      <c r="C227" s="274" t="str">
        <f>_xlfn.CONCAT(_xlfn.XLOOKUP("[S05_DefaultValues][25][InstallationCategory]",Submission!$O:$O,Submission!$H:$N,""))</f>
        <v>Category B installation</v>
      </c>
      <c r="D227" s="414"/>
      <c r="E227" s="414"/>
      <c r="F227" s="414"/>
      <c r="G227" s="364"/>
      <c r="H227" s="123" t="str">
        <f>_xlfn.CONCAT(_xlfn.XLOOKUP("[S05_DefaultValues][25][FuelMaterialType]",Submission!$O:$O,Submission!$H:$N,""))</f>
        <v>Cobalt acetate 5%</v>
      </c>
      <c r="I227" s="106" t="str">
        <f>_xlfn.CONCAT(_xlfn.XLOOKUP("[S05_DefaultValues][25][InstallationNumber]",Submission!$O:$O,Submission!$H:$N,""))</f>
        <v>1</v>
      </c>
    </row>
    <row r="228" spans="1:9" ht="15.9" customHeight="1" x14ac:dyDescent="0.3">
      <c r="A228" s="13"/>
      <c r="B228" s="34"/>
      <c r="C228" s="274" t="str">
        <f>_xlfn.CONCAT(_xlfn.XLOOKUP("[S05_DefaultValues][26][InstallationCategory]",Submission!$O:$O,Submission!$H:$N,""))</f>
        <v/>
      </c>
      <c r="D228" s="414"/>
      <c r="E228" s="414"/>
      <c r="F228" s="414"/>
      <c r="G228" s="364"/>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74" t="str">
        <f>_xlfn.CONCAT(_xlfn.XLOOKUP("[S05_DefaultValues][27][InstallationCategory]",Submission!$O:$O,Submission!$H:$N,""))</f>
        <v/>
      </c>
      <c r="D229" s="414"/>
      <c r="E229" s="414"/>
      <c r="F229" s="414"/>
      <c r="G229" s="364"/>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74" t="str">
        <f>_xlfn.CONCAT(_xlfn.XLOOKUP("[S05_DefaultValues][28][InstallationCategory]",Submission!$O:$O,Submission!$H:$N,""))</f>
        <v/>
      </c>
      <c r="D230" s="414"/>
      <c r="E230" s="414"/>
      <c r="F230" s="414"/>
      <c r="G230" s="364"/>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74" t="str">
        <f>_xlfn.CONCAT(_xlfn.XLOOKUP("[S05_DefaultValues][29][InstallationCategory]",Submission!$O:$O,Submission!$H:$N,""))</f>
        <v/>
      </c>
      <c r="D231" s="414"/>
      <c r="E231" s="414"/>
      <c r="F231" s="414"/>
      <c r="G231" s="364"/>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74" t="str">
        <f>_xlfn.CONCAT(_xlfn.XLOOKUP("[S05_DefaultValues][30][InstallationCategory]",Submission!$O:$O,Submission!$H:$N,""))</f>
        <v/>
      </c>
      <c r="D232" s="414"/>
      <c r="E232" s="414"/>
      <c r="F232" s="414"/>
      <c r="G232" s="364"/>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3" t="str">
        <f>_xlfn.CONCAT(_xlfn.XLOOKUP("[S05_CategoryCHighestTierNotApplied][1][TierInPractice]",Submission!$O:$O,Submission!$H:$N,""))</f>
        <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Calculation based methodology</v>
      </c>
      <c r="D1098" s="260"/>
      <c r="E1098" s="274" t="str">
        <f>_xlfn.CONCAT(_xlfn.XLOOKUP("[S05_CategoryBHighestTierNotApplied][1][CategoryBMainActivity]",Submission!$O:$O,Submission!$H:$N,""))</f>
        <v>24 - Production of pig iron or steel as specified in Annex I of Directive 2003/87/EC</v>
      </c>
      <c r="F1098" s="369"/>
      <c r="G1098" s="259"/>
      <c r="H1098" s="351" t="str">
        <f>_xlfn.CONCAT(_xlfn.XLOOKUP("[S05_CategoryBHighestTierNotApplied][1][CategoryBInstallationsAffected]",Submission!$O:$O,Submission!$H:$N,""))</f>
        <v>2</v>
      </c>
      <c r="I1098" s="352"/>
    </row>
    <row r="1099" spans="1:9" ht="25.95" customHeight="1" x14ac:dyDescent="0.3">
      <c r="B1099" s="34"/>
      <c r="C1099" s="258" t="str">
        <f>_xlfn.CONCAT(_xlfn.XLOOKUP("[S05_CategoryBHighestTierNotApplied][2][MonitoringMethodology]",Submission!$O:$O,Submission!$H:$N,""))</f>
        <v/>
      </c>
      <c r="D1099" s="260"/>
      <c r="E1099" s="274" t="str">
        <f>_xlfn.CONCAT(_xlfn.XLOOKUP("[S05_CategoryBHighestTierNotApplied][2][CategoryBMainActivity]",Submission!$O:$O,Submission!$H:$N,""))</f>
        <v/>
      </c>
      <c r="F1099" s="369"/>
      <c r="G1099" s="259"/>
      <c r="H1099" s="351" t="str">
        <f>_xlfn.CONCAT(_xlfn.XLOOKUP("[S05_CategoryBHighestTierNotApplied][2][CategoryBInstallationsAffected]",Submission!$O:$O,Submission!$H:$N,""))</f>
        <v/>
      </c>
      <c r="I1099" s="352"/>
    </row>
    <row r="1100" spans="1:9" ht="25.95" customHeight="1" x14ac:dyDescent="0.3">
      <c r="B1100" s="34"/>
      <c r="C1100" s="258" t="str">
        <f>_xlfn.CONCAT(_xlfn.XLOOKUP("[S05_CategoryBHighestTierNotApplied][3][MonitoringMethodology]",Submission!$O:$O,Submission!$H:$N,""))</f>
        <v/>
      </c>
      <c r="D1100" s="260"/>
      <c r="E1100" s="274" t="str">
        <f>_xlfn.CONCAT(_xlfn.XLOOKUP("[S05_CategoryBHighestTierNotApplied][3][CategoryBMainActivity]",Submission!$O:$O,Submission!$H:$N,""))</f>
        <v/>
      </c>
      <c r="F1100" s="369"/>
      <c r="G1100" s="259"/>
      <c r="H1100" s="351" t="str">
        <f>_xlfn.CONCAT(_xlfn.XLOOKUP("[S05_CategoryBHighestTierNotApplied][3][CategoryBInstallationsAffected]",Submission!$O:$O,Submission!$H:$N,""))</f>
        <v/>
      </c>
      <c r="I1100" s="352"/>
    </row>
    <row r="1101" spans="1:9" ht="25.95" customHeight="1" x14ac:dyDescent="0.3">
      <c r="B1101" s="34"/>
      <c r="C1101" s="258" t="str">
        <f>_xlfn.CONCAT(_xlfn.XLOOKUP("[S05_CategoryBHighestTierNotApplied][4][MonitoringMethodology]",Submission!$O:$O,Submission!$H:$N,""))</f>
        <v/>
      </c>
      <c r="D1101" s="260"/>
      <c r="E1101" s="274" t="str">
        <f>_xlfn.CONCAT(_xlfn.XLOOKUP("[S05_CategoryBHighestTierNotApplied][4][CategoryBMainActivity]",Submission!$O:$O,Submission!$H:$N,""))</f>
        <v/>
      </c>
      <c r="F1101" s="369"/>
      <c r="G1101" s="259"/>
      <c r="H1101" s="351" t="str">
        <f>_xlfn.CONCAT(_xlfn.XLOOKUP("[S05_CategoryBHighestTierNotApplied][4][CategoryBInstallationsAffected]",Submission!$O:$O,Submission!$H:$N,""))</f>
        <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No</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B</v>
      </c>
      <c r="D1144" s="274" t="str">
        <f>_xlfn.CONCAT(_xlfn.XLOOKUP("[S05_ImprovementReportArt69]["&amp;ROW(B1144)-ROW($B$1143)&amp;"][Annex1Activity]",Submission!$O:$O,Submission!$H:$N,""))</f>
        <v>24 - Production of pig iron or steel as specified in Annex I of Directive 2003/87/EC</v>
      </c>
      <c r="E1144" s="364"/>
      <c r="F1144" s="258" t="str">
        <f>_xlfn.CONCAT(_xlfn.XLOOKUP("[S05_ImprovementReportArt69]["&amp;ROW(B1144)-ROW($B$1143)&amp;"][ImprovementReportType]",Submission!$O:$O,Submission!$H:$N,""))</f>
        <v>Improvement report in accordance with Article 69(1)</v>
      </c>
      <c r="G1144" s="259"/>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1</v>
      </c>
    </row>
    <row r="1145" spans="1:9" ht="27" customHeight="1" x14ac:dyDescent="0.3">
      <c r="A1145" s="12"/>
      <c r="C1145" s="47" t="str">
        <f>_xlfn.CONCAT(_xlfn.XLOOKUP("[S05_ImprovementReportArt69]["&amp;ROW(B1145)-ROW($B$1143)&amp;"][InstallationCategory]",Submission!$O:$O,Submission!$H:$N,""))</f>
        <v>Category C</v>
      </c>
      <c r="D1145" s="274" t="str">
        <f>_xlfn.CONCAT(_xlfn.XLOOKUP("[S05_ImprovementReportArt69]["&amp;ROW(B1145)-ROW($B$1143)&amp;"][Annex1Activity]",Submission!$O:$O,Submission!$H:$N,""))</f>
        <v xml:space="preserve">42 - Production of bulk organic chemicals as specified in Annex I of Directive 2003/87/EC </v>
      </c>
      <c r="E1145" s="364"/>
      <c r="F1145" s="258" t="str">
        <f>_xlfn.CONCAT(_xlfn.XLOOKUP("[S05_ImprovementReportArt69]["&amp;ROW(B1145)-ROW($B$1143)&amp;"][ImprovementReportType]",Submission!$O:$O,Submission!$H:$N,""))</f>
        <v>Improvement report in accordance with Article 69(1)</v>
      </c>
      <c r="G1145" s="259"/>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A</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according to Article 69(4)</v>
      </c>
      <c r="G1146" s="259"/>
      <c r="H1146" s="124" t="str">
        <f>_xlfn.CONCAT(_xlfn.XLOOKUP("[S05_ImprovementReportArt69]["&amp;ROW(B1146)-ROW($B$1143)&amp;"][ImprovementReportRequired]",Submission!$O:$O,Submission!$H:$N,""))</f>
        <v>5</v>
      </c>
      <c r="I1146" s="124" t="str">
        <f>_xlfn.CONCAT(_xlfn.XLOOKUP("[S05_ImprovementReportArt69]["&amp;ROW(B1146)-ROW($B$1143)&amp;"][ImprovementReportSubmitted]",Submission!$O:$O,Submission!$H:$N,""))</f>
        <v>4</v>
      </c>
    </row>
    <row r="1147" spans="1:9" ht="27" customHeight="1" x14ac:dyDescent="0.3">
      <c r="A1147" s="12"/>
      <c r="C1147" s="47" t="str">
        <f>_xlfn.CONCAT(_xlfn.XLOOKUP("[S05_ImprovementReportArt69]["&amp;ROW(B1147)-ROW($B$1143)&amp;"][InstallationCategory]",Submission!$O:$O,Submission!$H:$N,""))</f>
        <v>Category B</v>
      </c>
      <c r="D1147" s="274" t="str">
        <f>_xlfn.CONCAT(_xlfn.XLOOKUP("[S05_ImprovementReportArt69]["&amp;ROW(B1147)-ROW($B$1143)&amp;"][Annex1Activity]",Submission!$O:$O,Submission!$H:$N,""))</f>
        <v>35 - Production of pulp as specified in Annex I of Directive 2003/87/EC</v>
      </c>
      <c r="E1147" s="364"/>
      <c r="F1147" s="258" t="str">
        <f>_xlfn.CONCAT(_xlfn.XLOOKUP("[S05_ImprovementReportArt69]["&amp;ROW(B1147)-ROW($B$1143)&amp;"][ImprovementReportType]",Submission!$O:$O,Submission!$H:$N,""))</f>
        <v>Improvement report according to Article 69(4)</v>
      </c>
      <c r="G1147" s="259"/>
      <c r="H1147" s="124" t="str">
        <f>_xlfn.CONCAT(_xlfn.XLOOKUP("[S05_ImprovementReportArt69]["&amp;ROW(B1147)-ROW($B$1143)&amp;"][ImprovementReportRequired]",Submission!$O:$O,Submission!$H:$N,""))</f>
        <v>2</v>
      </c>
      <c r="I1147" s="124" t="str">
        <f>_xlfn.CONCAT(_xlfn.XLOOKUP("[S05_ImprovementReportArt69]["&amp;ROW(B1147)-ROW($B$1143)&amp;"][ImprovementReportSubmitted]",Submission!$O:$O,Submission!$H:$N,""))</f>
        <v>2</v>
      </c>
    </row>
    <row r="1148" spans="1:9" ht="27" customHeight="1" x14ac:dyDescent="0.3">
      <c r="A1148" s="12"/>
      <c r="C1148" s="47" t="str">
        <f>_xlfn.CONCAT(_xlfn.XLOOKUP("[S05_ImprovementReportArt69]["&amp;ROW(B1148)-ROW($B$1143)&amp;"][InstallationCategory]",Submission!$O:$O,Submission!$H:$N,""))</f>
        <v>Category A</v>
      </c>
      <c r="D1148" s="274" t="str">
        <f>_xlfn.CONCAT(_xlfn.XLOOKUP("[S05_ImprovementReportArt69]["&amp;ROW(B1148)-ROW($B$1143)&amp;"][Annex1Activity]",Submission!$O:$O,Submission!$H:$N,""))</f>
        <v xml:space="preserve">36 - Production of paper or cardboard as specified in Annex I of Directive 2003/87/EC </v>
      </c>
      <c r="E1148" s="364"/>
      <c r="F1148" s="258" t="str">
        <f>_xlfn.CONCAT(_xlfn.XLOOKUP("[S05_ImprovementReportArt69]["&amp;ROW(B1148)-ROW($B$1143)&amp;"][ImprovementReportType]",Submission!$O:$O,Submission!$H:$N,""))</f>
        <v>Improvement report according to Article 69(4)</v>
      </c>
      <c r="G1148" s="259"/>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0</v>
      </c>
    </row>
    <row r="1149" spans="1:9" ht="27" customHeight="1" x14ac:dyDescent="0.3">
      <c r="A1149" s="12"/>
      <c r="C1149" s="47" t="str">
        <f>_xlfn.CONCAT(_xlfn.XLOOKUP("[S05_ImprovementReportArt69]["&amp;ROW(B1149)-ROW($B$1143)&amp;"][InstallationCategory]",Submission!$O:$O,Submission!$H:$N,""))</f>
        <v>Category B</v>
      </c>
      <c r="D1149" s="274" t="str">
        <f>_xlfn.CONCAT(_xlfn.XLOOKUP("[S05_ImprovementReportArt69]["&amp;ROW(B1149)-ROW($B$1143)&amp;"][Annex1Activity]",Submission!$O:$O,Submission!$H:$N,""))</f>
        <v xml:space="preserve">36 - Production of paper or cardboard as specified in Annex I of Directive 2003/87/EC </v>
      </c>
      <c r="E1149" s="364"/>
      <c r="F1149" s="258" t="str">
        <f>_xlfn.CONCAT(_xlfn.XLOOKUP("[S05_ImprovementReportArt69]["&amp;ROW(B1149)-ROW($B$1143)&amp;"][ImprovementReportType]",Submission!$O:$O,Submission!$H:$N,""))</f>
        <v>Improvement report according to Article 69(4)</v>
      </c>
      <c r="G1149" s="259"/>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Category B</v>
      </c>
      <c r="D1150" s="274" t="str">
        <f>_xlfn.CONCAT(_xlfn.XLOOKUP("[S05_ImprovementReportArt69]["&amp;ROW(B1150)-ROW($B$1143)&amp;"][Annex1Activity]",Submission!$O:$O,Submission!$H:$N,""))</f>
        <v>31 - Manufacture of glass as specified in Annex I of Directive 2003/87/EC</v>
      </c>
      <c r="E1150" s="364"/>
      <c r="F1150" s="258" t="str">
        <f>_xlfn.CONCAT(_xlfn.XLOOKUP("[S05_ImprovementReportArt69]["&amp;ROW(B1150)-ROW($B$1143)&amp;"][ImprovementReportType]",Submission!$O:$O,Submission!$H:$N,""))</f>
        <v>Improvement report according to Article 69(4)</v>
      </c>
      <c r="G1150" s="259"/>
      <c r="H1150" s="124" t="str">
        <f>_xlfn.CONCAT(_xlfn.XLOOKUP("[S05_ImprovementReportArt69]["&amp;ROW(B1150)-ROW($B$1143)&amp;"][ImprovementReportRequired]",Submission!$O:$O,Submission!$H:$N,""))</f>
        <v>1</v>
      </c>
      <c r="I1150" s="124" t="str">
        <f>_xlfn.CONCAT(_xlfn.XLOOKUP("[S05_ImprovementReportArt69]["&amp;ROW(B1150)-ROW($B$1143)&amp;"][ImprovementReportSubmitted]",Submission!$O:$O,Submission!$H:$N,""))</f>
        <v>1</v>
      </c>
    </row>
    <row r="1151" spans="1:9" ht="27" customHeight="1" x14ac:dyDescent="0.3">
      <c r="A1151" s="12"/>
      <c r="C1151" s="47" t="str">
        <f>_xlfn.CONCAT(_xlfn.XLOOKUP("[S05_ImprovementReportArt69]["&amp;ROW(B1151)-ROW($B$1143)&amp;"][InstallationCategory]",Submission!$O:$O,Submission!$H:$N,""))</f>
        <v>Category B</v>
      </c>
      <c r="D1151" s="274" t="str">
        <f>_xlfn.CONCAT(_xlfn.XLOOKUP("[S05_ImprovementReportArt69]["&amp;ROW(B1151)-ROW($B$1143)&amp;"][Annex1Activity]",Submission!$O:$O,Submission!$H:$N,""))</f>
        <v>29 - Production of cement clinker in rotary kilns as specified in Annex I of Directive 2003/87/ EC</v>
      </c>
      <c r="E1151" s="364"/>
      <c r="F1151" s="258" t="str">
        <f>_xlfn.CONCAT(_xlfn.XLOOKUP("[S05_ImprovementReportArt69]["&amp;ROW(B1151)-ROW($B$1143)&amp;"][ImprovementReportType]",Submission!$O:$O,Submission!$H:$N,""))</f>
        <v>Improvement report according to Article 69(4)</v>
      </c>
      <c r="G1151" s="259"/>
      <c r="H1151" s="124" t="str">
        <f>_xlfn.CONCAT(_xlfn.XLOOKUP("[S05_ImprovementReportArt69]["&amp;ROW(B1151)-ROW($B$1143)&amp;"][ImprovementReportRequired]",Submission!$O:$O,Submission!$H:$N,""))</f>
        <v>2</v>
      </c>
      <c r="I1151" s="124" t="str">
        <f>_xlfn.CONCAT(_xlfn.XLOOKUP("[S05_ImprovementReportArt69]["&amp;ROW(B1151)-ROW($B$1143)&amp;"][ImprovementReportSubmitted]",Submission!$O:$O,Submission!$H:$N,""))</f>
        <v>2</v>
      </c>
    </row>
    <row r="1152" spans="1:9" ht="27" customHeight="1" x14ac:dyDescent="0.3">
      <c r="A1152" s="12"/>
      <c r="C1152" s="47" t="str">
        <f>_xlfn.CONCAT(_xlfn.XLOOKUP("[S05_ImprovementReportArt69]["&amp;ROW(B1152)-ROW($B$1143)&amp;"][InstallationCategory]",Submission!$O:$O,Submission!$H:$N,""))</f>
        <v>Category C</v>
      </c>
      <c r="D1152" s="274" t="str">
        <f>_xlfn.CONCAT(_xlfn.XLOOKUP("[S05_ImprovementReportArt69]["&amp;ROW(B1152)-ROW($B$1143)&amp;"][Annex1Activity]",Submission!$O:$O,Submission!$H:$N,""))</f>
        <v>29 - Production of cement clinker in rotary kilns as specified in Annex I of Directive 2003/87/ EC</v>
      </c>
      <c r="E1152" s="364"/>
      <c r="F1152" s="258" t="str">
        <f>_xlfn.CONCAT(_xlfn.XLOOKUP("[S05_ImprovementReportArt69]["&amp;ROW(B1152)-ROW($B$1143)&amp;"][ImprovementReportType]",Submission!$O:$O,Submission!$H:$N,""))</f>
        <v>Improvement report according to Article 69(4)</v>
      </c>
      <c r="G1152" s="259"/>
      <c r="H1152" s="124" t="str">
        <f>_xlfn.CONCAT(_xlfn.XLOOKUP("[S05_ImprovementReportArt69]["&amp;ROW(B1152)-ROW($B$1143)&amp;"][ImprovementReportRequired]",Submission!$O:$O,Submission!$H:$N,""))</f>
        <v>4</v>
      </c>
      <c r="I1152" s="124" t="str">
        <f>_xlfn.CONCAT(_xlfn.XLOOKUP("[S05_ImprovementReportArt69]["&amp;ROW(B1152)-ROW($B$1143)&amp;"][ImprovementReportSubmitted]",Submission!$O:$O,Submission!$H:$N,""))</f>
        <v>4</v>
      </c>
    </row>
    <row r="1153" spans="1:9" ht="27" customHeight="1" x14ac:dyDescent="0.3">
      <c r="A1153" s="12"/>
      <c r="C1153" s="47" t="str">
        <f>_xlfn.CONCAT(_xlfn.XLOOKUP("[S05_ImprovementReportArt69]["&amp;ROW(B1153)-ROW($B$1143)&amp;"][InstallationCategory]",Submission!$O:$O,Submission!$H:$N,""))</f>
        <v>Category A</v>
      </c>
      <c r="D1153" s="274" t="str">
        <f>_xlfn.CONCAT(_xlfn.XLOOKUP("[S05_ImprovementReportArt69]["&amp;ROW(B1153)-ROW($B$1143)&amp;"][Annex1Activity]",Submission!$O:$O,Submission!$H:$N,""))</f>
        <v>32 - Manufacture of ceramic products as specified in Annex I of Directive 2003/87/EC</v>
      </c>
      <c r="E1153" s="364"/>
      <c r="F1153" s="258" t="str">
        <f>_xlfn.CONCAT(_xlfn.XLOOKUP("[S05_ImprovementReportArt69]["&amp;ROW(B1153)-ROW($B$1143)&amp;"][ImprovementReportType]",Submission!$O:$O,Submission!$H:$N,""))</f>
        <v>Improvement report according to Article 69(4)</v>
      </c>
      <c r="G1153" s="259"/>
      <c r="H1153" s="124" t="str">
        <f>_xlfn.CONCAT(_xlfn.XLOOKUP("[S05_ImprovementReportArt69]["&amp;ROW(B1153)-ROW($B$1143)&amp;"][ImprovementReportRequired]",Submission!$O:$O,Submission!$H:$N,""))</f>
        <v>4</v>
      </c>
      <c r="I1153" s="124" t="str">
        <f>_xlfn.CONCAT(_xlfn.XLOOKUP("[S05_ImprovementReportArt69]["&amp;ROW(B1153)-ROW($B$1143)&amp;"][ImprovementReportSubmitted]",Submission!$O:$O,Submission!$H:$N,""))</f>
        <v>4</v>
      </c>
    </row>
    <row r="1154" spans="1:9" ht="27" customHeight="1" x14ac:dyDescent="0.3">
      <c r="A1154" s="12"/>
      <c r="C1154" s="47" t="str">
        <f>_xlfn.CONCAT(_xlfn.XLOOKUP("[S05_ImprovementReportArt69]["&amp;ROW(B1154)-ROW($B$1143)&amp;"][InstallationCategory]",Submission!$O:$O,Submission!$H:$N,""))</f>
        <v>Category C</v>
      </c>
      <c r="D1154" s="274" t="str">
        <f>_xlfn.CONCAT(_xlfn.XLOOKUP("[S05_ImprovementReportArt69]["&amp;ROW(B1154)-ROW($B$1143)&amp;"][Annex1Activity]",Submission!$O:$O,Submission!$H:$N,""))</f>
        <v>21 - Refining of mineral oil</v>
      </c>
      <c r="E1154" s="364"/>
      <c r="F1154" s="258" t="str">
        <f>_xlfn.CONCAT(_xlfn.XLOOKUP("[S05_ImprovementReportArt69]["&amp;ROW(B1154)-ROW($B$1143)&amp;"][ImprovementReportType]",Submission!$O:$O,Submission!$H:$N,""))</f>
        <v>Improvement report according to Article 69(4)</v>
      </c>
      <c r="G1154" s="259"/>
      <c r="H1154" s="124" t="str">
        <f>_xlfn.CONCAT(_xlfn.XLOOKUP("[S05_ImprovementReportArt69]["&amp;ROW(B1154)-ROW($B$1143)&amp;"][ImprovementReportRequired]",Submission!$O:$O,Submission!$H:$N,""))</f>
        <v>1</v>
      </c>
      <c r="I1154" s="124" t="str">
        <f>_xlfn.CONCAT(_xlfn.XLOOKUP("[S05_ImprovementReportArt69]["&amp;ROW(B1154)-ROW($B$1143)&amp;"][ImprovementReportSubmitted]",Submission!$O:$O,Submission!$H:$N,""))</f>
        <v>1</v>
      </c>
    </row>
    <row r="1155" spans="1:9" ht="27" customHeight="1" x14ac:dyDescent="0.3">
      <c r="A1155" s="12"/>
      <c r="C1155" s="47" t="str">
        <f>_xlfn.CONCAT(_xlfn.XLOOKUP("[S05_ImprovementReportArt69]["&amp;ROW(B1155)-ROW($B$1143)&amp;"][InstallationCategory]",Submission!$O:$O,Submission!$H:$N,""))</f>
        <v>Category B</v>
      </c>
      <c r="D1155" s="274" t="str">
        <f>_xlfn.CONCAT(_xlfn.XLOOKUP("[S05_ImprovementReportArt69]["&amp;ROW(B1155)-ROW($B$1143)&amp;"][Annex1Activity]",Submission!$O:$O,Submission!$H:$N,""))</f>
        <v xml:space="preserve">42 - Production of bulk organic chemicals as specified in Annex I of Directive 2003/87/EC </v>
      </c>
      <c r="E1155" s="364"/>
      <c r="F1155" s="258" t="str">
        <f>_xlfn.CONCAT(_xlfn.XLOOKUP("[S05_ImprovementReportArt69]["&amp;ROW(B1155)-ROW($B$1143)&amp;"][ImprovementReportType]",Submission!$O:$O,Submission!$H:$N,""))</f>
        <v>Improvement report according to Article 69(4)</v>
      </c>
      <c r="G1155" s="259"/>
      <c r="H1155" s="124" t="str">
        <f>_xlfn.CONCAT(_xlfn.XLOOKUP("[S05_ImprovementReportArt69]["&amp;ROW(B1155)-ROW($B$1143)&amp;"][ImprovementReportRequired]",Submission!$O:$O,Submission!$H:$N,""))</f>
        <v>1</v>
      </c>
      <c r="I1155" s="124" t="str">
        <f>_xlfn.CONCAT(_xlfn.XLOOKUP("[S05_ImprovementReportArt69]["&amp;ROW(B1155)-ROW($B$1143)&amp;"][ImprovementReportSubmitted]",Submission!$O:$O,Submission!$H:$N,""))</f>
        <v>1</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Yes</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CO2 in PCC (Article 49(1) (b))</v>
      </c>
      <c r="D1220" s="72" t="str">
        <f>_xlfn.CONCAT(_xlfn.XLOOKUP("[S05_InherentCarbonTransferredDetail]["&amp;ROW(B1220)-ROW($B$1219)&amp;"][InstallationIdTransferring]",Submission!$O:$O,Submission!$H:$N,""))</f>
        <v>PTE</v>
      </c>
      <c r="E1220" s="72" t="str">
        <f>_xlfn.CONCAT(_xlfn.XLOOKUP("[S05_InherentCarbonTransferredDetail]["&amp;ROW(B1220)-ROW($B$1219)&amp;"][InstallationIdReceiving]",Submission!$O:$O,Submission!$H:$N,""))</f>
        <v>non EU ETS consumer</v>
      </c>
      <c r="F1220" s="124" t="str">
        <f>_xlfn.CONCAT(_xlfn.XLOOKUP("[S05_InherentCarbonTransferredDetail]["&amp;ROW(B1220)-ROW($B$1219)&amp;"][AmountCO2Transferred]",Submission!$O:$O,Submission!$H:$N,""))</f>
        <v>16645.1891562482</v>
      </c>
      <c r="G1220" s="124" t="str">
        <f>_xlfn.CONCAT(_xlfn.XLOOKUP("[S05_InherentCarbonTransferredDetail]["&amp;ROW(B1220)-ROW($B$1219)&amp;"][InherentCO2Received]",Submission!$O:$O,Submission!$H:$N,""))</f>
        <v>0</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Transfer of CO2 in PCC (Article 49(1) (b))</v>
      </c>
      <c r="D1221" s="72" t="str">
        <f>_xlfn.CONCAT(_xlfn.XLOOKUP("[S05_InherentCarbonTransferredDetail]["&amp;ROW(B1221)-ROW($B$1219)&amp;"][InstallationIdTransferring]",Submission!$O:$O,Submission!$H:$N,""))</f>
        <v>PTF</v>
      </c>
      <c r="E1221" s="72" t="str">
        <f>_xlfn.CONCAT(_xlfn.XLOOKUP("[S05_InherentCarbonTransferredDetail]["&amp;ROW(B1221)-ROW($B$1219)&amp;"][InstallationIdReceiving]",Submission!$O:$O,Submission!$H:$N,""))</f>
        <v>non EU ETS consumer</v>
      </c>
      <c r="F1221" s="124" t="str">
        <f>_xlfn.CONCAT(_xlfn.XLOOKUP("[S05_InherentCarbonTransferredDetail]["&amp;ROW(B1221)-ROW($B$1219)&amp;"][AmountCO2Transferred]",Submission!$O:$O,Submission!$H:$N,""))</f>
        <v>3314.23865362341</v>
      </c>
      <c r="G1221" s="124" t="str">
        <f>_xlfn.CONCAT(_xlfn.XLOOKUP("[S05_InherentCarbonTransferredDetail]["&amp;ROW(B1221)-ROW($B$1219)&amp;"][InherentCO2Received]",Submission!$O:$O,Submission!$H:$N,""))</f>
        <v>0</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Yes</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PTB</v>
      </c>
      <c r="D1327" s="260"/>
      <c r="E1327" s="258" t="str">
        <f>_xlfn.CONCAT(_xlfn.XLOOKUP("[S05_ContinuousEmissionsMeasurementDetail][1][InstallationIDN2O]",Submission!$O:$O,Submission!$H:$N,""))</f>
        <v>PTB</v>
      </c>
      <c r="F1327" s="260"/>
      <c r="G1327" s="127" t="str">
        <f>_xlfn.CONCAT(_xlfn.XLOOKUP("[S05_ContinuousEmissionsMeasurementDetail][1][TotalEmissionsCO2E]",Submission!$O:$O,Submission!$H:$N,""))</f>
        <v>28371</v>
      </c>
      <c r="H1327" s="127" t="str">
        <f>_xlfn.CONCAT(_xlfn.XLOOKUP("[S05_ContinuousEmissionsMeasurementDetail][1][ContinuousMeasurementTotalEmissions]",Submission!$O:$O,Submission!$H:$N,""))</f>
        <v>12632</v>
      </c>
      <c r="I1327" s="72" t="str">
        <f>_xlfn.CONCAT(_xlfn.XLOOKUP("[S05_ContinuousEmissionsMeasurementDetail][1][FlueGasContainBiomass]",Submission!$O:$O,Submission!$H:$N,""))</f>
        <v>No</v>
      </c>
    </row>
    <row r="1328" spans="1:12" ht="15.9" customHeight="1" x14ac:dyDescent="0.3">
      <c r="A1328" s="13"/>
      <c r="B1328" s="23"/>
      <c r="C1328" s="258" t="str">
        <f>_xlfn.CONCAT(_xlfn.XLOOKUP("[S05_ContinuousEmissionsMeasurementDetail][2][InstallationIDCO2]",Submission!$O:$O,Submission!$H:$N,""))</f>
        <v>PTC</v>
      </c>
      <c r="D1328" s="260"/>
      <c r="E1328" s="258" t="str">
        <f>_xlfn.CONCAT(_xlfn.XLOOKUP("[S05_ContinuousEmissionsMeasurementDetail][2][InstallationIDN2O]",Submission!$O:$O,Submission!$H:$N,""))</f>
        <v>PTC</v>
      </c>
      <c r="F1328" s="260"/>
      <c r="G1328" s="127" t="str">
        <f>_xlfn.CONCAT(_xlfn.XLOOKUP("[S05_ContinuousEmissionsMeasurementDetail][2][TotalEmissionsCO2E]",Submission!$O:$O,Submission!$H:$N,""))</f>
        <v>19930</v>
      </c>
      <c r="H1328" s="127" t="str">
        <f>_xlfn.CONCAT(_xlfn.XLOOKUP("[S05_ContinuousEmissionsMeasurementDetail][2][ContinuousMeasurementTotalEmissions]",Submission!$O:$O,Submission!$H:$N,""))</f>
        <v>13907</v>
      </c>
      <c r="I1328" s="72" t="str">
        <f>_xlfn.CONCAT(_xlfn.XLOOKUP("[S05_ContinuousEmissionsMeasurementDetail][2][FlueGasContainBiomass]",Submission!$O:$O,Submission!$H:$N,""))</f>
        <v>No</v>
      </c>
    </row>
    <row r="1329" spans="1:9" ht="15.9" customHeight="1" x14ac:dyDescent="0.3">
      <c r="A1329" s="13"/>
      <c r="B1329" s="23"/>
      <c r="C1329" s="258" t="str">
        <f>_xlfn.CONCAT(_xlfn.XLOOKUP("[S05_ContinuousEmissionsMeasurementDetail][3][InstallationIDCO2]",Submission!$O:$O,Submission!$H:$N,""))</f>
        <v>PTD</v>
      </c>
      <c r="D1329" s="260"/>
      <c r="E1329" s="258" t="str">
        <f>_xlfn.CONCAT(_xlfn.XLOOKUP("[S05_ContinuousEmissionsMeasurementDetail][3][InstallationIDN2O]",Submission!$O:$O,Submission!$H:$N,""))</f>
        <v>PTD</v>
      </c>
      <c r="F1329" s="260"/>
      <c r="G1329" s="127" t="str">
        <f>_xlfn.CONCAT(_xlfn.XLOOKUP("[S05_ContinuousEmissionsMeasurementDetail][3][TotalEmissionsCO2E]",Submission!$O:$O,Submission!$H:$N,""))</f>
        <v>17926</v>
      </c>
      <c r="H1329" s="127" t="str">
        <f>_xlfn.CONCAT(_xlfn.XLOOKUP("[S05_ContinuousEmissionsMeasurementDetail][3][ContinuousMeasurementTotalEmissions]",Submission!$O:$O,Submission!$H:$N,""))</f>
        <v>17552</v>
      </c>
      <c r="I1329" s="72" t="str">
        <f>_xlfn.CONCAT(_xlfn.XLOOKUP("[S05_ContinuousEmissionsMeasurementDetail][3][FlueGasContainBiomass]",Submission!$O:$O,Submission!$H:$N,""))</f>
        <v>No</v>
      </c>
    </row>
    <row r="1330" spans="1:9" ht="15.9" customHeight="1" x14ac:dyDescent="0.3">
      <c r="A1330" s="13"/>
      <c r="B1330" s="23"/>
      <c r="C1330" s="258" t="str">
        <f>_xlfn.CONCAT(_xlfn.XLOOKUP("[S05_ContinuousEmissionsMeasurementDetail][4][InstallationIDCO2]",Submission!$O:$O,Submission!$H:$N,""))</f>
        <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58" t="str">
        <f>_xlfn.CONCAT(_xlfn.XLOOKUP("[S05_ContinuousEmissionsMeasurementDetail][5][InstallationIDCO2]",Submission!$O:$O,Submission!$H:$N,""))</f>
        <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58" t="str">
        <f>_xlfn.CONCAT(_xlfn.XLOOKUP("[S05_ContinuousEmissionsMeasurementDetail][6][InstallationIDCO2]",Submission!$O:$O,Submission!$H:$N,""))</f>
        <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30 - Production of lime or calcination of dolomite or magnesite as specified in Annex I of Directive 2003/87/ EC</v>
      </c>
      <c r="D1389" s="128" t="str">
        <f>_xlfn.CONCAT(_xlfn.XLOOKUP("[S05_BiomassInstallations][1][BiomassInstallationCategory]",Submission!$O:$O,Submission!$H:$N,""))</f>
        <v>Category A</v>
      </c>
      <c r="E1389" s="126" t="str">
        <f>_xlfn.CONCAT(_xlfn.XLOOKUP("[S05_BiomassInstallations][1][NumberUsingBiomass]",Submission!$O:$O,Submission!$H:$N,""))</f>
        <v>2</v>
      </c>
      <c r="F1389" s="126" t="str">
        <f>_xlfn.CONCAT(_xlfn.XLOOKUP("[S05_BiomassInstallations][1][EmissionsBiomassSustainabilitySatisfied]",Submission!$O:$O,Submission!$H:$N,""))</f>
        <v>0</v>
      </c>
      <c r="G1389" s="126" t="str">
        <f>_xlfn.CONCAT(_xlfn.XLOOKUP("[S05_BiomassInstallations][1][EmissionsBiomassSustainabilityNotSatisfied]",Submission!$O:$O,Submission!$H:$N,""))</f>
        <v>0</v>
      </c>
      <c r="H1389" s="126" t="str">
        <f>_xlfn.CONCAT(_xlfn.XLOOKUP("[S05_BiomassInstallations][1][EmissionsFossil]",Submission!$O:$O,Submission!$H:$N,""))</f>
        <v>0</v>
      </c>
      <c r="I1389" s="126" t="str">
        <f>_xlfn.CONCAT(_xlfn.XLOOKUP("[S05_BiomassInstallations][1][EnergyZeroRatedBiomass]",Submission!$O:$O,Submission!$H:$N,""))</f>
        <v>267.14</v>
      </c>
      <c r="J1389" s="126" t="str">
        <f>_xlfn.CONCAT(_xlfn.XLOOKUP("[S05_BiomassInstallations][1][EnergyNonZeroRatedBiomass]",Submission!$O:$O,Submission!$H:$N,""))</f>
        <v>0</v>
      </c>
      <c r="K1389" s="126" t="str">
        <f>_xlfn.CONCAT(_xlfn.XLOOKUP("[S05_BiomassInstallations][1][EnergyFossil]",Submission!$O:$O,Submission!$H:$N,""))</f>
        <v>0</v>
      </c>
    </row>
    <row r="1390" spans="1:11" ht="44.4" customHeight="1" x14ac:dyDescent="0.3">
      <c r="A1390" s="12"/>
      <c r="C1390" s="125" t="str">
        <f>_xlfn.CONCAT(_xlfn.XLOOKUP("[S05_BiomassInstallations][2][Annex1Activity]",Submission!$O:$O,Submission!$H:$N,""))</f>
        <v>30 - Production of lime or calcination of dolomite or magnesite as specified in Annex I of Directive 2003/87/ EC</v>
      </c>
      <c r="D1390" s="128" t="str">
        <f>_xlfn.CONCAT(_xlfn.XLOOKUP("[S05_BiomassInstallations][2][BiomassInstallationCategory]",Submission!$O:$O,Submission!$H:$N,""))</f>
        <v>Category B</v>
      </c>
      <c r="E1390" s="126" t="str">
        <f>_xlfn.CONCAT(_xlfn.XLOOKUP("[S05_BiomassInstallations][2][NumberUsingBiomass]",Submission!$O:$O,Submission!$H:$N,""))</f>
        <v>2</v>
      </c>
      <c r="F1390" s="126" t="str">
        <f>_xlfn.CONCAT(_xlfn.XLOOKUP("[S05_BiomassInstallations][2][EmissionsBiomassSustainabilitySatisfied]",Submission!$O:$O,Submission!$H:$N,""))</f>
        <v>0</v>
      </c>
      <c r="G1390" s="126" t="str">
        <f>_xlfn.CONCAT(_xlfn.XLOOKUP("[S05_BiomassInstallations][2][EmissionsBiomassSustainabilityNotSatisfied]",Submission!$O:$O,Submission!$H:$N,""))</f>
        <v>0</v>
      </c>
      <c r="H1390" s="126" t="str">
        <f>_xlfn.CONCAT(_xlfn.XLOOKUP("[S05_BiomassInstallations][2][EmissionsFossil]",Submission!$O:$O,Submission!$H:$N,""))</f>
        <v>0</v>
      </c>
      <c r="I1390" s="126" t="str">
        <f>_xlfn.CONCAT(_xlfn.XLOOKUP("[S05_BiomassInstallations][2][EnergyZeroRatedBiomass]",Submission!$O:$O,Submission!$H:$N,""))</f>
        <v>96.66</v>
      </c>
      <c r="J1390" s="126" t="str">
        <f>_xlfn.CONCAT(_xlfn.XLOOKUP("[S05_BiomassInstallations][2][EnergyNonZeroRatedBiomass]",Submission!$O:$O,Submission!$H:$N,""))</f>
        <v>0</v>
      </c>
      <c r="K1390" s="126" t="str">
        <f>_xlfn.CONCAT(_xlfn.XLOOKUP("[S05_BiomassInstallations][2][EnergyFossil]",Submission!$O:$O,Submission!$H:$N,""))</f>
        <v>0</v>
      </c>
    </row>
    <row r="1391" spans="1:11" ht="44.4" customHeight="1" x14ac:dyDescent="0.3">
      <c r="A1391" s="12"/>
      <c r="C1391" s="125" t="str">
        <f>_xlfn.CONCAT(_xlfn.XLOOKUP("[S05_BiomassInstallations][3][Annex1Activity]",Submission!$O:$O,Submission!$H:$N,""))</f>
        <v>32 - Manufacture of ceramic products as specified in Annex I of Directive 2003/87/EC</v>
      </c>
      <c r="D1391" s="128" t="str">
        <f>_xlfn.CONCAT(_xlfn.XLOOKUP("[S05_BiomassInstallations][3][BiomassInstallationCategory]",Submission!$O:$O,Submission!$H:$N,""))</f>
        <v>Category A</v>
      </c>
      <c r="E1391" s="126" t="str">
        <f>_xlfn.CONCAT(_xlfn.XLOOKUP("[S05_BiomassInstallations][3][NumberUsingBiomass]",Submission!$O:$O,Submission!$H:$N,""))</f>
        <v>14</v>
      </c>
      <c r="F1391" s="126" t="str">
        <f>_xlfn.CONCAT(_xlfn.XLOOKUP("[S05_BiomassInstallations][3][EmissionsBiomassSustainabilitySatisfied]",Submission!$O:$O,Submission!$H:$N,""))</f>
        <v>0</v>
      </c>
      <c r="G1391" s="126" t="str">
        <f>_xlfn.CONCAT(_xlfn.XLOOKUP("[S05_BiomassInstallations][3][EmissionsBiomassSustainabilityNotSatisfied]",Submission!$O:$O,Submission!$H:$N,""))</f>
        <v>0</v>
      </c>
      <c r="H1391" s="126" t="str">
        <f>_xlfn.CONCAT(_xlfn.XLOOKUP("[S05_BiomassInstallations][3][EmissionsFossil]",Submission!$O:$O,Submission!$H:$N,""))</f>
        <v>0</v>
      </c>
      <c r="I1391" s="126" t="str">
        <f>_xlfn.CONCAT(_xlfn.XLOOKUP("[S05_BiomassInstallations][3][EnergyZeroRatedBiomass]",Submission!$O:$O,Submission!$H:$N,""))</f>
        <v>1020.4</v>
      </c>
      <c r="J1391" s="126" t="str">
        <f>_xlfn.CONCAT(_xlfn.XLOOKUP("[S05_BiomassInstallations][3][EnergyNonZeroRatedBiomass]",Submission!$O:$O,Submission!$H:$N,""))</f>
        <v>0</v>
      </c>
      <c r="K1391" s="126" t="str">
        <f>_xlfn.CONCAT(_xlfn.XLOOKUP("[S05_BiomassInstallations][3][EnergyFossil]",Submission!$O:$O,Submission!$H:$N,""))</f>
        <v>0</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B</v>
      </c>
      <c r="E1392" s="126" t="str">
        <f>_xlfn.CONCAT(_xlfn.XLOOKUP("[S05_BiomassInstallations][4][NumberUsingBiomass]",Submission!$O:$O,Submission!$H:$N,""))</f>
        <v>1</v>
      </c>
      <c r="F1392" s="126" t="str">
        <f>_xlfn.CONCAT(_xlfn.XLOOKUP("[S05_BiomassInstallations][4][EmissionsBiomassSustainabilitySatisfied]",Submission!$O:$O,Submission!$H:$N,""))</f>
        <v>7922.6</v>
      </c>
      <c r="G1392" s="126" t="str">
        <f>_xlfn.CONCAT(_xlfn.XLOOKUP("[S05_BiomassInstallations][4][EmissionsBiomassSustainabilityNotSatisfied]",Submission!$O:$O,Submission!$H:$N,""))</f>
        <v>0</v>
      </c>
      <c r="H1392" s="126" t="str">
        <f>_xlfn.CONCAT(_xlfn.XLOOKUP("[S05_BiomassInstallations][4][EmissionsFossil]",Submission!$O:$O,Submission!$H:$N,""))</f>
        <v>0</v>
      </c>
      <c r="I1392" s="126" t="str">
        <f>_xlfn.CONCAT(_xlfn.XLOOKUP("[S05_BiomassInstallations][4][EnergyZeroRatedBiomass]",Submission!$O:$O,Submission!$H:$N,""))</f>
        <v>80.38</v>
      </c>
      <c r="J1392" s="126" t="str">
        <f>_xlfn.CONCAT(_xlfn.XLOOKUP("[S05_BiomassInstallations][4][EnergyNonZeroRatedBiomass]",Submission!$O:$O,Submission!$H:$N,""))</f>
        <v>0</v>
      </c>
      <c r="K1392" s="126" t="str">
        <f>_xlfn.CONCAT(_xlfn.XLOOKUP("[S05_BiomassInstallations][4][EnergyFossil]",Submission!$O:$O,Submission!$H:$N,""))</f>
        <v>0</v>
      </c>
    </row>
    <row r="1393" spans="1:11" ht="44.4" customHeight="1" x14ac:dyDescent="0.3">
      <c r="A1393" s="12"/>
      <c r="C1393" s="125" t="str">
        <f>_xlfn.CONCAT(_xlfn.XLOOKUP("[S05_BiomassInstallations][5][Annex1Activity]",Submission!$O:$O,Submission!$H:$N,""))</f>
        <v>29 - Production of cement clinker in rotary kilns as specified in Annex I of Directive 2003/87/ EC</v>
      </c>
      <c r="D1393" s="128" t="str">
        <f>_xlfn.CONCAT(_xlfn.XLOOKUP("[S05_BiomassInstallations][5][BiomassInstallationCategory]",Submission!$O:$O,Submission!$H:$N,""))</f>
        <v>Category C</v>
      </c>
      <c r="E1393" s="126" t="str">
        <f>_xlfn.CONCAT(_xlfn.XLOOKUP("[S05_BiomassInstallations][5][NumberUsingBiomass]",Submission!$O:$O,Submission!$H:$N,""))</f>
        <v>2</v>
      </c>
      <c r="F1393" s="126" t="str">
        <f>_xlfn.CONCAT(_xlfn.XLOOKUP("[S05_BiomassInstallations][5][EmissionsBiomassSustainabilitySatisfied]",Submission!$O:$O,Submission!$H:$N,""))</f>
        <v>13510.2</v>
      </c>
      <c r="G1393" s="126" t="str">
        <f>_xlfn.CONCAT(_xlfn.XLOOKUP("[S05_BiomassInstallations][5][EmissionsBiomassSustainabilityNotSatisfied]",Submission!$O:$O,Submission!$H:$N,""))</f>
        <v>0</v>
      </c>
      <c r="H1393" s="126" t="str">
        <f>_xlfn.CONCAT(_xlfn.XLOOKUP("[S05_BiomassInstallations][5][EmissionsFossil]",Submission!$O:$O,Submission!$H:$N,""))</f>
        <v>0</v>
      </c>
      <c r="I1393" s="126" t="str">
        <f>_xlfn.CONCAT(_xlfn.XLOOKUP("[S05_BiomassInstallations][5][EnergyZeroRatedBiomass]",Submission!$O:$O,Submission!$H:$N,""))</f>
        <v>179.42</v>
      </c>
      <c r="J1393" s="126" t="str">
        <f>_xlfn.CONCAT(_xlfn.XLOOKUP("[S05_BiomassInstallations][5][EnergyNonZeroRatedBiomass]",Submission!$O:$O,Submission!$H:$N,""))</f>
        <v>0</v>
      </c>
      <c r="K1393" s="126" t="str">
        <f>_xlfn.CONCAT(_xlfn.XLOOKUP("[S05_BiomassInstallations][5][EnergyFossil]",Submission!$O:$O,Submission!$H:$N,""))</f>
        <v>0</v>
      </c>
    </row>
    <row r="1394" spans="1:11" ht="44.4" customHeight="1" x14ac:dyDescent="0.3">
      <c r="A1394" s="12"/>
      <c r="C1394" s="125" t="str">
        <f>_xlfn.CONCAT(_xlfn.XLOOKUP("[S05_BiomassInstallations][6][Annex1Activity]",Submission!$O:$O,Submission!$H:$N,""))</f>
        <v>20 - Combustion of fuels as specified in Annex I of Directive 2003/87/EC</v>
      </c>
      <c r="D1394" s="128" t="str">
        <f>_xlfn.CONCAT(_xlfn.XLOOKUP("[S05_BiomassInstallations][6][BiomassInstallationCategory]",Submission!$O:$O,Submission!$H:$N,""))</f>
        <v>Category A</v>
      </c>
      <c r="E1394" s="126" t="str">
        <f>_xlfn.CONCAT(_xlfn.XLOOKUP("[S05_BiomassInstallations][6][NumberUsingBiomass]",Submission!$O:$O,Submission!$H:$N,""))</f>
        <v>3</v>
      </c>
      <c r="F1394" s="126" t="str">
        <f>_xlfn.CONCAT(_xlfn.XLOOKUP("[S05_BiomassInstallations][6][EmissionsBiomassSustainabilitySatisfied]",Submission!$O:$O,Submission!$H:$N,""))</f>
        <v>0</v>
      </c>
      <c r="G1394" s="126" t="str">
        <f>_xlfn.CONCAT(_xlfn.XLOOKUP("[S05_BiomassInstallations][6][EmissionsBiomassSustainabilityNotSatisfied]",Submission!$O:$O,Submission!$H:$N,""))</f>
        <v>0</v>
      </c>
      <c r="H1394" s="126" t="str">
        <f>_xlfn.CONCAT(_xlfn.XLOOKUP("[S05_BiomassInstallations][6][EmissionsFossil]",Submission!$O:$O,Submission!$H:$N,""))</f>
        <v>0</v>
      </c>
      <c r="I1394" s="126" t="str">
        <f>_xlfn.CONCAT(_xlfn.XLOOKUP("[S05_BiomassInstallations][6][EnergyZeroRatedBiomass]",Submission!$O:$O,Submission!$H:$N,""))</f>
        <v>1228.36</v>
      </c>
      <c r="J1394" s="126" t="str">
        <f>_xlfn.CONCAT(_xlfn.XLOOKUP("[S05_BiomassInstallations][6][EnergyNonZeroRatedBiomass]",Submission!$O:$O,Submission!$H:$N,""))</f>
        <v>0</v>
      </c>
      <c r="K1394" s="126" t="str">
        <f>_xlfn.CONCAT(_xlfn.XLOOKUP("[S05_BiomassInstallations][6][EnergyFossil]",Submission!$O:$O,Submission!$H:$N,""))</f>
        <v>0</v>
      </c>
    </row>
    <row r="1395" spans="1:11" ht="44.4" customHeight="1" x14ac:dyDescent="0.3">
      <c r="A1395" s="12"/>
      <c r="C1395" s="125" t="str">
        <f>_xlfn.CONCAT(_xlfn.XLOOKUP("[S05_BiomassInstallations][7][Annex1Activity]",Submission!$O:$O,Submission!$H:$N,""))</f>
        <v>20 - Combustion of fuels as specified in Annex I of Directive 2003/87/EC</v>
      </c>
      <c r="D1395" s="128" t="str">
        <f>_xlfn.CONCAT(_xlfn.XLOOKUP("[S05_BiomassInstallations][7][BiomassInstallationCategory]",Submission!$O:$O,Submission!$H:$N,""))</f>
        <v>Category B</v>
      </c>
      <c r="E1395" s="126" t="str">
        <f>_xlfn.CONCAT(_xlfn.XLOOKUP("[S05_BiomassInstallations][7][NumberUsingBiomass]",Submission!$O:$O,Submission!$H:$N,""))</f>
        <v>1</v>
      </c>
      <c r="F1395" s="126" t="str">
        <f>_xlfn.CONCAT(_xlfn.XLOOKUP("[S05_BiomassInstallations][7][EmissionsBiomassSustainabilitySatisfied]",Submission!$O:$O,Submission!$H:$N,""))</f>
        <v>0</v>
      </c>
      <c r="G1395" s="126" t="str">
        <f>_xlfn.CONCAT(_xlfn.XLOOKUP("[S05_BiomassInstallations][7][EmissionsBiomassSustainabilityNotSatisfied]",Submission!$O:$O,Submission!$H:$N,""))</f>
        <v>0</v>
      </c>
      <c r="H1395" s="126" t="str">
        <f>_xlfn.CONCAT(_xlfn.XLOOKUP("[S05_BiomassInstallations][7][EmissionsFossil]",Submission!$O:$O,Submission!$H:$N,""))</f>
        <v>0</v>
      </c>
      <c r="I1395" s="126" t="str">
        <f>_xlfn.CONCAT(_xlfn.XLOOKUP("[S05_BiomassInstallations][7][EnergyZeroRatedBiomass]",Submission!$O:$O,Submission!$H:$N,""))</f>
        <v>3593.87</v>
      </c>
      <c r="J1395" s="126" t="str">
        <f>_xlfn.CONCAT(_xlfn.XLOOKUP("[S05_BiomassInstallations][7][EnergyNonZeroRatedBiomass]",Submission!$O:$O,Submission!$H:$N,""))</f>
        <v>0</v>
      </c>
      <c r="K1395" s="126" t="str">
        <f>_xlfn.CONCAT(_xlfn.XLOOKUP("[S05_BiomassInstallations][7][EnergyFossil]",Submission!$O:$O,Submission!$H:$N,""))</f>
        <v>0</v>
      </c>
    </row>
    <row r="1396" spans="1:11" ht="44.4" customHeight="1" x14ac:dyDescent="0.3">
      <c r="A1396" s="12"/>
      <c r="C1396" s="125" t="str">
        <f>_xlfn.CONCAT(_xlfn.XLOOKUP("[S05_BiomassInstallations][8][Annex1Activity]",Submission!$O:$O,Submission!$H:$N,""))</f>
        <v xml:space="preserve">36 - Production of paper or cardboard as specified in Annex I of Directive 2003/87/EC </v>
      </c>
      <c r="D1396" s="128" t="str">
        <f>_xlfn.CONCAT(_xlfn.XLOOKUP("[S05_BiomassInstallations][8][BiomassInstallationCategory]",Submission!$O:$O,Submission!$H:$N,""))</f>
        <v>Category A</v>
      </c>
      <c r="E1396" s="126" t="str">
        <f>_xlfn.CONCAT(_xlfn.XLOOKUP("[S05_BiomassInstallations][8][NumberUsingBiomass]",Submission!$O:$O,Submission!$H:$N,""))</f>
        <v>1</v>
      </c>
      <c r="F1396" s="126" t="str">
        <f>_xlfn.CONCAT(_xlfn.XLOOKUP("[S05_BiomassInstallations][8][EmissionsBiomassSustainabilitySatisfied]",Submission!$O:$O,Submission!$H:$N,""))</f>
        <v>0</v>
      </c>
      <c r="G1396" s="126" t="str">
        <f>_xlfn.CONCAT(_xlfn.XLOOKUP("[S05_BiomassInstallations][8][EmissionsBiomassSustainabilityNotSatisfied]",Submission!$O:$O,Submission!$H:$N,""))</f>
        <v>0</v>
      </c>
      <c r="H1396" s="126" t="str">
        <f>_xlfn.CONCAT(_xlfn.XLOOKUP("[S05_BiomassInstallations][8][EmissionsFossil]",Submission!$O:$O,Submission!$H:$N,""))</f>
        <v>0</v>
      </c>
      <c r="I1396" s="126" t="str">
        <f>_xlfn.CONCAT(_xlfn.XLOOKUP("[S05_BiomassInstallations][8][EnergyZeroRatedBiomass]",Submission!$O:$O,Submission!$H:$N,""))</f>
        <v>30.55</v>
      </c>
      <c r="J1396" s="126" t="str">
        <f>_xlfn.CONCAT(_xlfn.XLOOKUP("[S05_BiomassInstallations][8][EnergyNonZeroRatedBiomass]",Submission!$O:$O,Submission!$H:$N,""))</f>
        <v>0</v>
      </c>
      <c r="K1396" s="126" t="str">
        <f>_xlfn.CONCAT(_xlfn.XLOOKUP("[S05_BiomassInstallations][8][EnergyFossil]",Submission!$O:$O,Submission!$H:$N,""))</f>
        <v>0</v>
      </c>
    </row>
    <row r="1397" spans="1:11" ht="44.4" customHeight="1" x14ac:dyDescent="0.3">
      <c r="A1397" s="12"/>
      <c r="C1397" s="125" t="str">
        <f>_xlfn.CONCAT(_xlfn.XLOOKUP("[S05_BiomassInstallations][9][Annex1Activity]",Submission!$O:$O,Submission!$H:$N,""))</f>
        <v>35 - Production of pulp as specified in Annex I of Directive 2003/87/EC</v>
      </c>
      <c r="D1397" s="128" t="str">
        <f>_xlfn.CONCAT(_xlfn.XLOOKUP("[S05_BiomassInstallations][9][BiomassInstallationCategory]",Submission!$O:$O,Submission!$H:$N,""))</f>
        <v>Category A</v>
      </c>
      <c r="E1397" s="126" t="str">
        <f>_xlfn.CONCAT(_xlfn.XLOOKUP("[S05_BiomassInstallations][9][NumberUsingBiomass]",Submission!$O:$O,Submission!$H:$N,""))</f>
        <v>1</v>
      </c>
      <c r="F1397" s="126" t="str">
        <f>_xlfn.CONCAT(_xlfn.XLOOKUP("[S05_BiomassInstallations][9][EmissionsBiomassSustainabilitySatisfied]",Submission!$O:$O,Submission!$H:$N,""))</f>
        <v>0</v>
      </c>
      <c r="G1397" s="126" t="str">
        <f>_xlfn.CONCAT(_xlfn.XLOOKUP("[S05_BiomassInstallations][9][EmissionsBiomassSustainabilityNotSatisfied]",Submission!$O:$O,Submission!$H:$N,""))</f>
        <v>0</v>
      </c>
      <c r="H1397" s="126" t="str">
        <f>_xlfn.CONCAT(_xlfn.XLOOKUP("[S05_BiomassInstallations][9][EmissionsFossil]",Submission!$O:$O,Submission!$H:$N,""))</f>
        <v>0</v>
      </c>
      <c r="I1397" s="126" t="str">
        <f>_xlfn.CONCAT(_xlfn.XLOOKUP("[S05_BiomassInstallations][9][EnergyZeroRatedBiomass]",Submission!$O:$O,Submission!$H:$N,""))</f>
        <v>3992.66</v>
      </c>
      <c r="J1397" s="126" t="str">
        <f>_xlfn.CONCAT(_xlfn.XLOOKUP("[S05_BiomassInstallations][9][EnergyNonZeroRatedBiomass]",Submission!$O:$O,Submission!$H:$N,""))</f>
        <v>0</v>
      </c>
      <c r="K1397" s="126" t="str">
        <f>_xlfn.CONCAT(_xlfn.XLOOKUP("[S05_BiomassInstallations][9][EnergyFossil]",Submission!$O:$O,Submission!$H:$N,""))</f>
        <v>0</v>
      </c>
    </row>
    <row r="1398" spans="1:11" ht="44.4" customHeight="1" x14ac:dyDescent="0.3">
      <c r="A1398" s="12"/>
      <c r="C1398" s="125" t="str">
        <f>_xlfn.CONCAT(_xlfn.XLOOKUP("[S05_BiomassInstallations][10][Annex1Activity]",Submission!$O:$O,Submission!$H:$N,""))</f>
        <v>35 - Production of pulp as specified in Annex I of Directive 2003/87/EC</v>
      </c>
      <c r="D1398" s="128" t="str">
        <f>_xlfn.CONCAT(_xlfn.XLOOKUP("[S05_BiomassInstallations][10][BiomassInstallationCategory]",Submission!$O:$O,Submission!$H:$N,""))</f>
        <v>Category B</v>
      </c>
      <c r="E1398" s="126" t="str">
        <f>_xlfn.CONCAT(_xlfn.XLOOKUP("[S05_BiomassInstallations][10][NumberUsingBiomass]",Submission!$O:$O,Submission!$H:$N,""))</f>
        <v>4</v>
      </c>
      <c r="F1398" s="126" t="str">
        <f>_xlfn.CONCAT(_xlfn.XLOOKUP("[S05_BiomassInstallations][10][EmissionsBiomassSustainabilitySatisfied]",Submission!$O:$O,Submission!$H:$N,""))</f>
        <v>0</v>
      </c>
      <c r="G1398" s="126" t="str">
        <f>_xlfn.CONCAT(_xlfn.XLOOKUP("[S05_BiomassInstallations][10][EmissionsBiomassSustainabilityNotSatisfied]",Submission!$O:$O,Submission!$H:$N,""))</f>
        <v>0</v>
      </c>
      <c r="H1398" s="126" t="str">
        <f>_xlfn.CONCAT(_xlfn.XLOOKUP("[S05_BiomassInstallations][10][EmissionsFossil]",Submission!$O:$O,Submission!$H:$N,""))</f>
        <v>0</v>
      </c>
      <c r="I1398" s="126" t="str">
        <f>_xlfn.CONCAT(_xlfn.XLOOKUP("[S05_BiomassInstallations][10][EnergyZeroRatedBiomass]",Submission!$O:$O,Submission!$H:$N,""))</f>
        <v>38049.1</v>
      </c>
      <c r="J1398" s="126" t="str">
        <f>_xlfn.CONCAT(_xlfn.XLOOKUP("[S05_BiomassInstallations][10][EnergyNonZeroRatedBiomass]",Submission!$O:$O,Submission!$H:$N,""))</f>
        <v>0</v>
      </c>
      <c r="K1398" s="126" t="str">
        <f>_xlfn.CONCAT(_xlfn.XLOOKUP("[S05_BiomassInstallations][10][EnergyFossil]",Submission!$O:$O,Submission!$H:$N,""))</f>
        <v>0</v>
      </c>
    </row>
    <row r="1399" spans="1:11" ht="44.4" customHeight="1" x14ac:dyDescent="0.3">
      <c r="A1399" s="12"/>
      <c r="C1399" s="125" t="str">
        <f>_xlfn.CONCAT(_xlfn.XLOOKUP("[S05_BiomassInstallations][11][Annex1Activity]",Submission!$O:$O,Submission!$H:$N,""))</f>
        <v>21 - Refining of mineral oil</v>
      </c>
      <c r="D1399" s="128" t="str">
        <f>_xlfn.CONCAT(_xlfn.XLOOKUP("[S05_BiomassInstallations][11][BiomassInstallationCategory]",Submission!$O:$O,Submission!$H:$N,""))</f>
        <v>Category C</v>
      </c>
      <c r="E1399" s="126" t="str">
        <f>_xlfn.CONCAT(_xlfn.XLOOKUP("[S05_BiomassInstallations][11][NumberUsingBiomass]",Submission!$O:$O,Submission!$H:$N,""))</f>
        <v>1</v>
      </c>
      <c r="F1399" s="126" t="str">
        <f>_xlfn.CONCAT(_xlfn.XLOOKUP("[S05_BiomassInstallations][11][EmissionsBiomassSustainabilitySatisfied]",Submission!$O:$O,Submission!$H:$N,""))</f>
        <v>0</v>
      </c>
      <c r="G1399" s="126" t="str">
        <f>_xlfn.CONCAT(_xlfn.XLOOKUP("[S05_BiomassInstallations][11][EmissionsBiomassSustainabilityNotSatisfied]",Submission!$O:$O,Submission!$H:$N,""))</f>
        <v>0</v>
      </c>
      <c r="H1399" s="126" t="str">
        <f>_xlfn.CONCAT(_xlfn.XLOOKUP("[S05_BiomassInstallations][11][EmissionsFossil]",Submission!$O:$O,Submission!$H:$N,""))</f>
        <v>0</v>
      </c>
      <c r="I1399" s="126" t="str">
        <f>_xlfn.CONCAT(_xlfn.XLOOKUP("[S05_BiomassInstallations][11][EnergyZeroRatedBiomass]",Submission!$O:$O,Submission!$H:$N,""))</f>
        <v>7.28</v>
      </c>
      <c r="J1399" s="126" t="str">
        <f>_xlfn.CONCAT(_xlfn.XLOOKUP("[S05_BiomassInstallations][11][EnergyNonZeroRatedBiomass]",Submission!$O:$O,Submission!$H:$N,""))</f>
        <v>0</v>
      </c>
      <c r="K1399" s="126" t="str">
        <f>_xlfn.CONCAT(_xlfn.XLOOKUP("[S05_BiomassInstallations][11][EnergyFossil]",Submission!$O:$O,Submission!$H:$N,""))</f>
        <v>0</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n.a. – as foreseen in COMMISSION IMPLEMENTING REGULATION (EU) 2022/388, of 8 March 2022, Member States may consider as fulfilled the sustainability and greenhouse gas emissions saving criteria from 1 January 2022 to 31 December 2022.</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363375.9</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1</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2</v>
      </c>
      <c r="F1463" s="410"/>
      <c r="G1463" s="413" t="str">
        <f>_xlfn.CONCAT(_xlfn.XLOOKUP("[S05_AircraftMethodFuelConsumption][2][SmallEmittersShare]",Submission!$O:$O,Submission!$H:$N,""))</f>
        <v>0</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622977</v>
      </c>
      <c r="H1472" s="379"/>
      <c r="I1472" s="379"/>
    </row>
    <row r="1473" spans="1:10" ht="28.95" customHeight="1" x14ac:dyDescent="0.3">
      <c r="C1473" s="382" t="s">
        <v>957</v>
      </c>
      <c r="D1473" s="382"/>
      <c r="E1473" s="382"/>
      <c r="F1473" s="382"/>
      <c r="G1473" s="379" t="str">
        <f>_xlfn.CONCAT(_xlfn.XLOOKUP("[S05_TotalFlightEmissions][2][TotalFlightEmissions]",Submission!$O:$O,Submission!$H:$N,""))</f>
        <v>42926</v>
      </c>
      <c r="H1473" s="379"/>
      <c r="I1473" s="379"/>
    </row>
    <row r="1474" spans="1:10" ht="28.95" customHeight="1" x14ac:dyDescent="0.3">
      <c r="C1474" s="382" t="s">
        <v>958</v>
      </c>
      <c r="D1474" s="382"/>
      <c r="E1474" s="382"/>
      <c r="F1474" s="382"/>
      <c r="G1474" s="379" t="str">
        <f>_xlfn.CONCAT(_xlfn.XLOOKUP("[S05_TotalFlightEmissions][3][TotalFlightEmissions]",Submission!$O:$O,Submission!$H:$N,""))</f>
        <v>1990951</v>
      </c>
      <c r="H1474" s="379"/>
      <c r="I1474" s="379"/>
    </row>
    <row r="1475" spans="1:10" ht="28.95" customHeight="1" x14ac:dyDescent="0.3">
      <c r="C1475" s="382" t="s">
        <v>959</v>
      </c>
      <c r="D1475" s="382"/>
      <c r="E1475" s="382"/>
      <c r="F1475" s="382"/>
      <c r="G1475" s="379" t="str">
        <f>_xlfn.CONCAT(_xlfn.XLOOKUP("[S05_TotalFlightEmissions][4][TotalFlightEmissions]",Submission!$O:$O,Submission!$H:$N,""))</f>
        <v>1158564.35505</v>
      </c>
      <c r="H1475" s="379"/>
      <c r="I1475" s="379"/>
    </row>
    <row r="1476" spans="1:10" ht="28.95" customHeight="1" x14ac:dyDescent="0.3">
      <c r="C1476" s="382" t="s">
        <v>960</v>
      </c>
      <c r="D1476" s="382"/>
      <c r="E1476" s="382"/>
      <c r="F1476" s="382"/>
      <c r="G1476" s="379" t="str">
        <f>_xlfn.CONCAT(_xlfn.XLOOKUP("[S05_TotalFlightEmissions][5][TotalFlightEmissions]",Submission!$O:$O,Submission!$H:$N,""))</f>
        <v>34370</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5</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
      </c>
      <c r="F1486" s="407"/>
      <c r="G1486" s="408" t="str">
        <f>_xlfn.CONCAT(_xlfn.XLOOKUP("[EmissionsBiofuelsSustainabilityNotSatisfied][0][EmissionsBiofuelsSustainabilityNotSatisfied]",Submission!$O:$O,Submission!$H:$N,""))</f>
        <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1</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1</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2</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1</v>
      </c>
      <c r="D1500" s="363"/>
      <c r="E1500" s="363"/>
      <c r="F1500" s="361"/>
      <c r="G1500" s="351" t="str">
        <f>_xlfn.CONCAT(_xlfn.XLOOKUP("[AircraftImprovementReportSubmitted][0][AircraftImprovementReportSubmitted]",Submission!$O:$O,Submission!$H:$N,""))</f>
        <v>1</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3</v>
      </c>
      <c r="G8" s="119"/>
      <c r="H8" s="105" t="str">
        <f>_xlfn.CONCAT(_xlfn.XLOOKUP("[S06_TotalVerifiers][1][CountVerifiersAviation]",Submission!$O:$O,Submission!$H:$N,""))</f>
        <v>2</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1</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3</v>
      </c>
      <c r="I17" s="132" t="str">
        <f>_xlfn.CONCAT(_xlfn.XLOOKUP("[S06_AccredCertVerifiersAnnexI][1][NumberCertified]",Submission!$O:$O,Submission!$H:$N,""))</f>
        <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3</v>
      </c>
      <c r="I18" s="132" t="str">
        <f>_xlfn.CONCAT(_xlfn.XLOOKUP("[S06_AccredCertVerifiersAnnexI][2][NumberCertified]",Submission!$O:$O,Submission!$H:$N,""))</f>
        <v/>
      </c>
    </row>
    <row r="19" spans="2:9" ht="27.6" customHeight="1" x14ac:dyDescent="0.3">
      <c r="B19" s="20"/>
      <c r="C19" s="419" t="str">
        <f>_xlfn.CONCAT(_xlfn.XLOOKUP("[S06_AccredCertVerifiersAnnexI][3][AccredCertScope]",Submission!$O:$O,Submission!$H:$N,""))</f>
        <v>2 - Refining of mineral oil</v>
      </c>
      <c r="D19" s="420"/>
      <c r="E19" s="420"/>
      <c r="F19" s="420"/>
      <c r="G19" s="421"/>
      <c r="H19" s="132" t="str">
        <f>_xlfn.CONCAT(_xlfn.XLOOKUP("[S06_AccredCertVerifiersAnnexI][3][NumberAccredited]",Submission!$O:$O,Submission!$H:$N,""))</f>
        <v>1</v>
      </c>
      <c r="I19" s="132" t="str">
        <f>_xlfn.CONCAT(_xlfn.XLOOKUP("[S06_AccredCertVerifiersAnnexI][3][NumberCertified]",Submission!$O:$O,Submission!$H:$N,""))</f>
        <v/>
      </c>
    </row>
    <row r="20" spans="2:9" ht="27.6" customHeight="1" x14ac:dyDescent="0.3">
      <c r="B20" s="20"/>
      <c r="C20" s="419" t="str">
        <f>_xlfn.CONCAT(_xlfn.XLOOKUP("[S06_AccredCertVerifiersAnnexI][4][AccredCertScope]",Submission!$O:$O,Submission!$H:$N,""))</f>
        <v xml:space="preserve">3 - Production of coke </v>
      </c>
      <c r="D20" s="420"/>
      <c r="E20" s="420"/>
      <c r="F20" s="420"/>
      <c r="G20" s="421"/>
      <c r="H20" s="132" t="str">
        <f>_xlfn.CONCAT(_xlfn.XLOOKUP("[S06_AccredCertVerifiersAnnexI][4][NumberAccredited]",Submission!$O:$O,Submission!$H:$N,""))</f>
        <v>1</v>
      </c>
      <c r="I20" s="132" t="str">
        <f>_xlfn.CONCAT(_xlfn.XLOOKUP("[S06_AccredCertVerifiersAnnexI][4][NumberCertified]",Submission!$O:$O,Submission!$H:$N,""))</f>
        <v/>
      </c>
    </row>
    <row r="21" spans="2:9" ht="27.6" customHeight="1" x14ac:dyDescent="0.3">
      <c r="B21" s="20"/>
      <c r="C21" s="419" t="str">
        <f>_xlfn.CONCAT(_xlfn.XLOOKUP("[S06_AccredCertVerifiersAnnexI][5][AccredCertScope]",Submission!$O:$O,Submission!$H:$N,""))</f>
        <v xml:space="preserve">3 - Metal ore (including sulphide ore) roasting or sintering, including pelletisation </v>
      </c>
      <c r="D21" s="420"/>
      <c r="E21" s="420"/>
      <c r="F21" s="420"/>
      <c r="G21" s="421"/>
      <c r="H21" s="132" t="str">
        <f>_xlfn.CONCAT(_xlfn.XLOOKUP("[S06_AccredCertVerifiersAnnexI][5][NumberAccredited]",Submission!$O:$O,Submission!$H:$N,""))</f>
        <v>1</v>
      </c>
      <c r="I21" s="132" t="str">
        <f>_xlfn.CONCAT(_xlfn.XLOOKUP("[S06_AccredCertVerifiersAnnexI][5][NumberCertified]",Submission!$O:$O,Submission!$H:$N,""))</f>
        <v/>
      </c>
    </row>
    <row r="22" spans="2:9" ht="27.6" customHeight="1" x14ac:dyDescent="0.3">
      <c r="B22" s="20"/>
      <c r="C22" s="419" t="str">
        <f>_xlfn.CONCAT(_xlfn.XLOOKUP("[S06_AccredCertVerifiersAnnexI][6][AccredCertScope]",Submission!$O:$O,Submission!$H:$N,""))</f>
        <v>3 - Production of pig iron or steel (primary or secondary fusion) including continuous casting</v>
      </c>
      <c r="D22" s="420"/>
      <c r="E22" s="420"/>
      <c r="F22" s="420"/>
      <c r="G22" s="421"/>
      <c r="H22" s="132" t="str">
        <f>_xlfn.CONCAT(_xlfn.XLOOKUP("[S06_AccredCertVerifiersAnnexI][6][NumberAccredited]",Submission!$O:$O,Submission!$H:$N,""))</f>
        <v>1</v>
      </c>
      <c r="I22" s="132" t="str">
        <f>_xlfn.CONCAT(_xlfn.XLOOKUP("[S06_AccredCertVerifiersAnnexI][6][NumberCertified]",Submission!$O:$O,Submission!$H:$N,""))</f>
        <v/>
      </c>
    </row>
    <row r="23" spans="2:9" ht="27.6" customHeight="1" x14ac:dyDescent="0.3">
      <c r="B23" s="20"/>
      <c r="C23" s="419" t="str">
        <f>_xlfn.CONCAT(_xlfn.XLOOKUP("[S06_AccredCertVerifiersAnnexI][7][AccredCertScope]",Submission!$O:$O,Submission!$H:$N,""))</f>
        <v xml:space="preserve">4 - Production or processing of ferrous metals (including ferro-alloys) </v>
      </c>
      <c r="D23" s="420"/>
      <c r="E23" s="420"/>
      <c r="F23" s="420"/>
      <c r="G23" s="421"/>
      <c r="H23" s="132" t="str">
        <f>_xlfn.CONCAT(_xlfn.XLOOKUP("[S06_AccredCertVerifiersAnnexI][7][NumberAccredited]",Submission!$O:$O,Submission!$H:$N,""))</f>
        <v>2</v>
      </c>
      <c r="I23" s="132" t="str">
        <f>_xlfn.CONCAT(_xlfn.XLOOKUP("[S06_AccredCertVerifiersAnnexI][7][NumberCertified]",Submission!$O:$O,Submission!$H:$N,""))</f>
        <v/>
      </c>
    </row>
    <row r="24" spans="2:9" ht="27.6" customHeight="1" x14ac:dyDescent="0.3">
      <c r="B24" s="20"/>
      <c r="C24" s="419" t="str">
        <f>_xlfn.CONCAT(_xlfn.XLOOKUP("[S06_AccredCertVerifiersAnnexI][8][AccredCertScope]",Submission!$O:$O,Submission!$H:$N,""))</f>
        <v xml:space="preserve">4 - Production of secondary aluminium </v>
      </c>
      <c r="D24" s="420"/>
      <c r="E24" s="420"/>
      <c r="F24" s="420"/>
      <c r="G24" s="421"/>
      <c r="H24" s="132" t="str">
        <f>_xlfn.CONCAT(_xlfn.XLOOKUP("[S06_AccredCertVerifiersAnnexI][8][NumberAccredited]",Submission!$O:$O,Submission!$H:$N,""))</f>
        <v>2</v>
      </c>
      <c r="I24" s="132" t="str">
        <f>_xlfn.CONCAT(_xlfn.XLOOKUP("[S06_AccredCertVerifiersAnnexI][8][NumberCertified]",Submission!$O:$O,Submission!$H:$N,""))</f>
        <v/>
      </c>
    </row>
    <row r="25" spans="2:9" ht="27.6" customHeight="1" x14ac:dyDescent="0.3">
      <c r="B25" s="20"/>
      <c r="C25" s="419" t="str">
        <f>_xlfn.CONCAT(_xlfn.XLOOKUP("[S06_AccredCertVerifiersAnnexI][9][AccredCertScope]",Submission!$O:$O,Submission!$H:$N,""))</f>
        <v xml:space="preserve">4 - Production or processing of ferrous metals (including ferro-alloys) </v>
      </c>
      <c r="D25" s="420"/>
      <c r="E25" s="420"/>
      <c r="F25" s="420"/>
      <c r="G25" s="421"/>
      <c r="H25" s="132" t="str">
        <f>_xlfn.CONCAT(_xlfn.XLOOKUP("[S06_AccredCertVerifiersAnnexI][9][NumberAccredited]",Submission!$O:$O,Submission!$H:$N,""))</f>
        <v>2</v>
      </c>
      <c r="I25" s="132" t="str">
        <f>_xlfn.CONCAT(_xlfn.XLOOKUP("[S06_AccredCertVerifiersAnnexI][9][NumberCertified]",Submission!$O:$O,Submission!$H:$N,""))</f>
        <v/>
      </c>
    </row>
    <row r="26" spans="2:9" ht="27.6" customHeight="1" x14ac:dyDescent="0.3">
      <c r="B26" s="20"/>
      <c r="C26" s="419" t="str">
        <f>_xlfn.CONCAT(_xlfn.XLOOKUP("[S06_AccredCertVerifiersAnnexI][10][AccredCertScope]",Submission!$O:$O,Submission!$H:$N,""))</f>
        <v xml:space="preserve">6 - Production of cement clinker </v>
      </c>
      <c r="D26" s="420"/>
      <c r="E26" s="420"/>
      <c r="F26" s="420"/>
      <c r="G26" s="421"/>
      <c r="H26" s="132" t="str">
        <f>_xlfn.CONCAT(_xlfn.XLOOKUP("[S06_AccredCertVerifiersAnnexI][10][NumberAccredited]",Submission!$O:$O,Submission!$H:$N,""))</f>
        <v>3</v>
      </c>
      <c r="I26" s="132" t="str">
        <f>_xlfn.CONCAT(_xlfn.XLOOKUP("[S06_AccredCertVerifiersAnnexI][10][NumberCertified]",Submission!$O:$O,Submission!$H:$N,""))</f>
        <v/>
      </c>
    </row>
    <row r="27" spans="2:9" ht="27.6" customHeight="1" x14ac:dyDescent="0.3">
      <c r="B27" s="20"/>
      <c r="C27" s="419" t="str">
        <f>_xlfn.CONCAT(_xlfn.XLOOKUP("[S06_AccredCertVerifiersAnnexI][11][AccredCertScope]",Submission!$O:$O,Submission!$H:$N,""))</f>
        <v xml:space="preserve">6 - Production of lime or calcination of dolomite or magnesite </v>
      </c>
      <c r="D27" s="420"/>
      <c r="E27" s="420"/>
      <c r="F27" s="420"/>
      <c r="G27" s="421"/>
      <c r="H27" s="132" t="str">
        <f>_xlfn.CONCAT(_xlfn.XLOOKUP("[S06_AccredCertVerifiersAnnexI][11][NumberAccredited]",Submission!$O:$O,Submission!$H:$N,""))</f>
        <v>3</v>
      </c>
      <c r="I27" s="132" t="str">
        <f>_xlfn.CONCAT(_xlfn.XLOOKUP("[S06_AccredCertVerifiersAnnexI][11][NumberCertified]",Submission!$O:$O,Submission!$H:$N,""))</f>
        <v/>
      </c>
    </row>
    <row r="28" spans="2:9" ht="27.6" customHeight="1" x14ac:dyDescent="0.3">
      <c r="B28" s="20"/>
      <c r="C28" s="419" t="str">
        <f>_xlfn.CONCAT(_xlfn.XLOOKUP("[S06_AccredCertVerifiersAnnexI][12][AccredCertScope]",Submission!$O:$O,Submission!$H:$N,""))</f>
        <v xml:space="preserve">6 - Manufacture of glass including glass fibre </v>
      </c>
      <c r="D28" s="420"/>
      <c r="E28" s="420"/>
      <c r="F28" s="420"/>
      <c r="G28" s="421"/>
      <c r="H28" s="132" t="str">
        <f>_xlfn.CONCAT(_xlfn.XLOOKUP("[S06_AccredCertVerifiersAnnexI][12][NumberAccredited]",Submission!$O:$O,Submission!$H:$N,""))</f>
        <v>3</v>
      </c>
      <c r="I28" s="132" t="str">
        <f>_xlfn.CONCAT(_xlfn.XLOOKUP("[S06_AccredCertVerifiersAnnexI][12][NumberCertified]",Submission!$O:$O,Submission!$H:$N,""))</f>
        <v/>
      </c>
    </row>
    <row r="29" spans="2:9" ht="27.6" hidden="1" customHeight="1" outlineLevel="1" x14ac:dyDescent="0.3">
      <c r="B29" s="20"/>
      <c r="C29" s="419" t="str">
        <f>_xlfn.CONCAT(_xlfn.XLOOKUP("[S06_AccredCertVerifiersAnnexI][13][AccredCertScope]",Submission!$O:$O,Submission!$H:$N,""))</f>
        <v xml:space="preserve">6 - Manufacture of mineral wool insulation material </v>
      </c>
      <c r="D29" s="420"/>
      <c r="E29" s="420"/>
      <c r="F29" s="420"/>
      <c r="G29" s="421"/>
      <c r="H29" s="132" t="str">
        <f>_xlfn.CONCAT(_xlfn.XLOOKUP("[S06_AccredCertVerifiersAnnexI][13][NumberAccredited]",Submission!$O:$O,Submission!$H:$N,""))</f>
        <v>3</v>
      </c>
      <c r="I29" s="132" t="str">
        <f>_xlfn.CONCAT(_xlfn.XLOOKUP("[S06_AccredCertVerifiersAnnexI][13][NumberCertified]",Submission!$O:$O,Submission!$H:$N,""))</f>
        <v/>
      </c>
    </row>
    <row r="30" spans="2:9" ht="27.6" hidden="1" customHeight="1" outlineLevel="1" x14ac:dyDescent="0.3">
      <c r="B30" s="20"/>
      <c r="C30" s="419" t="str">
        <f>_xlfn.CONCAT(_xlfn.XLOOKUP("[S06_AccredCertVerifiersAnnexI][14][AccredCertScope]",Submission!$O:$O,Submission!$H:$N,""))</f>
        <v>6 - Drying or calcination of gypsum or production of plaster boards and other gypsum products</v>
      </c>
      <c r="D30" s="420"/>
      <c r="E30" s="420"/>
      <c r="F30" s="420"/>
      <c r="G30" s="421"/>
      <c r="H30" s="132" t="str">
        <f>_xlfn.CONCAT(_xlfn.XLOOKUP("[S06_AccredCertVerifiersAnnexI][14][NumberAccredited]",Submission!$O:$O,Submission!$H:$N,""))</f>
        <v>3</v>
      </c>
      <c r="I30" s="132" t="str">
        <f>_xlfn.CONCAT(_xlfn.XLOOKUP("[S06_AccredCertVerifiersAnnexI][14][NumberCertified]",Submission!$O:$O,Submission!$H:$N,""))</f>
        <v/>
      </c>
    </row>
    <row r="31" spans="2:9" ht="27.6" hidden="1" customHeight="1" outlineLevel="1" x14ac:dyDescent="0.3">
      <c r="B31" s="20"/>
      <c r="C31" s="419" t="str">
        <f>_xlfn.CONCAT(_xlfn.XLOOKUP("[S06_AccredCertVerifiersAnnexI][15][AccredCertScope]",Submission!$O:$O,Submission!$H:$N,""))</f>
        <v xml:space="preserve">7 - Production of pulp from timber or other fibrous materials </v>
      </c>
      <c r="D31" s="420"/>
      <c r="E31" s="420"/>
      <c r="F31" s="420"/>
      <c r="G31" s="421"/>
      <c r="H31" s="132" t="str">
        <f>_xlfn.CONCAT(_xlfn.XLOOKUP("[S06_AccredCertVerifiersAnnexI][15][NumberAccredited]",Submission!$O:$O,Submission!$H:$N,""))</f>
        <v>3</v>
      </c>
      <c r="I31" s="132" t="str">
        <f>_xlfn.CONCAT(_xlfn.XLOOKUP("[S06_AccredCertVerifiersAnnexI][15][NumberCertified]",Submission!$O:$O,Submission!$H:$N,""))</f>
        <v/>
      </c>
    </row>
    <row r="32" spans="2:9" ht="27.6" hidden="1" customHeight="1" outlineLevel="1" x14ac:dyDescent="0.3">
      <c r="B32" s="20"/>
      <c r="C32" s="419" t="str">
        <f>_xlfn.CONCAT(_xlfn.XLOOKUP("[S06_AccredCertVerifiersAnnexI][16][AccredCertScope]",Submission!$O:$O,Submission!$H:$N,""))</f>
        <v>7 - Production of paper or cardboard</v>
      </c>
      <c r="D32" s="420"/>
      <c r="E32" s="420"/>
      <c r="F32" s="420"/>
      <c r="G32" s="421"/>
      <c r="H32" s="132" t="str">
        <f>_xlfn.CONCAT(_xlfn.XLOOKUP("[S06_AccredCertVerifiersAnnexI][16][NumberAccredited]",Submission!$O:$O,Submission!$H:$N,""))</f>
        <v>3</v>
      </c>
      <c r="I32" s="132" t="str">
        <f>_xlfn.CONCAT(_xlfn.XLOOKUP("[S06_AccredCertVerifiersAnnexI][16][NumberCertified]",Submission!$O:$O,Submission!$H:$N,""))</f>
        <v/>
      </c>
    </row>
    <row r="33" spans="2:9" ht="27.6" hidden="1" customHeight="1" outlineLevel="1" x14ac:dyDescent="0.3">
      <c r="B33" s="20"/>
      <c r="C33" s="419" t="str">
        <f>_xlfn.CONCAT(_xlfn.XLOOKUP("[S06_AccredCertVerifiersAnnexI][17][AccredCertScope]",Submission!$O:$O,Submission!$H:$N,""))</f>
        <v xml:space="preserve">8 - Production of carbon black </v>
      </c>
      <c r="D33" s="420"/>
      <c r="E33" s="420"/>
      <c r="F33" s="420"/>
      <c r="G33" s="421"/>
      <c r="H33" s="132" t="str">
        <f>_xlfn.CONCAT(_xlfn.XLOOKUP("[S06_AccredCertVerifiersAnnexI][17][NumberAccredited]",Submission!$O:$O,Submission!$H:$N,""))</f>
        <v>3</v>
      </c>
      <c r="I33" s="132" t="str">
        <f>_xlfn.CONCAT(_xlfn.XLOOKUP("[S06_AccredCertVerifiersAnnexI][17][NumberCertified]",Submission!$O:$O,Submission!$H:$N,""))</f>
        <v/>
      </c>
    </row>
    <row r="34" spans="2:9" ht="27.6" hidden="1" customHeight="1" outlineLevel="1" x14ac:dyDescent="0.3">
      <c r="B34" s="20"/>
      <c r="C34" s="419" t="str">
        <f>_xlfn.CONCAT(_xlfn.XLOOKUP("[S06_AccredCertVerifiersAnnexI][18][AccredCertScope]",Submission!$O:$O,Submission!$H:$N,""))</f>
        <v xml:space="preserve">8 - Production of ammonia </v>
      </c>
      <c r="D34" s="420"/>
      <c r="E34" s="420"/>
      <c r="F34" s="420"/>
      <c r="G34" s="421"/>
      <c r="H34" s="132" t="str">
        <f>_xlfn.CONCAT(_xlfn.XLOOKUP("[S06_AccredCertVerifiersAnnexI][18][NumberAccredited]",Submission!$O:$O,Submission!$H:$N,""))</f>
        <v>3</v>
      </c>
      <c r="I34" s="132" t="str">
        <f>_xlfn.CONCAT(_xlfn.XLOOKUP("[S06_AccredCertVerifiersAnnexI][18][NumberCertified]",Submission!$O:$O,Submission!$H:$N,""))</f>
        <v/>
      </c>
    </row>
    <row r="35" spans="2:9" ht="27.6" hidden="1" customHeight="1" outlineLevel="1" x14ac:dyDescent="0.3">
      <c r="B35" s="20"/>
      <c r="C35" s="419" t="str">
        <f>_xlfn.CONCAT(_xlfn.XLOOKUP("[S06_AccredCertVerifiersAnnexI][19][AccredCertScope]",Submission!$O:$O,Submission!$H:$N,""))</f>
        <v xml:space="preserve">8 - Production of bulk organic chemicals by cracking, reforming, partial or full oxidation or by similar processes </v>
      </c>
      <c r="D35" s="420"/>
      <c r="E35" s="420"/>
      <c r="F35" s="420"/>
      <c r="G35" s="421"/>
      <c r="H35" s="132" t="str">
        <f>_xlfn.CONCAT(_xlfn.XLOOKUP("[S06_AccredCertVerifiersAnnexI][19][NumberAccredited]",Submission!$O:$O,Submission!$H:$N,""))</f>
        <v>3</v>
      </c>
      <c r="I35" s="132" t="str">
        <f>_xlfn.CONCAT(_xlfn.XLOOKUP("[S06_AccredCertVerifiersAnnexI][19][NumberCertified]",Submission!$O:$O,Submission!$H:$N,""))</f>
        <v/>
      </c>
    </row>
    <row r="36" spans="2:9" ht="27.6" hidden="1" customHeight="1" outlineLevel="1" x14ac:dyDescent="0.3">
      <c r="B36" s="20"/>
      <c r="C36" s="419" t="str">
        <f>_xlfn.CONCAT(_xlfn.XLOOKUP("[S06_AccredCertVerifiersAnnexI][20][AccredCertScope]",Submission!$O:$O,Submission!$H:$N,""))</f>
        <v xml:space="preserve">8 - Production of hydrogen (H2) and synthesis gas by reforming or partial oxidation </v>
      </c>
      <c r="D36" s="420"/>
      <c r="E36" s="420"/>
      <c r="F36" s="420"/>
      <c r="G36" s="421"/>
      <c r="H36" s="132" t="str">
        <f>_xlfn.CONCAT(_xlfn.XLOOKUP("[S06_AccredCertVerifiersAnnexI][20][NumberAccredited]",Submission!$O:$O,Submission!$H:$N,""))</f>
        <v>3</v>
      </c>
      <c r="I36" s="132" t="str">
        <f>_xlfn.CONCAT(_xlfn.XLOOKUP("[S06_AccredCertVerifiersAnnexI][20][NumberCertified]",Submission!$O:$O,Submission!$H:$N,""))</f>
        <v/>
      </c>
    </row>
    <row r="37" spans="2:9" ht="27.6" hidden="1" customHeight="1" outlineLevel="1" x14ac:dyDescent="0.3">
      <c r="B37" s="20"/>
      <c r="C37" s="419" t="str">
        <f>_xlfn.CONCAT(_xlfn.XLOOKUP("[S06_AccredCertVerifiersAnnexI][21][AccredCertScope]",Submission!$O:$O,Submission!$H:$N,""))</f>
        <v>8 - Production of soda ash (Na2CO3) and sodium bicarbonate (NaHCO3)</v>
      </c>
      <c r="D37" s="420"/>
      <c r="E37" s="420"/>
      <c r="F37" s="420"/>
      <c r="G37" s="421"/>
      <c r="H37" s="132" t="str">
        <f>_xlfn.CONCAT(_xlfn.XLOOKUP("[S06_AccredCertVerifiersAnnexI][21][NumberAccredited]",Submission!$O:$O,Submission!$H:$N,""))</f>
        <v>3</v>
      </c>
      <c r="I37" s="132" t="str">
        <f>_xlfn.CONCAT(_xlfn.XLOOKUP("[S06_AccredCertVerifiersAnnexI][21][NumberCertified]",Submission!$O:$O,Submission!$H:$N,""))</f>
        <v/>
      </c>
    </row>
    <row r="38" spans="2:9" ht="27.6" hidden="1" customHeight="1" outlineLevel="1" x14ac:dyDescent="0.3">
      <c r="B38" s="20"/>
      <c r="C38" s="419" t="str">
        <f>_xlfn.CONCAT(_xlfn.XLOOKUP("[S06_AccredCertVerifiersAnnexI][22][AccredCertScope]",Submission!$O:$O,Submission!$H:$N,""))</f>
        <v>12 - Aviation activities (emissions and tonne-kilometre data)</v>
      </c>
      <c r="D38" s="420"/>
      <c r="E38" s="420"/>
      <c r="F38" s="420"/>
      <c r="G38" s="421"/>
      <c r="H38" s="132" t="str">
        <f>_xlfn.CONCAT(_xlfn.XLOOKUP("[S06_AccredCertVerifiersAnnexI][22][NumberAccredited]",Submission!$O:$O,Submission!$H:$N,""))</f>
        <v>2</v>
      </c>
      <c r="I38" s="132" t="str">
        <f>_xlfn.CONCAT(_xlfn.XLOOKUP("[S06_AccredCertVerifiersAnnexI][22][NumberCertified]",Submission!$O:$O,Submission!$H:$N,""))</f>
        <v/>
      </c>
    </row>
    <row r="39" spans="2:9" ht="27.6" hidden="1" customHeight="1" outlineLevel="1" x14ac:dyDescent="0.3">
      <c r="B39" s="20"/>
      <c r="C39" s="419" t="str">
        <f>_xlfn.CONCAT(_xlfn.XLOOKUP("[S06_AccredCertVerifiersAnnexI][23][AccredCertScope]",Submission!$O:$O,Submission!$H:$N,""))</f>
        <v>98 - Other activities pursuant to Article 10a of Directive 2003/87/EC</v>
      </c>
      <c r="D39" s="420"/>
      <c r="E39" s="420"/>
      <c r="F39" s="420"/>
      <c r="G39" s="421"/>
      <c r="H39" s="132" t="str">
        <f>_xlfn.CONCAT(_xlfn.XLOOKUP("[S06_AccredCertVerifiersAnnexI][23][NumberAccredited]",Submission!$O:$O,Submission!$H:$N,""))</f>
        <v>3</v>
      </c>
      <c r="I39" s="132" t="str">
        <f>_xlfn.CONCAT(_xlfn.XLOOKUP("[S06_AccredCertVerifiersAnnexI][23][NumberCertified]",Submission!$O:$O,Submission!$H:$N,""))</f>
        <v/>
      </c>
    </row>
    <row r="40" spans="2:9" ht="27.6" hidden="1" customHeight="1" outlineLevel="1" x14ac:dyDescent="0.3">
      <c r="B40" s="20"/>
      <c r="C40" s="419" t="str">
        <f>_xlfn.CONCAT(_xlfn.XLOOKUP("[S06_AccredCertVerifiersAnnexI][24][AccredCertScope]",Submission!$O:$O,Submission!$H:$N,""))</f>
        <v/>
      </c>
      <c r="D40" s="420"/>
      <c r="E40" s="420"/>
      <c r="F40" s="420"/>
      <c r="G40" s="421"/>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Yes</v>
      </c>
      <c r="H56" s="260"/>
      <c r="I56" s="47" t="str">
        <f>_xlfn.CONCAT(_xlfn.XLOOKUP("[S06_ApplicationInformationExchangeRequirements1][1][FromOtherMS]",Submission!$O:$O,Submission!$H:$N,""))</f>
        <v>Partially</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Partially</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Yes</v>
      </c>
      <c r="H60" s="260"/>
      <c r="I60" s="47" t="str">
        <f>_xlfn.CONCAT(_xlfn.XLOOKUP("[S06_ApplicationInformationExchangeRequirements1][3][FromOtherMS]",Submission!$O:$O,Submission!$H:$N,""))</f>
        <v>Yes</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0</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0</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1</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20 - Combustion of fuels as specified in Annex I of Directive 2003/87/EC</v>
      </c>
      <c r="D133" s="364"/>
      <c r="E133" s="274" t="str">
        <f>_xlfn.CONCAT(_xlfn.XLOOKUP("[S06_InstallationsVerificationReportsIssueDetail]["&amp;1&amp;"][TypeOfIssue]",Submission!$O:$O,Submission!$H:$N,""))</f>
        <v>Recommendations for improvement</v>
      </c>
      <c r="F133" s="364"/>
      <c r="G133" s="105" t="str">
        <f>_xlfn.CONCAT(_xlfn.XLOOKUP("[S06_InstallationsVerificationReportsIssueDetail]["&amp;1&amp;"][NumberOfInstallations]",Submission!$O:$O,Submission!$H:$N,""))</f>
        <v>7</v>
      </c>
      <c r="H133" s="108" t="str">
        <f>_xlfn.CONCAT(_xlfn.XLOOKUP("[S06_InstallationsVerificationReportsIssueDetail]["&amp;1&amp;"][NumberOfIssues]",Submission!$O:$O,Submission!$H:$N,""))</f>
        <v>4</v>
      </c>
      <c r="I133" s="189" t="str">
        <f>_xlfn.CONCAT(_xlfn.XLOOKUP("[S06_InstallationsVerificationReportsIssueDetail]["&amp;1&amp;"][ShareOfReportsConservativeEstimate]",Submission!$O:$O,Submission!$H:$N,""))</f>
        <v>0</v>
      </c>
    </row>
    <row r="134" spans="1:9" ht="26.4" customHeight="1" x14ac:dyDescent="0.3">
      <c r="A134" s="13"/>
      <c r="C134" s="274" t="str">
        <f>_xlfn.CONCAT(_xlfn.XLOOKUP("[S06_InstallationsVerificationReportsIssueDetail]["&amp;1+ROW(B134)-ROW($B$133)&amp;"][AnnexIActivity]",Submission!$O:$O,Submission!$H:$N,""))</f>
        <v>20 - Combustion of fuels as specified in Annex I of Directive 2003/87/EC</v>
      </c>
      <c r="D134" s="364"/>
      <c r="E134" s="274" t="str">
        <f>_xlfn.CONCAT(_xlfn.XLOOKUP("[S06_InstallationsVerificationReportsIssueDetail]["&amp;1+ROW(B134)-ROW($B$133)&amp;"][TypeOfIssue]",Submission!$O:$O,Submission!$H:$N,""))</f>
        <v>Non-material misstatements</v>
      </c>
      <c r="F134" s="364"/>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9" t="str">
        <f>_xlfn.CONCAT(_xlfn.XLOOKUP("[S06_InstallationsVerificationReportsIssueDetail]["&amp;1+ROW(B134)-ROW($B$133)&amp;"][ShareOfReportsConservativeEstimate]",Submission!$O:$O,Submission!$H:$N,""))</f>
        <v>0</v>
      </c>
    </row>
    <row r="135" spans="1:9" ht="26.4" customHeight="1" x14ac:dyDescent="0.3">
      <c r="A135" s="13"/>
      <c r="C135" s="274" t="str">
        <f>_xlfn.CONCAT(_xlfn.XLOOKUP("[S06_InstallationsVerificationReportsIssueDetail]["&amp;1+ROW(B135)-ROW($B$133)&amp;"][AnnexIActivity]",Submission!$O:$O,Submission!$H:$N,""))</f>
        <v>20 - Combustion of fuels as specified in Annex I of Directive 2003/87/EC</v>
      </c>
      <c r="D135" s="364"/>
      <c r="E135" s="274" t="str">
        <f>_xlfn.CONCAT(_xlfn.XLOOKUP("[S06_InstallationsVerificationReportsIssueDetail]["&amp;1+ROW(B135)-ROW($B$133)&amp;"][TypeOfIssue]",Submission!$O:$O,Submission!$H:$N,""))</f>
        <v>Non-conformities not leading to a negative verification opinion statement</v>
      </c>
      <c r="F135" s="364"/>
      <c r="G135" s="105" t="str">
        <f>_xlfn.CONCAT(_xlfn.XLOOKUP("[S06_InstallationsVerificationReportsIssueDetail]["&amp;1+ROW(B135)-ROW($B$133)&amp;"][NumberOfInstallations]",Submission!$O:$O,Submission!$H:$N,""))</f>
        <v>2</v>
      </c>
      <c r="H135" s="108" t="str">
        <f>_xlfn.CONCAT(_xlfn.XLOOKUP("[S06_InstallationsVerificationReportsIssueDetail]["&amp;1+ROW(B135)-ROW($B$133)&amp;"][NumberOfIssues]",Submission!$O:$O,Submission!$H:$N,""))</f>
        <v>2</v>
      </c>
      <c r="I135" s="189" t="str">
        <f>_xlfn.CONCAT(_xlfn.XLOOKUP("[S06_InstallationsVerificationReportsIssueDetail]["&amp;1+ROW(B135)-ROW($B$133)&amp;"][ShareOfReportsConservativeEstimate]",Submission!$O:$O,Submission!$H:$N,""))</f>
        <v>0</v>
      </c>
    </row>
    <row r="136" spans="1:9" ht="26.4" customHeight="1" x14ac:dyDescent="0.3">
      <c r="A136" s="13"/>
      <c r="C136" s="274" t="str">
        <f>_xlfn.CONCAT(_xlfn.XLOOKUP("[S06_InstallationsVerificationReportsIssueDetail]["&amp;1+ROW(B136)-ROW($B$133)&amp;"][AnnexIActivity]",Submission!$O:$O,Submission!$H:$N,""))</f>
        <v>20 - Combustion of fuels as specified in Annex I of Directive 2003/87/EC</v>
      </c>
      <c r="D136" s="364"/>
      <c r="E136" s="274" t="str">
        <f>_xlfn.CONCAT(_xlfn.XLOOKUP("[S06_InstallationsVerificationReportsIssueDetail]["&amp;1+ROW(B136)-ROW($B$133)&amp;"][TypeOfIssue]",Submission!$O:$O,Submission!$H:$N,""))</f>
        <v>Non-compliance with Implementing Regulation (EU) 2018/2066</v>
      </c>
      <c r="F136" s="364"/>
      <c r="G136" s="105" t="str">
        <f>_xlfn.CONCAT(_xlfn.XLOOKUP("[S06_InstallationsVerificationReportsIssueDetail]["&amp;1+ROW(B136)-ROW($B$133)&amp;"][NumberOfInstallations]",Submission!$O:$O,Submission!$H:$N,""))</f>
        <v>2</v>
      </c>
      <c r="H136" s="108" t="str">
        <f>_xlfn.CONCAT(_xlfn.XLOOKUP("[S06_InstallationsVerificationReportsIssueDetail]["&amp;1+ROW(B136)-ROW($B$133)&amp;"][NumberOfIssues]",Submission!$O:$O,Submission!$H:$N,""))</f>
        <v>3</v>
      </c>
      <c r="I136" s="189" t="str">
        <f>_xlfn.CONCAT(_xlfn.XLOOKUP("[S06_InstallationsVerificationReportsIssueDetail]["&amp;1+ROW(B136)-ROW($B$133)&amp;"][ShareOfReportsConservativeEstimate]",Submission!$O:$O,Submission!$H:$N,""))</f>
        <v>0</v>
      </c>
    </row>
    <row r="137" spans="1:9" ht="26.4" customHeight="1" x14ac:dyDescent="0.3">
      <c r="A137" s="13"/>
      <c r="C137" s="274" t="str">
        <f>_xlfn.CONCAT(_xlfn.XLOOKUP("[S06_InstallationsVerificationReportsIssueDetail]["&amp;1+ROW(B137)-ROW($B$133)&amp;"][AnnexIActivity]",Submission!$O:$O,Submission!$H:$N,""))</f>
        <v>32 - Manufacture of ceramic products as specified in Annex I of Directive 2003/87/EC</v>
      </c>
      <c r="D137" s="364"/>
      <c r="E137" s="274" t="str">
        <f>_xlfn.CONCAT(_xlfn.XLOOKUP("[S06_InstallationsVerificationReportsIssueDetail]["&amp;1+ROW(B137)-ROW($B$133)&amp;"][TypeOfIssue]",Submission!$O:$O,Submission!$H:$N,""))</f>
        <v>Recommendations for improvement</v>
      </c>
      <c r="F137" s="364"/>
      <c r="G137" s="105" t="str">
        <f>_xlfn.CONCAT(_xlfn.XLOOKUP("[S06_InstallationsVerificationReportsIssueDetail]["&amp;1+ROW(B137)-ROW($B$133)&amp;"][NumberOfInstallations]",Submission!$O:$O,Submission!$H:$N,""))</f>
        <v>3</v>
      </c>
      <c r="H137" s="108" t="str">
        <f>_xlfn.CONCAT(_xlfn.XLOOKUP("[S06_InstallationsVerificationReportsIssueDetail]["&amp;1+ROW(B137)-ROW($B$133)&amp;"][NumberOfIssues]",Submission!$O:$O,Submission!$H:$N,""))</f>
        <v>4</v>
      </c>
      <c r="I137" s="189" t="str">
        <f>_xlfn.CONCAT(_xlfn.XLOOKUP("[S06_InstallationsVerificationReportsIssueDetail]["&amp;1+ROW(B137)-ROW($B$133)&amp;"][ShareOfReportsConservativeEstimate]",Submission!$O:$O,Submission!$H:$N,""))</f>
        <v>0</v>
      </c>
    </row>
    <row r="138" spans="1:9" ht="26.4" customHeight="1" x14ac:dyDescent="0.3">
      <c r="A138" s="13"/>
      <c r="C138" s="274" t="str">
        <f>_xlfn.CONCAT(_xlfn.XLOOKUP("[S06_InstallationsVerificationReportsIssueDetail]["&amp;1+ROW(B138)-ROW($B$133)&amp;"][AnnexIActivity]",Submission!$O:$O,Submission!$H:$N,""))</f>
        <v>32 - Manufacture of ceramic products as specified in Annex I of Directive 2003/87/EC</v>
      </c>
      <c r="D138" s="364"/>
      <c r="E138" s="274" t="str">
        <f>_xlfn.CONCAT(_xlfn.XLOOKUP("[S06_InstallationsVerificationReportsIssueDetail]["&amp;1+ROW(B138)-ROW($B$133)&amp;"][TypeOfIssue]",Submission!$O:$O,Submission!$H:$N,""))</f>
        <v>Non-conformities not leading to a negative verification opinion statement</v>
      </c>
      <c r="F138" s="364"/>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9" t="str">
        <f>_xlfn.CONCAT(_xlfn.XLOOKUP("[S06_InstallationsVerificationReportsIssueDetail]["&amp;1+ROW(B138)-ROW($B$133)&amp;"][ShareOfReportsConservativeEstimate]",Submission!$O:$O,Submission!$H:$N,""))</f>
        <v>0</v>
      </c>
    </row>
    <row r="139" spans="1:9" ht="26.4" customHeight="1" x14ac:dyDescent="0.3">
      <c r="A139" s="13"/>
      <c r="C139" s="274" t="str">
        <f>_xlfn.CONCAT(_xlfn.XLOOKUP("[S06_InstallationsVerificationReportsIssueDetail]["&amp;1+ROW(B139)-ROW($B$133)&amp;"][AnnexIActivity]",Submission!$O:$O,Submission!$H:$N,""))</f>
        <v>32 - Manufacture of ceramic products as specified in Annex I of Directive 2003/87/EC</v>
      </c>
      <c r="D139" s="364"/>
      <c r="E139" s="274" t="str">
        <f>_xlfn.CONCAT(_xlfn.XLOOKUP("[S06_InstallationsVerificationReportsIssueDetail]["&amp;1+ROW(B139)-ROW($B$133)&amp;"][TypeOfIssue]",Submission!$O:$O,Submission!$H:$N,""))</f>
        <v>Non-compliance with Implementing Regulation (EU) 2018/2066</v>
      </c>
      <c r="F139" s="364"/>
      <c r="G139" s="105" t="str">
        <f>_xlfn.CONCAT(_xlfn.XLOOKUP("[S06_InstallationsVerificationReportsIssueDetail]["&amp;1+ROW(B139)-ROW($B$133)&amp;"][NumberOfInstallations]",Submission!$O:$O,Submission!$H:$N,""))</f>
        <v>5</v>
      </c>
      <c r="H139" s="108" t="str">
        <f>_xlfn.CONCAT(_xlfn.XLOOKUP("[S06_InstallationsVerificationReportsIssueDetail]["&amp;1+ROW(B139)-ROW($B$133)&amp;"][NumberOfIssues]",Submission!$O:$O,Submission!$H:$N,""))</f>
        <v>3</v>
      </c>
      <c r="I139" s="189" t="str">
        <f>_xlfn.CONCAT(_xlfn.XLOOKUP("[S06_InstallationsVerificationReportsIssueDetail]["&amp;1+ROW(B139)-ROW($B$133)&amp;"][ShareOfReportsConservativeEstimate]",Submission!$O:$O,Submission!$H:$N,""))</f>
        <v>0</v>
      </c>
    </row>
    <row r="140" spans="1:9" ht="26.4" customHeight="1" x14ac:dyDescent="0.3">
      <c r="A140" s="13"/>
      <c r="C140" s="274" t="str">
        <f>_xlfn.CONCAT(_xlfn.XLOOKUP("[S06_InstallationsVerificationReportsIssueDetail]["&amp;1+ROW(B140)-ROW($B$133)&amp;"][AnnexIActivity]",Submission!$O:$O,Submission!$H:$N,""))</f>
        <v>29 - Production of cement clinker in rotary kilns as specified in Annex I of Directive 2003/87/ EC</v>
      </c>
      <c r="D140" s="364"/>
      <c r="E140" s="274" t="str">
        <f>_xlfn.CONCAT(_xlfn.XLOOKUP("[S06_InstallationsVerificationReportsIssueDetail]["&amp;1+ROW(B140)-ROW($B$133)&amp;"][TypeOfIssue]",Submission!$O:$O,Submission!$H:$N,""))</f>
        <v>Recommendations for improvement</v>
      </c>
      <c r="F140" s="364"/>
      <c r="G140" s="105" t="str">
        <f>_xlfn.CONCAT(_xlfn.XLOOKUP("[S06_InstallationsVerificationReportsIssueDetail]["&amp;1+ROW(B140)-ROW($B$133)&amp;"][NumberOfInstallations]",Submission!$O:$O,Submission!$H:$N,""))</f>
        <v>3</v>
      </c>
      <c r="H140" s="108" t="str">
        <f>_xlfn.CONCAT(_xlfn.XLOOKUP("[S06_InstallationsVerificationReportsIssueDetail]["&amp;1+ROW(B140)-ROW($B$133)&amp;"][NumberOfIssues]",Submission!$O:$O,Submission!$H:$N,""))</f>
        <v>8</v>
      </c>
      <c r="I140" s="189" t="str">
        <f>_xlfn.CONCAT(_xlfn.XLOOKUP("[S06_InstallationsVerificationReportsIssueDetail]["&amp;1+ROW(B140)-ROW($B$133)&amp;"][ShareOfReportsConservativeEstimate]",Submission!$O:$O,Submission!$H:$N,""))</f>
        <v>0</v>
      </c>
    </row>
    <row r="141" spans="1:9" ht="26.4" customHeight="1" x14ac:dyDescent="0.3">
      <c r="A141" s="13"/>
      <c r="C141" s="274" t="str">
        <f>_xlfn.CONCAT(_xlfn.XLOOKUP("[S06_InstallationsVerificationReportsIssueDetail]["&amp;1+ROW(B141)-ROW($B$133)&amp;"][AnnexIActivity]",Submission!$O:$O,Submission!$H:$N,""))</f>
        <v>29 - Production of cement clinker in rotary kilns as specified in Annex I of Directive 2003/87/ EC</v>
      </c>
      <c r="D141" s="364"/>
      <c r="E141" s="274" t="str">
        <f>_xlfn.CONCAT(_xlfn.XLOOKUP("[S06_InstallationsVerificationReportsIssueDetail]["&amp;1+ROW(B141)-ROW($B$133)&amp;"][TypeOfIssue]",Submission!$O:$O,Submission!$H:$N,""))</f>
        <v>Non-conformities not leading to a negative verification opinion statement</v>
      </c>
      <c r="F141" s="364"/>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9" t="str">
        <f>_xlfn.CONCAT(_xlfn.XLOOKUP("[S06_InstallationsVerificationReportsIssueDetail]["&amp;1+ROW(B141)-ROW($B$133)&amp;"][ShareOfReportsConservativeEstimate]",Submission!$O:$O,Submission!$H:$N,""))</f>
        <v>0</v>
      </c>
    </row>
    <row r="142" spans="1:9" ht="26.4" customHeight="1" x14ac:dyDescent="0.3">
      <c r="A142" s="13"/>
      <c r="C142" s="274" t="str">
        <f>_xlfn.CONCAT(_xlfn.XLOOKUP("[S06_InstallationsVerificationReportsIssueDetail]["&amp;1+ROW(B142)-ROW($B$133)&amp;"][AnnexIActivity]",Submission!$O:$O,Submission!$H:$N,""))</f>
        <v>29 - Production of cement clinker in rotary kilns as specified in Annex I of Directive 2003/87/ EC</v>
      </c>
      <c r="D142" s="364"/>
      <c r="E142" s="274" t="str">
        <f>_xlfn.CONCAT(_xlfn.XLOOKUP("[S06_InstallationsVerificationReportsIssueDetail]["&amp;1+ROW(B142)-ROW($B$133)&amp;"][TypeOfIssue]",Submission!$O:$O,Submission!$H:$N,""))</f>
        <v>Non-compliance with Implementing Regulation (EU) 2018/2066</v>
      </c>
      <c r="F142" s="364"/>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2</v>
      </c>
      <c r="I142" s="189" t="str">
        <f>_xlfn.CONCAT(_xlfn.XLOOKUP("[S06_InstallationsVerificationReportsIssueDetail]["&amp;1+ROW(B142)-ROW($B$133)&amp;"][ShareOfReportsConservativeEstimate]",Submission!$O:$O,Submission!$H:$N,""))</f>
        <v>0</v>
      </c>
    </row>
    <row r="143" spans="1:9" ht="26.4" customHeight="1" x14ac:dyDescent="0.3">
      <c r="A143" s="13"/>
      <c r="C143" s="274" t="str">
        <f>_xlfn.CONCAT(_xlfn.XLOOKUP("[S06_InstallationsVerificationReportsIssueDetail]["&amp;1+ROW(B143)-ROW($B$133)&amp;"][AnnexIActivity]",Submission!$O:$O,Submission!$H:$N,""))</f>
        <v>30 - Production of lime or calcination of dolomite or magnesite as specified in Annex I of Directive 2003/87/ EC</v>
      </c>
      <c r="D143" s="364"/>
      <c r="E143" s="274" t="str">
        <f>_xlfn.CONCAT(_xlfn.XLOOKUP("[S06_InstallationsVerificationReportsIssueDetail]["&amp;1+ROW(B143)-ROW($B$133)&amp;"][TypeOfIssue]",Submission!$O:$O,Submission!$H:$N,""))</f>
        <v>Non-compliance with Implementing Regulation (EU) 2018/2066</v>
      </c>
      <c r="F143" s="364"/>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1</v>
      </c>
      <c r="I143" s="189" t="str">
        <f>_xlfn.CONCAT(_xlfn.XLOOKUP("[S06_InstallationsVerificationReportsIssueDetail]["&amp;1+ROW(B143)-ROW($B$133)&amp;"][ShareOfReportsConservativeEstimate]",Submission!$O:$O,Submission!$H:$N,""))</f>
        <v>0</v>
      </c>
    </row>
    <row r="144" spans="1:9" ht="26.4" customHeight="1" x14ac:dyDescent="0.3">
      <c r="A144" s="13"/>
      <c r="C144" s="274" t="str">
        <f>_xlfn.CONCAT(_xlfn.XLOOKUP("[S06_InstallationsVerificationReportsIssueDetail]["&amp;1+ROW(B144)-ROW($B$133)&amp;"][AnnexIActivity]",Submission!$O:$O,Submission!$H:$N,""))</f>
        <v xml:space="preserve">36 - Production of paper or cardboard as specified in Annex I of Directive 2003/87/EC </v>
      </c>
      <c r="D144" s="364"/>
      <c r="E144" s="274" t="str">
        <f>_xlfn.CONCAT(_xlfn.XLOOKUP("[S06_InstallationsVerificationReportsIssueDetail]["&amp;1+ROW(B144)-ROW($B$133)&amp;"][TypeOfIssue]",Submission!$O:$O,Submission!$H:$N,""))</f>
        <v>Non-compliance with Implementing Regulation (EU) 2018/2066</v>
      </c>
      <c r="F144" s="364"/>
      <c r="G144" s="105" t="str">
        <f>_xlfn.CONCAT(_xlfn.XLOOKUP("[S06_InstallationsVerificationReportsIssueDetail]["&amp;1+ROW(B144)-ROW($B$133)&amp;"][NumberOfInstallations]",Submission!$O:$O,Submission!$H:$N,""))</f>
        <v>2</v>
      </c>
      <c r="H144" s="108" t="str">
        <f>_xlfn.CONCAT(_xlfn.XLOOKUP("[S06_InstallationsVerificationReportsIssueDetail]["&amp;1+ROW(B144)-ROW($B$133)&amp;"][NumberOfIssues]",Submission!$O:$O,Submission!$H:$N,""))</f>
        <v>2</v>
      </c>
      <c r="I144" s="189" t="str">
        <f>_xlfn.CONCAT(_xlfn.XLOOKUP("[S06_InstallationsVerificationReportsIssueDetail]["&amp;1+ROW(B144)-ROW($B$133)&amp;"][ShareOfReportsConservativeEstimate]",Submission!$O:$O,Submission!$H:$N,""))</f>
        <v>0</v>
      </c>
    </row>
    <row r="145" spans="1:9" ht="26.4" customHeight="1" x14ac:dyDescent="0.3">
      <c r="A145" s="13"/>
      <c r="C145" s="274" t="str">
        <f>_xlfn.CONCAT(_xlfn.XLOOKUP("[S06_InstallationsVerificationReportsIssueDetail]["&amp;1+ROW(B145)-ROW($B$133)&amp;"][AnnexIActivity]",Submission!$O:$O,Submission!$H:$N,""))</f>
        <v xml:space="preserve">36 - Production of paper or cardboard as specified in Annex I of Directive 2003/87/EC </v>
      </c>
      <c r="D145" s="364"/>
      <c r="E145" s="274" t="str">
        <f>_xlfn.CONCAT(_xlfn.XLOOKUP("[S06_InstallationsVerificationReportsIssueDetail]["&amp;1+ROW(B145)-ROW($B$133)&amp;"][TypeOfIssue]",Submission!$O:$O,Submission!$H:$N,""))</f>
        <v>Recommendations for improvement</v>
      </c>
      <c r="F145" s="364"/>
      <c r="G145" s="105" t="str">
        <f>_xlfn.CONCAT(_xlfn.XLOOKUP("[S06_InstallationsVerificationReportsIssueDetail]["&amp;1+ROW(B145)-ROW($B$133)&amp;"][NumberOfInstallations]",Submission!$O:$O,Submission!$H:$N,""))</f>
        <v>3</v>
      </c>
      <c r="H145" s="108" t="str">
        <f>_xlfn.CONCAT(_xlfn.XLOOKUP("[S06_InstallationsVerificationReportsIssueDetail]["&amp;1+ROW(B145)-ROW($B$133)&amp;"][NumberOfIssues]",Submission!$O:$O,Submission!$H:$N,""))</f>
        <v>3</v>
      </c>
      <c r="I145" s="189" t="str">
        <f>_xlfn.CONCAT(_xlfn.XLOOKUP("[S06_InstallationsVerificationReportsIssueDetail]["&amp;1+ROW(B145)-ROW($B$133)&amp;"][ShareOfReportsConservativeEstimate]",Submission!$O:$O,Submission!$H:$N,""))</f>
        <v>0</v>
      </c>
    </row>
    <row r="146" spans="1:9" ht="26.4" customHeight="1" x14ac:dyDescent="0.3">
      <c r="A146" s="13"/>
      <c r="C146" s="274" t="str">
        <f>_xlfn.CONCAT(_xlfn.XLOOKUP("[S06_InstallationsVerificationReportsIssueDetail]["&amp;1+ROW(B146)-ROW($B$133)&amp;"][AnnexIActivity]",Submission!$O:$O,Submission!$H:$N,""))</f>
        <v>35 - Production of pulp as specified in Annex I of Directive 2003/87/EC</v>
      </c>
      <c r="D146" s="364"/>
      <c r="E146" s="274" t="str">
        <f>_xlfn.CONCAT(_xlfn.XLOOKUP("[S06_InstallationsVerificationReportsIssueDetail]["&amp;1+ROW(B146)-ROW($B$133)&amp;"][TypeOfIssue]",Submission!$O:$O,Submission!$H:$N,""))</f>
        <v>Non-conformities not leading to a negative verification opinion statement</v>
      </c>
      <c r="F146" s="364"/>
      <c r="G146" s="105" t="str">
        <f>_xlfn.CONCAT(_xlfn.XLOOKUP("[S06_InstallationsVerificationReportsIssueDetail]["&amp;1+ROW(B146)-ROW($B$133)&amp;"][NumberOfInstallations]",Submission!$O:$O,Submission!$H:$N,""))</f>
        <v>5</v>
      </c>
      <c r="H146" s="108" t="str">
        <f>_xlfn.CONCAT(_xlfn.XLOOKUP("[S06_InstallationsVerificationReportsIssueDetail]["&amp;1+ROW(B146)-ROW($B$133)&amp;"][NumberOfIssues]",Submission!$O:$O,Submission!$H:$N,""))</f>
        <v>4</v>
      </c>
      <c r="I146" s="189" t="str">
        <f>_xlfn.CONCAT(_xlfn.XLOOKUP("[S06_InstallationsVerificationReportsIssueDetail]["&amp;1+ROW(B146)-ROW($B$133)&amp;"][ShareOfReportsConservativeEstimate]",Submission!$O:$O,Submission!$H:$N,""))</f>
        <v>0</v>
      </c>
    </row>
    <row r="147" spans="1:9" ht="26.4" customHeight="1" x14ac:dyDescent="0.3">
      <c r="A147" s="13"/>
      <c r="C147" s="274" t="str">
        <f>_xlfn.CONCAT(_xlfn.XLOOKUP("[S06_InstallationsVerificationReportsIssueDetail]["&amp;1+ROW(B147)-ROW($B$133)&amp;"][AnnexIActivity]",Submission!$O:$O,Submission!$H:$N,""))</f>
        <v>35 - Production of pulp as specified in Annex I of Directive 2003/87/EC</v>
      </c>
      <c r="D147" s="364"/>
      <c r="E147" s="274" t="str">
        <f>_xlfn.CONCAT(_xlfn.XLOOKUP("[S06_InstallationsVerificationReportsIssueDetail]["&amp;1+ROW(B147)-ROW($B$133)&amp;"][TypeOfIssue]",Submission!$O:$O,Submission!$H:$N,""))</f>
        <v>Non-compliance with Implementing Regulation (EU) 2018/2066</v>
      </c>
      <c r="F147" s="364"/>
      <c r="G147" s="105" t="str">
        <f>_xlfn.CONCAT(_xlfn.XLOOKUP("[S06_InstallationsVerificationReportsIssueDetail]["&amp;1+ROW(B147)-ROW($B$133)&amp;"][NumberOfInstallations]",Submission!$O:$O,Submission!$H:$N,""))</f>
        <v>2</v>
      </c>
      <c r="H147" s="108" t="str">
        <f>_xlfn.CONCAT(_xlfn.XLOOKUP("[S06_InstallationsVerificationReportsIssueDetail]["&amp;1+ROW(B147)-ROW($B$133)&amp;"][NumberOfIssues]",Submission!$O:$O,Submission!$H:$N,""))</f>
        <v>2</v>
      </c>
      <c r="I147" s="189" t="str">
        <f>_xlfn.CONCAT(_xlfn.XLOOKUP("[S06_InstallationsVerificationReportsIssueDetail]["&amp;1+ROW(B147)-ROW($B$133)&amp;"][ShareOfReportsConservativeEstimate]",Submission!$O:$O,Submission!$H:$N,""))</f>
        <v>0</v>
      </c>
    </row>
    <row r="148" spans="1:9" ht="26.4" customHeight="1" x14ac:dyDescent="0.3">
      <c r="A148" s="13"/>
      <c r="C148" s="274" t="str">
        <f>_xlfn.CONCAT(_xlfn.XLOOKUP("[S06_InstallationsVerificationReportsIssueDetail]["&amp;1+ROW(B148)-ROW($B$133)&amp;"][AnnexIActivity]",Submission!$O:$O,Submission!$H:$N,""))</f>
        <v>35 - Production of pulp as specified in Annex I of Directive 2003/87/EC</v>
      </c>
      <c r="D148" s="364"/>
      <c r="E148" s="274" t="str">
        <f>_xlfn.CONCAT(_xlfn.XLOOKUP("[S06_InstallationsVerificationReportsIssueDetail]["&amp;1+ROW(B148)-ROW($B$133)&amp;"][TypeOfIssue]",Submission!$O:$O,Submission!$H:$N,""))</f>
        <v>Recommendations for improvement</v>
      </c>
      <c r="F148" s="364"/>
      <c r="G148" s="105" t="str">
        <f>_xlfn.CONCAT(_xlfn.XLOOKUP("[S06_InstallationsVerificationReportsIssueDetail]["&amp;1+ROW(B148)-ROW($B$133)&amp;"][NumberOfInstallations]",Submission!$O:$O,Submission!$H:$N,""))</f>
        <v>4</v>
      </c>
      <c r="H148" s="108" t="str">
        <f>_xlfn.CONCAT(_xlfn.XLOOKUP("[S06_InstallationsVerificationReportsIssueDetail]["&amp;1+ROW(B148)-ROW($B$133)&amp;"][NumberOfIssues]",Submission!$O:$O,Submission!$H:$N,""))</f>
        <v>6</v>
      </c>
      <c r="I148" s="189" t="str">
        <f>_xlfn.CONCAT(_xlfn.XLOOKUP("[S06_InstallationsVerificationReportsIssueDetail]["&amp;1+ROW(B148)-ROW($B$133)&amp;"][ShareOfReportsConservativeEstimate]",Submission!$O:$O,Submission!$H:$N,""))</f>
        <v>0</v>
      </c>
    </row>
    <row r="149" spans="1:9" ht="26.4" customHeight="1" x14ac:dyDescent="0.3">
      <c r="A149" s="13"/>
      <c r="C149" s="274" t="str">
        <f>_xlfn.CONCAT(_xlfn.XLOOKUP("[S06_InstallationsVerificationReportsIssueDetail]["&amp;1+ROW(B149)-ROW($B$133)&amp;"][AnnexIActivity]",Submission!$O:$O,Submission!$H:$N,""))</f>
        <v>24 - Production of pig iron or steel as specified in Annex I of Directive 2003/87/EC</v>
      </c>
      <c r="D149" s="364"/>
      <c r="E149" s="274" t="str">
        <f>_xlfn.CONCAT(_xlfn.XLOOKUP("[S06_InstallationsVerificationReportsIssueDetail]["&amp;1+ROW(B149)-ROW($B$133)&amp;"][TypeOfIssue]",Submission!$O:$O,Submission!$H:$N,""))</f>
        <v>Non-compliance with Implementing Regulation (EU) 2018/2066</v>
      </c>
      <c r="F149" s="364"/>
      <c r="G149" s="105" t="str">
        <f>_xlfn.CONCAT(_xlfn.XLOOKUP("[S06_InstallationsVerificationReportsIssueDetail]["&amp;1+ROW(B149)-ROW($B$133)&amp;"][NumberOfInstallations]",Submission!$O:$O,Submission!$H:$N,""))</f>
        <v>1</v>
      </c>
      <c r="H149" s="108" t="str">
        <f>_xlfn.CONCAT(_xlfn.XLOOKUP("[S06_InstallationsVerificationReportsIssueDetail]["&amp;1+ROW(B149)-ROW($B$133)&amp;"][NumberOfIssues]",Submission!$O:$O,Submission!$H:$N,""))</f>
        <v>1</v>
      </c>
      <c r="I149" s="189" t="str">
        <f>_xlfn.CONCAT(_xlfn.XLOOKUP("[S06_InstallationsVerificationReportsIssueDetail]["&amp;1+ROW(B149)-ROW($B$133)&amp;"][ShareOfReportsConservativeEstimate]",Submission!$O:$O,Submission!$H:$N,""))</f>
        <v>0</v>
      </c>
    </row>
    <row r="150" spans="1:9" ht="26.4" customHeight="1" x14ac:dyDescent="0.3">
      <c r="A150" s="13"/>
      <c r="C150" s="274" t="str">
        <f>_xlfn.CONCAT(_xlfn.XLOOKUP("[S06_InstallationsVerificationReportsIssueDetail]["&amp;1+ROW(B150)-ROW($B$133)&amp;"][AnnexIActivity]",Submission!$O:$O,Submission!$H:$N,""))</f>
        <v>31 - Manufacture of glass as specified in Annex I of Directive 2003/87/EC</v>
      </c>
      <c r="D150" s="364"/>
      <c r="E150" s="274" t="str">
        <f>_xlfn.CONCAT(_xlfn.XLOOKUP("[S06_InstallationsVerificationReportsIssueDetail]["&amp;1+ROW(B150)-ROW($B$133)&amp;"][TypeOfIssue]",Submission!$O:$O,Submission!$H:$N,""))</f>
        <v>Non-conformities not leading to a negative verification opinion statement</v>
      </c>
      <c r="F150" s="364"/>
      <c r="G150" s="105" t="str">
        <f>_xlfn.CONCAT(_xlfn.XLOOKUP("[S06_InstallationsVerificationReportsIssueDetail]["&amp;1+ROW(B150)-ROW($B$133)&amp;"][NumberOfInstallations]",Submission!$O:$O,Submission!$H:$N,""))</f>
        <v>2</v>
      </c>
      <c r="H150" s="108" t="str">
        <f>_xlfn.CONCAT(_xlfn.XLOOKUP("[S06_InstallationsVerificationReportsIssueDetail]["&amp;1+ROW(B150)-ROW($B$133)&amp;"][NumberOfIssues]",Submission!$O:$O,Submission!$H:$N,""))</f>
        <v>1</v>
      </c>
      <c r="I150" s="189" t="str">
        <f>_xlfn.CONCAT(_xlfn.XLOOKUP("[S06_InstallationsVerificationReportsIssueDetail]["&amp;1+ROW(B150)-ROW($B$133)&amp;"][ShareOfReportsConservativeEstimate]",Submission!$O:$O,Submission!$H:$N,""))</f>
        <v>0</v>
      </c>
    </row>
    <row r="151" spans="1:9" ht="26.4" customHeight="1" x14ac:dyDescent="0.3">
      <c r="A151" s="13"/>
      <c r="C151" s="274" t="str">
        <f>_xlfn.CONCAT(_xlfn.XLOOKUP("[S06_InstallationsVerificationReportsIssueDetail]["&amp;1+ROW(B151)-ROW($B$133)&amp;"][AnnexIActivity]",Submission!$O:$O,Submission!$H:$N,""))</f>
        <v>31 - Manufacture of glass as specified in Annex I of Directive 2003/87/EC</v>
      </c>
      <c r="D151" s="364"/>
      <c r="E151" s="274" t="str">
        <f>_xlfn.CONCAT(_xlfn.XLOOKUP("[S06_InstallationsVerificationReportsIssueDetail]["&amp;1+ROW(B151)-ROW($B$133)&amp;"][TypeOfIssue]",Submission!$O:$O,Submission!$H:$N,""))</f>
        <v>Non-compliance with Implementing Regulation (EU) 2018/2066</v>
      </c>
      <c r="F151" s="364"/>
      <c r="G151" s="105" t="str">
        <f>_xlfn.CONCAT(_xlfn.XLOOKUP("[S06_InstallationsVerificationReportsIssueDetail]["&amp;1+ROW(B151)-ROW($B$133)&amp;"][NumberOfInstallations]",Submission!$O:$O,Submission!$H:$N,""))</f>
        <v>2</v>
      </c>
      <c r="H151" s="108" t="str">
        <f>_xlfn.CONCAT(_xlfn.XLOOKUP("[S06_InstallationsVerificationReportsIssueDetail]["&amp;1+ROW(B151)-ROW($B$133)&amp;"][NumberOfIssues]",Submission!$O:$O,Submission!$H:$N,""))</f>
        <v>1</v>
      </c>
      <c r="I151" s="189" t="str">
        <f>_xlfn.CONCAT(_xlfn.XLOOKUP("[S06_InstallationsVerificationReportsIssueDetail]["&amp;1+ROW(B151)-ROW($B$133)&amp;"][ShareOfReportsConservativeEstimate]",Submission!$O:$O,Submission!$H:$N,""))</f>
        <v>0</v>
      </c>
    </row>
    <row r="152" spans="1:9" ht="26.4" customHeight="1" x14ac:dyDescent="0.3">
      <c r="A152" s="13"/>
      <c r="C152" s="274" t="str">
        <f>_xlfn.CONCAT(_xlfn.XLOOKUP("[S06_InstallationsVerificationReportsIssueDetail]["&amp;1+ROW(B152)-ROW($B$133)&amp;"][AnnexIActivity]",Submission!$O:$O,Submission!$H:$N,""))</f>
        <v>31 - Manufacture of glass as specified in Annex I of Directive 2003/87/EC</v>
      </c>
      <c r="D152" s="364"/>
      <c r="E152" s="274" t="str">
        <f>_xlfn.CONCAT(_xlfn.XLOOKUP("[S06_InstallationsVerificationReportsIssueDetail]["&amp;1+ROW(B152)-ROW($B$133)&amp;"][TypeOfIssue]",Submission!$O:$O,Submission!$H:$N,""))</f>
        <v>Recommendations for improvement</v>
      </c>
      <c r="F152" s="364"/>
      <c r="G152" s="105" t="str">
        <f>_xlfn.CONCAT(_xlfn.XLOOKUP("[S06_InstallationsVerificationReportsIssueDetail]["&amp;1+ROW(B152)-ROW($B$133)&amp;"][NumberOfInstallations]",Submission!$O:$O,Submission!$H:$N,""))</f>
        <v>3</v>
      </c>
      <c r="H152" s="108" t="str">
        <f>_xlfn.CONCAT(_xlfn.XLOOKUP("[S06_InstallationsVerificationReportsIssueDetail]["&amp;1+ROW(B152)-ROW($B$133)&amp;"][NumberOfIssues]",Submission!$O:$O,Submission!$H:$N,""))</f>
        <v>6</v>
      </c>
      <c r="I152" s="189" t="str">
        <f>_xlfn.CONCAT(_xlfn.XLOOKUP("[S06_InstallationsVerificationReportsIssueDetail]["&amp;1+ROW(B152)-ROW($B$133)&amp;"][ShareOfReportsConservativeEstimate]",Submission!$O:$O,Submission!$H:$N,""))</f>
        <v>0</v>
      </c>
    </row>
    <row r="153" spans="1:9" ht="26.4" hidden="1" customHeight="1" outlineLevel="1" x14ac:dyDescent="0.3">
      <c r="A153" s="13"/>
      <c r="C153" s="274" t="str">
        <f>_xlfn.CONCAT(_xlfn.XLOOKUP("[S06_InstallationsVerificationReportsIssueDetail]["&amp;1+ROW(B153)-ROW($B$133)&amp;"][AnnexIActivity]",Submission!$O:$O,Submission!$H:$N,""))</f>
        <v>25 - Production or processing of ferrous metals as specified in Annex I of Directive 2003/87/EC</v>
      </c>
      <c r="D153" s="364"/>
      <c r="E153" s="274" t="str">
        <f>_xlfn.CONCAT(_xlfn.XLOOKUP("[S06_InstallationsVerificationReportsIssueDetail]["&amp;1+ROW(B153)-ROW($B$133)&amp;"][TypeOfIssue]",Submission!$O:$O,Submission!$H:$N,""))</f>
        <v>Recommendations for improvement</v>
      </c>
      <c r="F153" s="364"/>
      <c r="G153" s="105" t="str">
        <f>_xlfn.CONCAT(_xlfn.XLOOKUP("[S06_InstallationsVerificationReportsIssueDetail]["&amp;1+ROW(B153)-ROW($B$133)&amp;"][NumberOfInstallations]",Submission!$O:$O,Submission!$H:$N,""))</f>
        <v>1</v>
      </c>
      <c r="H153" s="108" t="str">
        <f>_xlfn.CONCAT(_xlfn.XLOOKUP("[S06_InstallationsVerificationReportsIssueDetail]["&amp;1+ROW(B153)-ROW($B$133)&amp;"][NumberOfIssues]",Submission!$O:$O,Submission!$H:$N,""))</f>
        <v>1</v>
      </c>
      <c r="I153" s="189" t="str">
        <f>_xlfn.CONCAT(_xlfn.XLOOKUP("[S06_InstallationsVerificationReportsIssueDetail]["&amp;1+ROW(B153)-ROW($B$133)&amp;"][ShareOfReportsConservativeEstimate]",Submission!$O:$O,Submission!$H:$N,""))</f>
        <v>0</v>
      </c>
    </row>
    <row r="154" spans="1:9" ht="26.4" hidden="1" customHeight="1" outlineLevel="1" x14ac:dyDescent="0.3">
      <c r="A154" s="13"/>
      <c r="C154" s="274" t="str">
        <f>_xlfn.CONCAT(_xlfn.XLOOKUP("[S06_InstallationsVerificationReportsIssueDetail]["&amp;1+ROW(B154)-ROW($B$133)&amp;"][AnnexIActivity]",Submission!$O:$O,Submission!$H:$N,""))</f>
        <v>34 - Drying or calcination of gypsum or production of plaster boards and other gypsum products, as specified in Annex I of Directive 2003/87/EC</v>
      </c>
      <c r="D154" s="364"/>
      <c r="E154" s="274" t="str">
        <f>_xlfn.CONCAT(_xlfn.XLOOKUP("[S06_InstallationsVerificationReportsIssueDetail]["&amp;1+ROW(B154)-ROW($B$133)&amp;"][TypeOfIssue]",Submission!$O:$O,Submission!$H:$N,""))</f>
        <v>Recommendations for improvement</v>
      </c>
      <c r="F154" s="364"/>
      <c r="G154" s="105" t="str">
        <f>_xlfn.CONCAT(_xlfn.XLOOKUP("[S06_InstallationsVerificationReportsIssueDetail]["&amp;1+ROW(B154)-ROW($B$133)&amp;"][NumberOfInstallations]",Submission!$O:$O,Submission!$H:$N,""))</f>
        <v>1</v>
      </c>
      <c r="H154" s="108" t="str">
        <f>_xlfn.CONCAT(_xlfn.XLOOKUP("[S06_InstallationsVerificationReportsIssueDetail]["&amp;1+ROW(B154)-ROW($B$133)&amp;"][NumberOfIssues]",Submission!$O:$O,Submission!$H:$N,""))</f>
        <v>1</v>
      </c>
      <c r="I154" s="189" t="str">
        <f>_xlfn.CONCAT(_xlfn.XLOOKUP("[S06_InstallationsVerificationReportsIssueDetail]["&amp;1+ROW(B154)-ROW($B$133)&amp;"][ShareOfReportsConservativeEstimate]",Submission!$O:$O,Submission!$H:$N,""))</f>
        <v>0</v>
      </c>
    </row>
    <row r="155" spans="1:9" ht="26.4" hidden="1" customHeight="1" outlineLevel="1" x14ac:dyDescent="0.3">
      <c r="A155" s="13"/>
      <c r="C155" s="274" t="str">
        <f>_xlfn.CONCAT(_xlfn.XLOOKUP("[S06_InstallationsVerificationReportsIssueDetail]["&amp;1+ROW(B155)-ROW($B$133)&amp;"][AnnexIActivity]",Submission!$O:$O,Submission!$H:$N,""))</f>
        <v xml:space="preserve">42 - Production of bulk organic chemicals as specified in Annex I of Directive 2003/87/EC </v>
      </c>
      <c r="D155" s="364"/>
      <c r="E155" s="274" t="str">
        <f>_xlfn.CONCAT(_xlfn.XLOOKUP("[S06_InstallationsVerificationReportsIssueDetail]["&amp;1+ROW(B155)-ROW($B$133)&amp;"][TypeOfIssue]",Submission!$O:$O,Submission!$H:$N,""))</f>
        <v>Non-compliance with Implementing Regulation (EU) 2018/2066</v>
      </c>
      <c r="F155" s="364"/>
      <c r="G155" s="105" t="str">
        <f>_xlfn.CONCAT(_xlfn.XLOOKUP("[S06_InstallationsVerificationReportsIssueDetail]["&amp;1+ROW(B155)-ROW($B$133)&amp;"][NumberOfInstallations]",Submission!$O:$O,Submission!$H:$N,""))</f>
        <v>1</v>
      </c>
      <c r="H155" s="108" t="str">
        <f>_xlfn.CONCAT(_xlfn.XLOOKUP("[S06_InstallationsVerificationReportsIssueDetail]["&amp;1+ROW(B155)-ROW($B$133)&amp;"][NumberOfIssues]",Submission!$O:$O,Submission!$H:$N,""))</f>
        <v>1</v>
      </c>
      <c r="I155" s="189" t="str">
        <f>_xlfn.CONCAT(_xlfn.XLOOKUP("[S06_InstallationsVerificationReportsIssueDetail]["&amp;1+ROW(B155)-ROW($B$133)&amp;"][ShareOfReportsConservativeEstimate]",Submission!$O:$O,Submission!$H:$N,""))</f>
        <v>0</v>
      </c>
    </row>
    <row r="156" spans="1:9" ht="26.4" hidden="1" customHeight="1" outlineLevel="1" x14ac:dyDescent="0.3">
      <c r="A156" s="13"/>
      <c r="C156" s="274" t="str">
        <f>_xlfn.CONCAT(_xlfn.XLOOKUP("[S06_InstallationsVerificationReportsIssueDetail]["&amp;1+ROW(B156)-ROW($B$133)&amp;"][AnnexIActivity]",Submission!$O:$O,Submission!$H:$N,""))</f>
        <v xml:space="preserve">42 - Production of bulk organic chemicals as specified in Annex I of Directive 2003/87/EC </v>
      </c>
      <c r="D156" s="364"/>
      <c r="E156" s="274" t="str">
        <f>_xlfn.CONCAT(_xlfn.XLOOKUP("[S06_InstallationsVerificationReportsIssueDetail]["&amp;1+ROW(B156)-ROW($B$133)&amp;"][TypeOfIssue]",Submission!$O:$O,Submission!$H:$N,""))</f>
        <v>Recommendations for improvement</v>
      </c>
      <c r="F156" s="364"/>
      <c r="G156" s="105" t="str">
        <f>_xlfn.CONCAT(_xlfn.XLOOKUP("[S06_InstallationsVerificationReportsIssueDetail]["&amp;1+ROW(B156)-ROW($B$133)&amp;"][NumberOfInstallations]",Submission!$O:$O,Submission!$H:$N,""))</f>
        <v>2</v>
      </c>
      <c r="H156" s="108" t="str">
        <f>_xlfn.CONCAT(_xlfn.XLOOKUP("[S06_InstallationsVerificationReportsIssueDetail]["&amp;1+ROW(B156)-ROW($B$133)&amp;"][NumberOfIssues]",Submission!$O:$O,Submission!$H:$N,""))</f>
        <v>3</v>
      </c>
      <c r="I156" s="189" t="str">
        <f>_xlfn.CONCAT(_xlfn.XLOOKUP("[S06_InstallationsVerificationReportsIssueDetail]["&amp;1+ROW(B156)-ROW($B$133)&amp;"][ShareOfReportsConservativeEstimate]",Submission!$O:$O,Submission!$H:$N,""))</f>
        <v>0</v>
      </c>
    </row>
    <row r="157" spans="1:9" ht="26.4" hidden="1" customHeight="1" outlineLevel="1" x14ac:dyDescent="0.3">
      <c r="A157" s="13"/>
      <c r="C157" s="274" t="str">
        <f>_xlfn.CONCAT(_xlfn.XLOOKUP("[S06_InstallationsVerificationReportsIssueDetail]["&amp;1+ROW(B157)-ROW($B$133)&amp;"][AnnexIActivity]",Submission!$O:$O,Submission!$H:$N,""))</f>
        <v>21 - Refining of mineral oil</v>
      </c>
      <c r="D157" s="364"/>
      <c r="E157" s="274" t="str">
        <f>_xlfn.CONCAT(_xlfn.XLOOKUP("[S06_InstallationsVerificationReportsIssueDetail]["&amp;1+ROW(B157)-ROW($B$133)&amp;"][TypeOfIssue]",Submission!$O:$O,Submission!$H:$N,""))</f>
        <v>Non-material misstatements</v>
      </c>
      <c r="F157" s="364"/>
      <c r="G157" s="105" t="str">
        <f>_xlfn.CONCAT(_xlfn.XLOOKUP("[S06_InstallationsVerificationReportsIssueDetail]["&amp;1+ROW(B157)-ROW($B$133)&amp;"][NumberOfInstallations]",Submission!$O:$O,Submission!$H:$N,""))</f>
        <v>1</v>
      </c>
      <c r="H157" s="108" t="str">
        <f>_xlfn.CONCAT(_xlfn.XLOOKUP("[S06_InstallationsVerificationReportsIssueDetail]["&amp;1+ROW(B157)-ROW($B$133)&amp;"][NumberOfIssues]",Submission!$O:$O,Submission!$H:$N,""))</f>
        <v>1</v>
      </c>
      <c r="I157" s="189" t="str">
        <f>_xlfn.CONCAT(_xlfn.XLOOKUP("[S06_InstallationsVerificationReportsIssueDetail]["&amp;1+ROW(B157)-ROW($B$133)&amp;"][ShareOfReportsConservativeEstimate]",Submission!$O:$O,Submission!$H:$N,""))</f>
        <v>0</v>
      </c>
    </row>
    <row r="158" spans="1:9" ht="26.4" hidden="1" customHeight="1" outlineLevel="1" x14ac:dyDescent="0.3">
      <c r="A158" s="13"/>
      <c r="C158" s="274" t="str">
        <f>_xlfn.CONCAT(_xlfn.XLOOKUP("[S06_InstallationsVerificationReportsIssueDetail]["&amp;1+ROW(B158)-ROW($B$133)&amp;"][AnnexIActivity]",Submission!$O:$O,Submission!$H:$N,""))</f>
        <v>21 - Refining of mineral oil</v>
      </c>
      <c r="D158" s="364"/>
      <c r="E158" s="274" t="str">
        <f>_xlfn.CONCAT(_xlfn.XLOOKUP("[S06_InstallationsVerificationReportsIssueDetail]["&amp;1+ROW(B158)-ROW($B$133)&amp;"][TypeOfIssue]",Submission!$O:$O,Submission!$H:$N,""))</f>
        <v>Non-conformities not leading to a negative verification opinion statement</v>
      </c>
      <c r="F158" s="364"/>
      <c r="G158" s="105" t="str">
        <f>_xlfn.CONCAT(_xlfn.XLOOKUP("[S06_InstallationsVerificationReportsIssueDetail]["&amp;1+ROW(B158)-ROW($B$133)&amp;"][NumberOfInstallations]",Submission!$O:$O,Submission!$H:$N,""))</f>
        <v>1</v>
      </c>
      <c r="H158" s="108" t="str">
        <f>_xlfn.CONCAT(_xlfn.XLOOKUP("[S06_InstallationsVerificationReportsIssueDetail]["&amp;1+ROW(B158)-ROW($B$133)&amp;"][NumberOfIssues]",Submission!$O:$O,Submission!$H:$N,""))</f>
        <v>2</v>
      </c>
      <c r="I158" s="189" t="str">
        <f>_xlfn.CONCAT(_xlfn.XLOOKUP("[S06_InstallationsVerificationReportsIssueDetail]["&amp;1+ROW(B158)-ROW($B$133)&amp;"][ShareOfReportsConservativeEstimate]",Submission!$O:$O,Submission!$H:$N,""))</f>
        <v>0</v>
      </c>
    </row>
    <row r="159" spans="1:9" ht="26.4" hidden="1" customHeight="1" outlineLevel="1" x14ac:dyDescent="0.3">
      <c r="A159" s="13"/>
      <c r="C159" s="274" t="str">
        <f>_xlfn.CONCAT(_xlfn.XLOOKUP("[S06_InstallationsVerificationReportsIssueDetail]["&amp;1+ROW(B159)-ROW($B$133)&amp;"][AnnexIActivity]",Submission!$O:$O,Submission!$H:$N,""))</f>
        <v>21 - Refining of mineral oil</v>
      </c>
      <c r="D159" s="364"/>
      <c r="E159" s="274" t="str">
        <f>_xlfn.CONCAT(_xlfn.XLOOKUP("[S06_InstallationsVerificationReportsIssueDetail]["&amp;1+ROW(B159)-ROW($B$133)&amp;"][TypeOfIssue]",Submission!$O:$O,Submission!$H:$N,""))</f>
        <v>Non-compliance with Implementing Regulation (EU) 2018/2066</v>
      </c>
      <c r="F159" s="364"/>
      <c r="G159" s="105" t="str">
        <f>_xlfn.CONCAT(_xlfn.XLOOKUP("[S06_InstallationsVerificationReportsIssueDetail]["&amp;1+ROW(B159)-ROW($B$133)&amp;"][NumberOfInstallations]",Submission!$O:$O,Submission!$H:$N,""))</f>
        <v>3</v>
      </c>
      <c r="H159" s="108" t="str">
        <f>_xlfn.CONCAT(_xlfn.XLOOKUP("[S06_InstallationsVerificationReportsIssueDetail]["&amp;1+ROW(B159)-ROW($B$133)&amp;"][NumberOfIssues]",Submission!$O:$O,Submission!$H:$N,""))</f>
        <v>4</v>
      </c>
      <c r="I159" s="189" t="str">
        <f>_xlfn.CONCAT(_xlfn.XLOOKUP("[S06_InstallationsVerificationReportsIssueDetail]["&amp;1+ROW(B159)-ROW($B$133)&amp;"][ShareOfReportsConservativeEstimate]",Submission!$O:$O,Submission!$H:$N,""))</f>
        <v>0</v>
      </c>
    </row>
    <row r="160" spans="1:9" ht="26.4" hidden="1" customHeight="1" outlineLevel="1" x14ac:dyDescent="0.3">
      <c r="A160" s="13"/>
      <c r="C160" s="274" t="str">
        <f>_xlfn.CONCAT(_xlfn.XLOOKUP("[S06_InstallationsVerificationReportsIssueDetail]["&amp;1+ROW(B160)-ROW($B$133)&amp;"][AnnexIActivity]",Submission!$O:$O,Submission!$H:$N,""))</f>
        <v>21 - Refining of mineral oil</v>
      </c>
      <c r="D160" s="364"/>
      <c r="E160" s="274" t="str">
        <f>_xlfn.CONCAT(_xlfn.XLOOKUP("[S06_InstallationsVerificationReportsIssueDetail]["&amp;1+ROW(B160)-ROW($B$133)&amp;"][TypeOfIssue]",Submission!$O:$O,Submission!$H:$N,""))</f>
        <v>Recommendations for improvement</v>
      </c>
      <c r="F160" s="364"/>
      <c r="G160" s="105" t="str">
        <f>_xlfn.CONCAT(_xlfn.XLOOKUP("[S06_InstallationsVerificationReportsIssueDetail]["&amp;1+ROW(B160)-ROW($B$133)&amp;"][NumberOfInstallations]",Submission!$O:$O,Submission!$H:$N,""))</f>
        <v>1</v>
      </c>
      <c r="H160" s="108" t="str">
        <f>_xlfn.CONCAT(_xlfn.XLOOKUP("[S06_InstallationsVerificationReportsIssueDetail]["&amp;1+ROW(B160)-ROW($B$133)&amp;"][NumberOfIssues]",Submission!$O:$O,Submission!$H:$N,""))</f>
        <v>5</v>
      </c>
      <c r="I160" s="189" t="str">
        <f>_xlfn.CONCAT(_xlfn.XLOOKUP("[S06_InstallationsVerificationReportsIssueDetail]["&amp;1+ROW(B160)-ROW($B$133)&amp;"][ShareOfReportsConservativeEstimate]",Submission!$O:$O,Submission!$H:$N,""))</f>
        <v>0</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1</v>
      </c>
      <c r="H232" s="255" t="str">
        <f>_xlfn.CONCAT(_xlfn.XLOOKUP("[S06_InstallationsVerificationReportChecksDetail1][4][FurtherInformation]",Submission!$O:$O,Submission!$H:$N,""))</f>
        <v>The emissions reports were cross-checked against the 2021 activity data and emissions from the past years.</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All the emissions reports were analised in detail</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26</v>
      </c>
      <c r="H235" s="255" t="str">
        <f>_xlfn.CONCAT(_xlfn.XLOOKUP("[S06_InstallationsVerificationReportChecksDetail2][2][FurtherInformation]",Submission!$O:$O,Submission!$H:$N,""))</f>
        <v>The reasons for rejecting the emissions reports were: errors in the activity data calculation based on the stock from the previous year; incorrect type of source stream selected; source strem calculation factor wrongly reported (and wrong emission factor units); missing of waste catalogue number; not using the same tiers of the monitoring plan</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Operators and verifiers to correct their reports to comply with the regulations 2020/2084 amending and correcting Implementing Regulation (EU) 2018/2067 and 2020/2085 amending and correcting Implementing Regulation (EU) 2018/2066, and to resubmit them for CA aproval</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Yes</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Condition I</v>
      </c>
      <c r="D243" s="421"/>
      <c r="E243" s="274" t="str">
        <f>_xlfn.CONCAT(_xlfn.XLOOKUP("[S06_InstallationsVisitsWaivedHighEmittersDetail][1][AnnexIActivity]",Submission!$O:$O,Submission!$H:$N,""))</f>
        <v>20 - Combustion of fuels as specified in Annex I of Directive 2003/87/EC</v>
      </c>
      <c r="F243" s="353"/>
      <c r="G243" s="260"/>
      <c r="H243" s="335" t="str">
        <f>_xlfn.CONCAT(_xlfn.XLOOKUP("[S06_InstallationsVisitsWaivedHighEmittersDetail][1][NumberOfInstallations]",Submission!$O:$O,Submission!$H:$N,""))</f>
        <v>4</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Yes</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Pandemic situation</v>
      </c>
      <c r="D276" s="444" t="str">
        <f>_xlfn.CONCAT(_xlfn.XLOOKUP("[S06_VirtualVisitsInstallationsDetails][1][NumberOfInstallationsVV]",Submission!$O:$O,Submission!$H:$N,""))</f>
        <v>17</v>
      </c>
      <c r="E276" s="445"/>
      <c r="F276" s="258" t="str">
        <f>_xlfn.CONCAT(_xlfn.XLOOKUP("[S06_VirtualVisitsInstallationsDetails][1][AuthorityApproval]",Submission!$O:$O,Submission!$H:$N,""))</f>
        <v>Approval by competent authority</v>
      </c>
      <c r="G276" s="260"/>
      <c r="H276" s="258" t="str">
        <f>_xlfn.CONCAT(_xlfn.XLOOKUP("[S06_VirtualVisitsInstallationsDetails][1][ConfirmationConditionsMet]",Submission!$O:$O,Submission!$H:$N,""))</f>
        <v>yes</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22689</v>
      </c>
      <c r="D295" s="105" t="str">
        <f>_xlfn.CONCAT(_xlfn.XLOOKUP("[S06_AircraftOperatorsConservativeEstimates][1][AircraftOperatorsAnnualEmissionsCO2e]",Submission!$O:$O,Submission!$H:$N,""))</f>
        <v>98</v>
      </c>
      <c r="E295" s="158" t="str">
        <f>_xlfn.CONCAT(_xlfn.XLOOKUP("[S06_AircraftOperatorsConservativeEstimates][1][ReasonConservativeEstimate]",Submission!$O:$O,Submission!$H:$N,""))</f>
        <v>No emission report submitted by the 31st of March</v>
      </c>
      <c r="F295" s="136" t="str">
        <f>_xlfn.CONCAT(_xlfn.XLOOKUP("[S06_AircraftOperatorsConservativeEstimates][1][AircraftOperatorsConservativeShare]",Submission!$O:$O,Submission!$H:$N,""))</f>
        <v>1</v>
      </c>
      <c r="G295" s="72" t="str">
        <f>_xlfn.CONCAT(_xlfn.XLOOKUP("[S06_AircraftOperatorsConservativeEstimates][1][ConservativeMethod]",Submission!$O:$O,Submission!$H:$N,""))</f>
        <v>This operator has not
submitted AER, so the
Competent Authority has
estimated the emissions that
are twice the reduced scope
emissions available from
Eurocontrol's EU ETS Support
Facility, which holds air traffic
data from aircraft operators.</v>
      </c>
      <c r="H295" s="72" t="str">
        <f>_xlfn.CONCAT(_xlfn.XLOOKUP("[S06_AircraftOperatorsConservativeEstimates][1][FurtherAction]",Submission!$O:$O,Submission!$H:$N,""))</f>
        <v>Combination of the above</v>
      </c>
      <c r="I295" s="72" t="str">
        <f>_xlfn.CONCAT(_xlfn.XLOOKUP("[S06_AircraftOperatorsConservativeEstimates][1][FurtherActionOther]",Submission!$O:$O,Submission!$H:$N,""))</f>
        <v>The Aircraft operator
is subject to a
penalty and must
also surrender the
emission allowances
in an amount equal
to the verified
emissions.</v>
      </c>
    </row>
    <row r="296" spans="1:11" ht="61.2" customHeight="1" x14ac:dyDescent="0.3">
      <c r="A296" s="13"/>
      <c r="C296" s="72" t="str">
        <f>_xlfn.CONCAT(_xlfn.XLOOKUP("[S06_AircraftOperatorsConservativeEstimates][2][AircraftOperatorID]",Submission!$O:$O,Submission!$H:$N,""))</f>
        <v>45516</v>
      </c>
      <c r="D296" s="105" t="str">
        <f>_xlfn.CONCAT(_xlfn.XLOOKUP("[S06_AircraftOperatorsConservativeEstimates][2][AircraftOperatorsAnnualEmissionsCO2e]",Submission!$O:$O,Submission!$H:$N,""))</f>
        <v>109</v>
      </c>
      <c r="E296" s="158" t="str">
        <f>_xlfn.CONCAT(_xlfn.XLOOKUP("[S06_AircraftOperatorsConservativeEstimates][2][ReasonConservativeEstimate]",Submission!$O:$O,Submission!$H:$N,""))</f>
        <v>No emission report submitted by the 31st of March</v>
      </c>
      <c r="F296" s="136" t="str">
        <f>_xlfn.CONCAT(_xlfn.XLOOKUP("[S06_AircraftOperatorsConservativeEstimates][2][AircraftOperatorsConservativeShare]",Submission!$O:$O,Submission!$H:$N,""))</f>
        <v>1</v>
      </c>
      <c r="G296" s="72" t="str">
        <f>_xlfn.CONCAT(_xlfn.XLOOKUP("[S06_AircraftOperatorsConservativeEstimates][2][ConservativeMethod]",Submission!$O:$O,Submission!$H:$N,""))</f>
        <v>This operator has not
submitted AER, so the
Competent Authority has
estimated the emissions that
are twice the reduced scope
emissions available from
Eurocontrol's EU ETS Support
Facility, which holds air traffic
data from aircraft operators.</v>
      </c>
      <c r="H296" s="72" t="str">
        <f>_xlfn.CONCAT(_xlfn.XLOOKUP("[S06_AircraftOperatorsConservativeEstimates][2][FurtherAction]",Submission!$O:$O,Submission!$H:$N,""))</f>
        <v>Combination of the above</v>
      </c>
      <c r="I296" s="72" t="str">
        <f>_xlfn.CONCAT(_xlfn.XLOOKUP("[S06_AircraftOperatorsConservativeEstimates][2][FurtherActionOther]",Submission!$O:$O,Submission!$H:$N,""))</f>
        <v>The Aircraft operator
is subject to a
penalty and must
also surrender the
emission allowances
in an amount equal
to the verified
emissions.</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2</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Yes</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Recommendations for improvement</v>
      </c>
      <c r="D332" s="420"/>
      <c r="E332" s="421"/>
      <c r="F332" s="132" t="str">
        <f>_xlfn.CONCAT(_xlfn.XLOOKUP("[S06_AircraftOperatorsVerificationReportIssuesEmissions][1][NumberOfAircraftOperators]",Submission!$O:$O,Submission!$H:$N,""))</f>
        <v>3</v>
      </c>
      <c r="G332" s="132" t="str">
        <f>_xlfn.CONCAT(_xlfn.XLOOKUP("[S06_AircraftOperatorsVerificationReportIssuesEmissions][1][NumberOfIssues]",Submission!$O:$O,Submission!$H:$N,""))</f>
        <v>8</v>
      </c>
      <c r="H332" s="442" t="str">
        <f>_xlfn.CONCAT(_xlfn.XLOOKUP("[S06_AircraftOperatorsVerificationReportIssuesEmissions][1][ShareOfReportsConservativeEstimate]",Submission!$O:$O,Submission!$H:$N,""))</f>
        <v>0</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Yes</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1</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1</v>
      </c>
      <c r="H354" s="255" t="str">
        <f>_xlfn.CONCAT(_xlfn.XLOOKUP("[S06_AircraftOperatorsVerificationEmissionReportChecks1][3][FurtherInformation]",Submission!$O:$O,Submission!$H:$N,""))</f>
        <v>Eurocontrol AER and Annual Emissions Monitoring Plan</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All the emissions reports were analised in detail</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3</v>
      </c>
      <c r="H357" s="255" t="str">
        <f>_xlfn.CONCAT(_xlfn.XLOOKUP("[S06_AircraftOperatorsVerificationEmissionReportChecks2][2][FurtherInformation]",Submission!$O:$O,Submission!$H:$N,""))</f>
        <v>Wrong States designation and lack of fulfillment of the offsetting requirements</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Aircraft Operators/verifiers were asked to make the necessary corrections to the ERA/VR for CA aproval.</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No actions were taken.</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0</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Yes</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Pandemic situation</v>
      </c>
      <c r="D383" s="351" t="str">
        <f>_xlfn.CONCAT(_xlfn.XLOOKUP("[S06_VirtualVisitsAircraftDetails][1][NumberOfAirOperatorsVV]",Submission!$O:$O,Submission!$H:$N,""))</f>
        <v>1</v>
      </c>
      <c r="E383" s="361"/>
      <c r="F383" s="258" t="str">
        <f>_xlfn.CONCAT(_xlfn.XLOOKUP("[S06_VirtualVisitsAircraftDetails][1][AuthorityApproval]",Submission!$O:$O,Submission!$H:$N,""))</f>
        <v>Approval by competent authority</v>
      </c>
      <c r="G383" s="260"/>
      <c r="H383" s="258" t="str">
        <f>_xlfn.CONCAT(_xlfn.XLOOKUP("[S06_VirtualVisitsAircraftDetails][1][ConfirmationConditionsMet]",Submission!$O:$O,Submission!$H:$N,""))</f>
        <v>Yes</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