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5" documentId="8_{E13085B7-851C-4092-B607-9EA103783F90}" xr6:coauthVersionLast="47" xr6:coauthVersionMax="47" xr10:uidLastSave="{641B1273-8730-49D5-B904-522AA8EAD3E2}"/>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29" l="1"/>
  <c r="O2" i="43"/>
  <c r="O3" i="43"/>
  <c r="O4" i="43"/>
  <c r="O5" i="43"/>
  <c r="O6" i="43"/>
  <c r="O7" i="43"/>
  <c r="O8" i="43"/>
  <c r="O9" i="43"/>
  <c r="O10" i="43"/>
  <c r="O11" i="43"/>
  <c r="O12" i="43"/>
  <c r="O13" i="43"/>
  <c r="O14" i="43"/>
  <c r="O15" i="43"/>
  <c r="O16" i="43"/>
  <c r="O17" i="43"/>
  <c r="O18" i="43"/>
  <c r="O19" i="43"/>
  <c r="O20" i="43"/>
  <c r="O21" i="43"/>
  <c r="O22" i="43"/>
  <c r="O23" i="43"/>
  <c r="O24" i="43"/>
  <c r="O25" i="43"/>
  <c r="O26" i="43"/>
  <c r="O27" i="43"/>
  <c r="O28" i="43"/>
  <c r="O29" i="43"/>
  <c r="O30" i="43"/>
  <c r="O31" i="43"/>
  <c r="O32" i="43"/>
  <c r="O33" i="43"/>
  <c r="O34" i="43"/>
  <c r="O35" i="43"/>
  <c r="O36" i="43"/>
  <c r="O37" i="43"/>
  <c r="O38" i="43"/>
  <c r="O39" i="43"/>
  <c r="O40" i="43"/>
  <c r="O41" i="43"/>
  <c r="O42" i="43"/>
  <c r="O43" i="43"/>
  <c r="O44" i="43"/>
  <c r="O45" i="43"/>
  <c r="O46" i="43"/>
  <c r="O47" i="43"/>
  <c r="O48" i="43"/>
  <c r="O49" i="43"/>
  <c r="O50" i="43"/>
  <c r="O51" i="43"/>
  <c r="O52" i="43"/>
  <c r="O53" i="43"/>
  <c r="O54" i="43"/>
  <c r="O55" i="43"/>
  <c r="O56" i="43"/>
  <c r="O57" i="43"/>
  <c r="O58" i="43"/>
  <c r="O59" i="43"/>
  <c r="O60" i="43"/>
  <c r="O61" i="43"/>
  <c r="O62" i="43"/>
  <c r="O63" i="43"/>
  <c r="O64" i="43"/>
  <c r="O65" i="43"/>
  <c r="O66" i="43"/>
  <c r="O67" i="43"/>
  <c r="O68" i="43"/>
  <c r="O69" i="43"/>
  <c r="O70" i="43"/>
  <c r="O71" i="43"/>
  <c r="O72" i="43"/>
  <c r="O73" i="43"/>
  <c r="O74" i="43"/>
  <c r="O75" i="43"/>
  <c r="O76" i="43"/>
  <c r="O77" i="43"/>
  <c r="O78" i="43"/>
  <c r="O79" i="43"/>
  <c r="O80" i="43"/>
  <c r="O81" i="43"/>
  <c r="O82" i="43"/>
  <c r="O83" i="43"/>
  <c r="O84" i="43"/>
  <c r="O85" i="43"/>
  <c r="O86" i="43"/>
  <c r="O87" i="43"/>
  <c r="O88" i="43"/>
  <c r="O89" i="43"/>
  <c r="O90" i="43"/>
  <c r="O91" i="43"/>
  <c r="O92" i="43"/>
  <c r="O93" i="43"/>
  <c r="O94" i="43"/>
  <c r="O95" i="43"/>
  <c r="O96" i="43"/>
  <c r="O97" i="43"/>
  <c r="O98" i="43"/>
  <c r="O99" i="43"/>
  <c r="O100" i="43"/>
  <c r="O101" i="43"/>
  <c r="O102" i="43"/>
  <c r="O103" i="43"/>
  <c r="O104" i="43"/>
  <c r="O105" i="43"/>
  <c r="O106" i="43"/>
  <c r="O107" i="43"/>
  <c r="O108" i="43"/>
  <c r="O109" i="43"/>
  <c r="O110" i="43"/>
  <c r="O111" i="43"/>
  <c r="O112" i="43"/>
  <c r="O113" i="43"/>
  <c r="O114" i="43"/>
  <c r="O115" i="43"/>
  <c r="O116" i="43"/>
  <c r="O117" i="43"/>
  <c r="O118" i="43"/>
  <c r="O119" i="43"/>
  <c r="O120" i="43"/>
  <c r="O121" i="43"/>
  <c r="O122" i="43"/>
  <c r="O123" i="43"/>
  <c r="O124" i="43"/>
  <c r="O125" i="43"/>
  <c r="O126" i="43"/>
  <c r="O127" i="43"/>
  <c r="O128" i="43"/>
  <c r="O129" i="43"/>
  <c r="O130" i="43"/>
  <c r="O131" i="43"/>
  <c r="O132" i="43"/>
  <c r="O133" i="43"/>
  <c r="O134" i="43"/>
  <c r="O135" i="43"/>
  <c r="O136" i="43"/>
  <c r="O137" i="43"/>
  <c r="O138" i="43"/>
  <c r="O139" i="43"/>
  <c r="O140" i="43"/>
  <c r="O141" i="43"/>
  <c r="O142" i="43"/>
  <c r="O143" i="43"/>
  <c r="O144" i="43"/>
  <c r="O145" i="43"/>
  <c r="O146" i="43"/>
  <c r="O147" i="43"/>
  <c r="O148" i="43"/>
  <c r="O149" i="43"/>
  <c r="O150" i="43"/>
  <c r="O151" i="43"/>
  <c r="O152" i="43"/>
  <c r="O153" i="43"/>
  <c r="O154" i="43"/>
  <c r="O155" i="43"/>
  <c r="O156" i="43"/>
  <c r="O157" i="43"/>
  <c r="O158" i="43"/>
  <c r="O159" i="43"/>
  <c r="O160" i="43"/>
  <c r="O161" i="43"/>
  <c r="O162" i="43"/>
  <c r="O163" i="43"/>
  <c r="O164" i="43"/>
  <c r="O165" i="43"/>
  <c r="O166" i="43"/>
  <c r="O167" i="43"/>
  <c r="O168" i="43"/>
  <c r="O169" i="43"/>
  <c r="O170" i="43"/>
  <c r="O171" i="43"/>
  <c r="O172" i="43"/>
  <c r="O173" i="43"/>
  <c r="O174" i="43"/>
  <c r="O175" i="43"/>
  <c r="O176" i="43"/>
  <c r="O177" i="43"/>
  <c r="O178" i="43"/>
  <c r="O179" i="43"/>
  <c r="O180" i="43"/>
  <c r="O181" i="43"/>
  <c r="O182" i="43"/>
  <c r="O183" i="43"/>
  <c r="O184" i="43"/>
  <c r="O185" i="43"/>
  <c r="O186" i="43"/>
  <c r="O187" i="43"/>
  <c r="O188" i="43"/>
  <c r="O189" i="43"/>
  <c r="O190" i="43"/>
  <c r="O191" i="43"/>
  <c r="O192" i="43"/>
  <c r="O193" i="43"/>
  <c r="O194" i="43"/>
  <c r="O195" i="43"/>
  <c r="O196" i="43"/>
  <c r="O197" i="43"/>
  <c r="O198" i="43"/>
  <c r="O199" i="43"/>
  <c r="O200" i="43"/>
  <c r="O201" i="43"/>
  <c r="O202" i="43"/>
  <c r="O203" i="43"/>
  <c r="O204" i="43"/>
  <c r="O205" i="43"/>
  <c r="O206" i="43"/>
  <c r="O207" i="43"/>
  <c r="O208" i="43"/>
  <c r="O209" i="43"/>
  <c r="O210" i="43"/>
  <c r="O211" i="43"/>
  <c r="O212" i="43"/>
  <c r="O213" i="43"/>
  <c r="O214" i="43"/>
  <c r="O215" i="43"/>
  <c r="O216" i="43"/>
  <c r="O217" i="43"/>
  <c r="O218" i="43"/>
  <c r="O219" i="43"/>
  <c r="O220" i="43"/>
  <c r="O221" i="43"/>
  <c r="O222" i="43"/>
  <c r="O223" i="43"/>
  <c r="O224" i="43"/>
  <c r="O225" i="43"/>
  <c r="O226" i="43"/>
  <c r="O227" i="43"/>
  <c r="O228" i="43"/>
  <c r="O229" i="43"/>
  <c r="O230" i="43"/>
  <c r="O231" i="43"/>
  <c r="O232" i="43"/>
  <c r="O233" i="43"/>
  <c r="O234" i="43"/>
  <c r="O235" i="43"/>
  <c r="O236" i="43"/>
  <c r="O237" i="43"/>
  <c r="O238" i="43"/>
  <c r="O239" i="43"/>
  <c r="O240" i="43"/>
  <c r="O241" i="43"/>
  <c r="O242" i="43"/>
  <c r="O243" i="43"/>
  <c r="O244" i="43"/>
  <c r="O245" i="43"/>
  <c r="O246" i="43"/>
  <c r="O247" i="43"/>
  <c r="O248" i="43"/>
  <c r="O249" i="43"/>
  <c r="O250" i="43"/>
  <c r="O251" i="43"/>
  <c r="O252" i="43"/>
  <c r="O253" i="43"/>
  <c r="O254" i="43"/>
  <c r="O255" i="43"/>
  <c r="O256" i="43"/>
  <c r="O257" i="43"/>
  <c r="O258" i="43"/>
  <c r="O259" i="43"/>
  <c r="O260" i="43"/>
  <c r="O261" i="43"/>
  <c r="O262" i="43"/>
  <c r="O263" i="43"/>
  <c r="O264" i="43"/>
  <c r="O265" i="43"/>
  <c r="O266" i="43"/>
  <c r="O267" i="43"/>
  <c r="O268" i="43"/>
  <c r="O269" i="43"/>
  <c r="O270" i="43"/>
  <c r="O271" i="43"/>
  <c r="O272" i="43"/>
  <c r="O273" i="43"/>
  <c r="O274" i="43"/>
  <c r="O275" i="43"/>
  <c r="O276" i="43"/>
  <c r="O277" i="43"/>
  <c r="O278" i="43"/>
  <c r="O279" i="43"/>
  <c r="O280" i="43"/>
  <c r="O281" i="43"/>
  <c r="O282" i="43"/>
  <c r="O283" i="43"/>
  <c r="O284" i="43"/>
  <c r="O285" i="43"/>
  <c r="O286" i="43"/>
  <c r="O287" i="43"/>
  <c r="O288" i="43"/>
  <c r="O289" i="43"/>
  <c r="O290" i="43"/>
  <c r="O291" i="43"/>
  <c r="O292" i="43"/>
  <c r="O293" i="43"/>
  <c r="O294" i="43"/>
  <c r="O295" i="43"/>
  <c r="O296" i="43"/>
  <c r="O297" i="43"/>
  <c r="O298" i="43"/>
  <c r="O299" i="43"/>
  <c r="O300" i="43"/>
  <c r="O301" i="43"/>
  <c r="O302" i="43"/>
  <c r="O303" i="43"/>
  <c r="O304" i="43"/>
  <c r="O305" i="43"/>
  <c r="O306" i="43"/>
  <c r="O307" i="43"/>
  <c r="O308" i="43"/>
  <c r="O309" i="43"/>
  <c r="O310" i="43"/>
  <c r="O311" i="43"/>
  <c r="O312" i="43"/>
  <c r="O313" i="43"/>
  <c r="O314" i="43"/>
  <c r="O315" i="43"/>
  <c r="O316" i="43"/>
  <c r="O317" i="43"/>
  <c r="O318" i="43"/>
  <c r="O319" i="43"/>
  <c r="O320" i="43"/>
  <c r="O321" i="43"/>
  <c r="O322" i="43"/>
  <c r="O323" i="43"/>
  <c r="O324" i="43"/>
  <c r="O325" i="43"/>
  <c r="O326" i="43"/>
  <c r="O327" i="43"/>
  <c r="O328" i="43"/>
  <c r="O329" i="43"/>
  <c r="O330" i="43"/>
  <c r="O331" i="43"/>
  <c r="O332" i="43"/>
  <c r="O333" i="43"/>
  <c r="O334" i="43"/>
  <c r="O335" i="43"/>
  <c r="O336" i="43"/>
  <c r="O337" i="43"/>
  <c r="O338" i="43"/>
  <c r="O339" i="43"/>
  <c r="O340" i="43"/>
  <c r="O341" i="43"/>
  <c r="O342" i="43"/>
  <c r="O343" i="43"/>
  <c r="O344" i="43"/>
  <c r="O345" i="43"/>
  <c r="O346" i="43"/>
  <c r="O347" i="43"/>
  <c r="O348" i="43"/>
  <c r="O349" i="43"/>
  <c r="O350" i="43"/>
  <c r="O351" i="43"/>
  <c r="O352" i="43"/>
  <c r="O353" i="43"/>
  <c r="O354" i="43"/>
  <c r="O355" i="43"/>
  <c r="O356" i="43"/>
  <c r="O357" i="43"/>
  <c r="O358" i="43"/>
  <c r="O359" i="43"/>
  <c r="O360" i="43"/>
  <c r="O361" i="43"/>
  <c r="O362" i="43"/>
  <c r="O363" i="43"/>
  <c r="O364" i="43"/>
  <c r="O365" i="43"/>
  <c r="O366" i="43"/>
  <c r="O367" i="43"/>
  <c r="O368" i="43"/>
  <c r="O369" i="43"/>
  <c r="O370" i="43"/>
  <c r="O371" i="43"/>
  <c r="O372" i="43"/>
  <c r="O373" i="43"/>
  <c r="O374" i="43"/>
  <c r="O375" i="43"/>
  <c r="O376" i="43"/>
  <c r="O377" i="43"/>
  <c r="O378" i="43"/>
  <c r="O379" i="43"/>
  <c r="O380" i="43"/>
  <c r="O381" i="43"/>
  <c r="O382" i="43"/>
  <c r="O383" i="43"/>
  <c r="O384" i="43"/>
  <c r="O385" i="43"/>
  <c r="O386" i="43"/>
  <c r="O387" i="43"/>
  <c r="O388" i="43"/>
  <c r="O389" i="43"/>
  <c r="O390" i="43"/>
  <c r="O391" i="43"/>
  <c r="O392" i="43"/>
  <c r="O393" i="43"/>
  <c r="O394" i="43"/>
  <c r="O395" i="43"/>
  <c r="O396" i="43"/>
  <c r="O397" i="43"/>
  <c r="O398" i="43"/>
  <c r="O399" i="43"/>
  <c r="O400" i="43"/>
  <c r="O401" i="43"/>
  <c r="O402" i="43"/>
  <c r="O403" i="43"/>
  <c r="O404" i="43"/>
  <c r="O405" i="43"/>
  <c r="O406" i="43"/>
  <c r="O407" i="43"/>
  <c r="O408" i="43"/>
  <c r="O409" i="43"/>
  <c r="O410" i="43"/>
  <c r="O411" i="43"/>
  <c r="O412" i="43"/>
  <c r="O413" i="43"/>
  <c r="O414" i="43"/>
  <c r="O415" i="43"/>
  <c r="O416" i="43"/>
  <c r="O417" i="43"/>
  <c r="O418" i="43"/>
  <c r="O419" i="43"/>
  <c r="O420" i="43"/>
  <c r="O421" i="43"/>
  <c r="O422" i="43"/>
  <c r="O423" i="43"/>
  <c r="O424" i="43"/>
  <c r="O425" i="43"/>
  <c r="O426" i="43"/>
  <c r="O427" i="43"/>
  <c r="O428" i="43"/>
  <c r="O429" i="43"/>
  <c r="O430" i="43"/>
  <c r="O431" i="43"/>
  <c r="O432" i="43"/>
  <c r="O433" i="43"/>
  <c r="O434" i="43"/>
  <c r="O435" i="43"/>
  <c r="O436" i="43"/>
  <c r="O437" i="43"/>
  <c r="O438" i="43"/>
  <c r="O439" i="43"/>
  <c r="O440" i="43"/>
  <c r="O441" i="43"/>
  <c r="O442" i="43"/>
  <c r="O443" i="43"/>
  <c r="O444" i="43"/>
  <c r="O445" i="43"/>
  <c r="O446" i="43"/>
  <c r="O447" i="43"/>
  <c r="O448" i="43"/>
  <c r="O449" i="43"/>
  <c r="O450" i="43"/>
  <c r="O451" i="43"/>
  <c r="O452" i="43"/>
  <c r="O453" i="43"/>
  <c r="O454" i="43"/>
  <c r="O455" i="43"/>
  <c r="O456" i="43"/>
  <c r="O457" i="43"/>
  <c r="O458" i="43"/>
  <c r="O459" i="43"/>
  <c r="O460" i="43"/>
  <c r="O461" i="43"/>
  <c r="O462" i="43"/>
  <c r="O463" i="43"/>
  <c r="O464" i="43"/>
  <c r="O465" i="43"/>
  <c r="O466" i="43"/>
  <c r="O467" i="43"/>
  <c r="O468" i="43"/>
  <c r="O469" i="43"/>
  <c r="O470" i="43"/>
  <c r="O471" i="43"/>
  <c r="O472" i="43"/>
  <c r="O473" i="43"/>
  <c r="O474" i="43"/>
  <c r="O475" i="43"/>
  <c r="O476" i="43"/>
  <c r="O477" i="43"/>
  <c r="O478" i="43"/>
  <c r="O479" i="43"/>
  <c r="O480" i="43"/>
  <c r="O481" i="43"/>
  <c r="O482" i="43"/>
  <c r="O483" i="43"/>
  <c r="O484" i="43"/>
  <c r="O485" i="43"/>
  <c r="O486" i="43"/>
  <c r="O487" i="43"/>
  <c r="O488" i="43"/>
  <c r="O489" i="43"/>
  <c r="O490" i="43"/>
  <c r="O491" i="43"/>
  <c r="O492" i="43"/>
  <c r="O493" i="43"/>
  <c r="O494" i="43"/>
  <c r="O495" i="43"/>
  <c r="O496" i="43"/>
  <c r="O497" i="43"/>
  <c r="O498" i="43"/>
  <c r="O499" i="43"/>
  <c r="O500" i="43"/>
  <c r="O501" i="43"/>
  <c r="O502" i="43"/>
  <c r="O503" i="43"/>
  <c r="O504" i="43"/>
  <c r="O505" i="43"/>
  <c r="O506" i="43"/>
  <c r="O507" i="43"/>
  <c r="O508" i="43"/>
  <c r="O509" i="43"/>
  <c r="O510" i="43"/>
  <c r="O511" i="43"/>
  <c r="O512" i="43"/>
  <c r="O513" i="43"/>
  <c r="O514" i="43"/>
  <c r="O515" i="43"/>
  <c r="O516" i="43"/>
  <c r="O517" i="43"/>
  <c r="O518" i="43"/>
  <c r="O519" i="43"/>
  <c r="O520" i="43"/>
  <c r="O521" i="43"/>
  <c r="O522" i="43"/>
  <c r="O523" i="43"/>
  <c r="O524" i="43"/>
  <c r="O525" i="43"/>
  <c r="O526" i="43"/>
  <c r="O527" i="43"/>
  <c r="O528" i="43"/>
  <c r="O529" i="43"/>
  <c r="O530" i="43"/>
  <c r="O531" i="43"/>
  <c r="O532" i="43"/>
  <c r="O533" i="43"/>
  <c r="O534" i="43"/>
  <c r="O535" i="43"/>
  <c r="O536" i="43"/>
  <c r="O537" i="43"/>
  <c r="O538" i="43"/>
  <c r="O539" i="43"/>
  <c r="O540" i="43"/>
  <c r="O541" i="43"/>
  <c r="O542" i="43"/>
  <c r="O543" i="43"/>
  <c r="O544" i="43"/>
  <c r="O545" i="43"/>
  <c r="O546" i="43"/>
  <c r="O547" i="43"/>
  <c r="O548" i="43"/>
  <c r="O549" i="43"/>
  <c r="O550" i="43"/>
  <c r="O551" i="43"/>
  <c r="O552" i="43"/>
  <c r="O553" i="43"/>
  <c r="O554" i="43"/>
  <c r="O555" i="43"/>
  <c r="O556" i="43"/>
  <c r="O557" i="43"/>
  <c r="O558" i="43"/>
  <c r="O559" i="43"/>
  <c r="O560" i="43"/>
  <c r="O561" i="43"/>
  <c r="O562" i="43"/>
  <c r="O563" i="43"/>
  <c r="O564" i="43"/>
  <c r="O565" i="43"/>
  <c r="O566" i="43"/>
  <c r="O567" i="43"/>
  <c r="O568" i="43"/>
  <c r="O569" i="43"/>
  <c r="O570" i="43"/>
  <c r="O571" i="43"/>
  <c r="O572" i="43"/>
  <c r="O573" i="43"/>
  <c r="O574" i="43"/>
  <c r="O575" i="43"/>
  <c r="O576" i="43"/>
  <c r="O577" i="43"/>
  <c r="O578" i="43"/>
  <c r="O579" i="43"/>
  <c r="O580" i="43"/>
  <c r="O581" i="43"/>
  <c r="O582" i="43"/>
  <c r="O583" i="43"/>
  <c r="O584" i="43"/>
  <c r="O585" i="43"/>
  <c r="O586" i="43"/>
  <c r="O587" i="43"/>
  <c r="O588" i="43"/>
  <c r="O589" i="43"/>
  <c r="O590" i="43"/>
  <c r="O591" i="43"/>
  <c r="O592" i="43"/>
  <c r="O593" i="43"/>
  <c r="O594" i="43"/>
  <c r="O595" i="43"/>
  <c r="O596" i="43"/>
  <c r="O597" i="43"/>
  <c r="O598" i="43"/>
  <c r="O599" i="43"/>
  <c r="O600" i="43"/>
  <c r="O601" i="43"/>
  <c r="O602" i="43"/>
  <c r="O603" i="43"/>
  <c r="O604" i="43"/>
  <c r="O605" i="43"/>
  <c r="O606" i="43"/>
  <c r="O607" i="43"/>
  <c r="O608" i="43"/>
  <c r="O609" i="43"/>
  <c r="O610" i="43"/>
  <c r="O611" i="43"/>
  <c r="O612" i="43"/>
  <c r="O613" i="43"/>
  <c r="O614" i="43"/>
  <c r="O615" i="43"/>
  <c r="O616" i="43"/>
  <c r="O617" i="43"/>
  <c r="O618" i="43"/>
  <c r="O619" i="43"/>
  <c r="O620" i="43"/>
  <c r="O621" i="43"/>
  <c r="O622" i="43"/>
  <c r="O623" i="43"/>
  <c r="O624" i="43"/>
  <c r="O625" i="43"/>
  <c r="O626" i="43"/>
  <c r="O627" i="43"/>
  <c r="O628" i="43"/>
  <c r="O629" i="43"/>
  <c r="O630" i="43"/>
  <c r="O631" i="43"/>
  <c r="O632" i="43"/>
  <c r="O633" i="43"/>
  <c r="O634" i="43"/>
  <c r="O635" i="43"/>
  <c r="O636" i="43"/>
  <c r="O637" i="43"/>
  <c r="O638" i="43"/>
  <c r="O639" i="43"/>
  <c r="O640" i="43"/>
  <c r="O641" i="43"/>
  <c r="O642" i="43"/>
  <c r="O643" i="43"/>
  <c r="O644" i="43"/>
  <c r="O645" i="43"/>
  <c r="O646" i="43"/>
  <c r="O647" i="43"/>
  <c r="O648" i="43"/>
  <c r="O649" i="43"/>
  <c r="O650" i="43"/>
  <c r="O651" i="43"/>
  <c r="O652" i="43"/>
  <c r="O653" i="43"/>
  <c r="O654" i="43"/>
  <c r="O655" i="43"/>
  <c r="O656" i="43"/>
  <c r="O657" i="43"/>
  <c r="O658" i="43"/>
  <c r="O659" i="43"/>
  <c r="O660" i="43"/>
  <c r="O661" i="43"/>
  <c r="O662" i="43"/>
  <c r="O663" i="43"/>
  <c r="O664" i="43"/>
  <c r="O665" i="43"/>
  <c r="O666" i="43"/>
  <c r="O667" i="43"/>
  <c r="O668" i="43"/>
  <c r="O669" i="43"/>
  <c r="O670" i="43"/>
  <c r="O671" i="43"/>
  <c r="O672" i="43"/>
  <c r="O673" i="43"/>
  <c r="O674" i="43"/>
  <c r="O675" i="43"/>
  <c r="O676" i="43"/>
  <c r="O677" i="43"/>
  <c r="O678" i="43"/>
  <c r="O679" i="43"/>
  <c r="O680" i="43"/>
  <c r="O681" i="43"/>
  <c r="O682" i="43"/>
  <c r="O683" i="43"/>
  <c r="O684" i="43"/>
  <c r="O685" i="43"/>
  <c r="O686" i="43"/>
  <c r="O687" i="43"/>
  <c r="O688" i="43"/>
  <c r="O689" i="43"/>
  <c r="O690" i="43"/>
  <c r="O691" i="43"/>
  <c r="O692" i="43"/>
  <c r="O693" i="43"/>
  <c r="O694" i="43"/>
  <c r="O695" i="43"/>
  <c r="O696" i="43"/>
  <c r="O697" i="43"/>
  <c r="O698" i="43"/>
  <c r="O699" i="43"/>
  <c r="O700" i="43"/>
  <c r="O701" i="43"/>
  <c r="O702" i="43"/>
  <c r="O703" i="43"/>
  <c r="O704" i="43"/>
  <c r="O705" i="43"/>
  <c r="O706" i="43"/>
  <c r="O707" i="43"/>
  <c r="O708" i="43"/>
  <c r="O709" i="43"/>
  <c r="O710" i="43"/>
  <c r="O711" i="43"/>
  <c r="O712" i="43"/>
  <c r="O713" i="43"/>
  <c r="O714" i="43"/>
  <c r="O715" i="43"/>
  <c r="O716" i="43"/>
  <c r="O717" i="43"/>
  <c r="O718" i="43"/>
  <c r="O719" i="43"/>
  <c r="O720" i="43"/>
  <c r="O721" i="43"/>
  <c r="O722" i="43"/>
  <c r="O723" i="43"/>
  <c r="O724" i="43"/>
  <c r="O725" i="43"/>
  <c r="O726" i="43"/>
  <c r="O727" i="43"/>
  <c r="O728" i="43"/>
  <c r="O729" i="43"/>
  <c r="O730" i="43"/>
  <c r="O731" i="43"/>
  <c r="O732" i="43"/>
  <c r="O733" i="43"/>
  <c r="O734" i="43"/>
  <c r="O735" i="43"/>
  <c r="O736" i="43"/>
  <c r="O737" i="43"/>
  <c r="O738" i="43"/>
  <c r="O739" i="43"/>
  <c r="O740" i="43"/>
  <c r="O741" i="43"/>
  <c r="O742" i="43"/>
  <c r="O743" i="43"/>
  <c r="O744" i="43"/>
  <c r="O745" i="43"/>
  <c r="O746" i="43"/>
  <c r="O747" i="43"/>
  <c r="O748" i="43"/>
  <c r="O749" i="43"/>
  <c r="O750" i="43"/>
  <c r="O751" i="43"/>
  <c r="O752" i="43"/>
  <c r="O753" i="43"/>
  <c r="O754" i="43"/>
  <c r="O755" i="43"/>
  <c r="O756" i="43"/>
  <c r="O757" i="43"/>
  <c r="O758" i="43"/>
  <c r="O759" i="43"/>
  <c r="O760" i="43"/>
  <c r="O761" i="43"/>
  <c r="O762" i="43"/>
  <c r="O763" i="43"/>
  <c r="O764" i="43"/>
  <c r="O765" i="43"/>
  <c r="O766" i="43"/>
  <c r="O767" i="43"/>
  <c r="O768" i="43"/>
  <c r="O769" i="43"/>
  <c r="O770" i="43"/>
  <c r="O771" i="43"/>
  <c r="O772" i="43"/>
  <c r="O773" i="43"/>
  <c r="O774" i="43"/>
  <c r="O775" i="43"/>
  <c r="O776" i="43"/>
  <c r="O777" i="43"/>
  <c r="O778" i="43"/>
  <c r="O779" i="43"/>
  <c r="O780" i="43"/>
  <c r="O781" i="43"/>
  <c r="O782" i="43"/>
  <c r="O783" i="43"/>
  <c r="O784" i="43"/>
  <c r="O785" i="43"/>
  <c r="O786" i="43"/>
  <c r="O787" i="43"/>
  <c r="O788" i="43"/>
  <c r="O789" i="43"/>
  <c r="O790" i="43"/>
  <c r="O791" i="43"/>
  <c r="O792" i="43"/>
  <c r="O793" i="43"/>
  <c r="O794" i="43"/>
  <c r="O795" i="43"/>
  <c r="O796" i="43"/>
  <c r="O797" i="43"/>
  <c r="O798" i="43"/>
  <c r="O799" i="43"/>
  <c r="O800" i="43"/>
  <c r="O801" i="43"/>
  <c r="O802" i="43"/>
  <c r="O803" i="43"/>
  <c r="O804" i="43"/>
  <c r="O805" i="43"/>
  <c r="O806" i="43"/>
  <c r="O807" i="43"/>
  <c r="O808" i="43"/>
  <c r="O809" i="43"/>
  <c r="O810" i="43"/>
  <c r="O811" i="43"/>
  <c r="O812" i="43"/>
  <c r="O813" i="43"/>
  <c r="O814" i="43"/>
  <c r="O815" i="43"/>
  <c r="O816" i="43"/>
  <c r="O817" i="43"/>
  <c r="O818" i="43"/>
  <c r="O819" i="43"/>
  <c r="O820" i="43"/>
  <c r="O821" i="43"/>
  <c r="O822" i="43"/>
  <c r="O823" i="43"/>
  <c r="O824" i="43"/>
  <c r="O825" i="43"/>
  <c r="O826" i="43"/>
  <c r="O827" i="43"/>
  <c r="O828" i="43"/>
  <c r="O829" i="43"/>
  <c r="O830" i="43"/>
  <c r="O831" i="43"/>
  <c r="O832" i="43"/>
  <c r="O833" i="43"/>
  <c r="O834" i="43"/>
  <c r="O835" i="43"/>
  <c r="O836" i="43"/>
  <c r="O837" i="43"/>
  <c r="O838" i="43"/>
  <c r="O839" i="43"/>
  <c r="O840" i="43"/>
  <c r="O841" i="43"/>
  <c r="O842" i="43"/>
  <c r="O843" i="43"/>
  <c r="O844" i="43"/>
  <c r="O845" i="43"/>
  <c r="O846" i="43"/>
  <c r="O847" i="43"/>
  <c r="O848" i="43"/>
  <c r="O849" i="43"/>
  <c r="O850" i="43"/>
  <c r="O851" i="43"/>
  <c r="O852" i="43"/>
  <c r="O853" i="43"/>
  <c r="O854" i="43"/>
  <c r="O855" i="43"/>
  <c r="O856" i="43"/>
  <c r="O857" i="43"/>
  <c r="O858" i="43"/>
  <c r="O859" i="43"/>
  <c r="O860" i="43"/>
  <c r="O861" i="43"/>
  <c r="O862" i="43"/>
  <c r="O863" i="43"/>
  <c r="O864" i="43"/>
  <c r="O865" i="43"/>
  <c r="O866" i="43"/>
  <c r="O867" i="43"/>
  <c r="O868" i="43"/>
  <c r="O869" i="43"/>
  <c r="O870" i="43"/>
  <c r="O871" i="43"/>
  <c r="O872" i="43"/>
  <c r="O873" i="43"/>
  <c r="O874" i="43"/>
  <c r="O875" i="43"/>
  <c r="O876" i="43"/>
  <c r="O877" i="43"/>
  <c r="O878" i="43"/>
  <c r="O879" i="43"/>
  <c r="O880" i="43"/>
  <c r="O881" i="43"/>
  <c r="O882" i="43"/>
  <c r="O883" i="43"/>
  <c r="O884" i="43"/>
  <c r="O885" i="43"/>
  <c r="O886" i="43"/>
  <c r="O887" i="43"/>
  <c r="O888" i="43"/>
  <c r="O889" i="43"/>
  <c r="O890" i="43"/>
  <c r="O891" i="43"/>
  <c r="O892" i="43"/>
  <c r="O893" i="43"/>
  <c r="O894" i="43"/>
  <c r="O895" i="43"/>
  <c r="O896" i="43"/>
  <c r="O897" i="43"/>
  <c r="O898" i="43"/>
  <c r="O899" i="43"/>
  <c r="O900" i="43"/>
  <c r="O901" i="43"/>
  <c r="O902" i="43"/>
  <c r="O903" i="43"/>
  <c r="O904" i="43"/>
  <c r="O905" i="43"/>
  <c r="O906" i="43"/>
  <c r="O907" i="43"/>
  <c r="O908" i="43"/>
  <c r="O909" i="43"/>
  <c r="O910" i="43"/>
  <c r="O911" i="43"/>
  <c r="O912" i="43"/>
  <c r="O913" i="43"/>
  <c r="O914" i="43"/>
  <c r="O915" i="43"/>
  <c r="O916" i="43"/>
  <c r="O917" i="43"/>
  <c r="O918" i="43"/>
  <c r="O919" i="43"/>
  <c r="O920" i="43"/>
  <c r="O921" i="43"/>
  <c r="O922" i="43"/>
  <c r="O923" i="43"/>
  <c r="O924" i="43"/>
  <c r="O925" i="43"/>
  <c r="O926" i="43"/>
  <c r="O927" i="43"/>
  <c r="O928" i="43"/>
  <c r="O929" i="43"/>
  <c r="O930" i="43"/>
  <c r="O931" i="43"/>
  <c r="O932" i="43"/>
  <c r="O933" i="43"/>
  <c r="O934" i="43"/>
  <c r="O935" i="43"/>
  <c r="O936" i="43"/>
  <c r="O937" i="43"/>
  <c r="O938" i="43"/>
  <c r="O939" i="43"/>
  <c r="O940" i="43"/>
  <c r="O941" i="43"/>
  <c r="O942" i="43"/>
  <c r="O943" i="43"/>
  <c r="O944" i="43"/>
  <c r="O945" i="43"/>
  <c r="O946" i="43"/>
  <c r="O947" i="43"/>
  <c r="O948" i="43"/>
  <c r="O949" i="43"/>
  <c r="O950" i="43"/>
  <c r="O951" i="43"/>
  <c r="O952" i="43"/>
  <c r="O953" i="43"/>
  <c r="O954" i="43"/>
  <c r="O955" i="43"/>
  <c r="O956" i="43"/>
  <c r="O957" i="43"/>
  <c r="O958" i="43"/>
  <c r="O959" i="43"/>
  <c r="O960" i="43"/>
  <c r="O961" i="43"/>
  <c r="O962" i="43"/>
  <c r="O963" i="43"/>
  <c r="O964" i="43"/>
  <c r="O965" i="43"/>
  <c r="O966" i="43"/>
  <c r="O967" i="43"/>
  <c r="O968" i="43"/>
  <c r="O969" i="43"/>
  <c r="O970" i="43"/>
  <c r="O971" i="43"/>
  <c r="O972" i="43"/>
  <c r="O973" i="43"/>
  <c r="O974" i="43"/>
  <c r="O975" i="43"/>
  <c r="O976" i="43"/>
  <c r="O977" i="43"/>
  <c r="O978" i="43"/>
  <c r="O979" i="43"/>
  <c r="O980" i="43"/>
  <c r="O981" i="43"/>
  <c r="O982" i="43"/>
  <c r="O983" i="43"/>
  <c r="O984" i="43"/>
  <c r="O985" i="43"/>
  <c r="O986" i="43"/>
  <c r="O987" i="43"/>
  <c r="O988" i="43"/>
  <c r="O989" i="43"/>
  <c r="O990" i="43"/>
  <c r="O991" i="43"/>
  <c r="O992" i="43"/>
  <c r="O993" i="43"/>
  <c r="O994" i="43"/>
  <c r="O995" i="43"/>
  <c r="O996" i="43"/>
  <c r="O997" i="43"/>
  <c r="O998" i="43"/>
  <c r="O999" i="43"/>
  <c r="O1000" i="43"/>
  <c r="O1001" i="43"/>
  <c r="O1002" i="43"/>
  <c r="O1003" i="43"/>
  <c r="O1004" i="43"/>
  <c r="O1005" i="43"/>
  <c r="O1006" i="43"/>
  <c r="O1007" i="43"/>
  <c r="O1008" i="43"/>
  <c r="O1009" i="43"/>
  <c r="O1010" i="43"/>
  <c r="O1011" i="43"/>
  <c r="O1012" i="43"/>
  <c r="O1013" i="43"/>
  <c r="O1014" i="43"/>
  <c r="O1015" i="43"/>
  <c r="O1016" i="43"/>
  <c r="O1017" i="43"/>
  <c r="O1018" i="43"/>
  <c r="O1019" i="43"/>
  <c r="O1020" i="43"/>
  <c r="O1021" i="43"/>
  <c r="O1022" i="43"/>
  <c r="O1023" i="43"/>
  <c r="O1024" i="43"/>
  <c r="O1025" i="43"/>
  <c r="O1026" i="43"/>
  <c r="O1027" i="43"/>
  <c r="O1028" i="43"/>
  <c r="O1029" i="43"/>
  <c r="O1030" i="43"/>
  <c r="O1031" i="43"/>
  <c r="O1032" i="43"/>
  <c r="O1033" i="43"/>
  <c r="O1034" i="43"/>
  <c r="O1035" i="43"/>
  <c r="O1036" i="43"/>
  <c r="O1037" i="43"/>
  <c r="O1038" i="43"/>
  <c r="O1039" i="43"/>
  <c r="O1040" i="43"/>
  <c r="O1041" i="43"/>
  <c r="O1042" i="43"/>
  <c r="O1043" i="43"/>
  <c r="O1044" i="43"/>
  <c r="O1045" i="43"/>
  <c r="O1046" i="43"/>
  <c r="O1047" i="43"/>
  <c r="O1048" i="43"/>
  <c r="O1049" i="43"/>
  <c r="O1050" i="43"/>
  <c r="O1051" i="43"/>
  <c r="O1052" i="43"/>
  <c r="O1053" i="43"/>
  <c r="O1054" i="43"/>
  <c r="O1055" i="43"/>
  <c r="O1056" i="43"/>
  <c r="O1057" i="43"/>
  <c r="O1058" i="43"/>
  <c r="O1059" i="43"/>
  <c r="O1060" i="43"/>
  <c r="O1061" i="43"/>
  <c r="O1062" i="43"/>
  <c r="O1063" i="43"/>
  <c r="O1064" i="43"/>
  <c r="O1065" i="43"/>
  <c r="O1066" i="43"/>
  <c r="O1067" i="43"/>
  <c r="O1068" i="43"/>
  <c r="O1069" i="43"/>
  <c r="O1070" i="43"/>
  <c r="O1071" i="43"/>
  <c r="O1072" i="43"/>
  <c r="O1073" i="43"/>
  <c r="O1074" i="43"/>
  <c r="O1075" i="43"/>
  <c r="O1076" i="43"/>
  <c r="O1077" i="43"/>
  <c r="O1078" i="43"/>
  <c r="O1079" i="43"/>
  <c r="O1080" i="43"/>
  <c r="O1081" i="43"/>
  <c r="O1082" i="43"/>
  <c r="O1083" i="43"/>
  <c r="O1084" i="43"/>
  <c r="O1085" i="43"/>
  <c r="O1086" i="43"/>
  <c r="O1087" i="43"/>
  <c r="O1088" i="43"/>
  <c r="O1089" i="43"/>
  <c r="O1090" i="43"/>
  <c r="O1091" i="43"/>
  <c r="O1092" i="43"/>
  <c r="O1093" i="43"/>
  <c r="O1094" i="43"/>
  <c r="O1095" i="43"/>
  <c r="O1096" i="43"/>
  <c r="O1097" i="43"/>
  <c r="O1098" i="43"/>
  <c r="O1099" i="43"/>
  <c r="O1100" i="43"/>
  <c r="O1101" i="43"/>
  <c r="O1102" i="43"/>
  <c r="O1103" i="43"/>
  <c r="O1104" i="43"/>
  <c r="O1105" i="43"/>
  <c r="O1106" i="43"/>
  <c r="O1107" i="43"/>
  <c r="O1108" i="43"/>
  <c r="O1109" i="43"/>
  <c r="O1110" i="43"/>
  <c r="O1111" i="43"/>
  <c r="O1112" i="43"/>
  <c r="O1113" i="43"/>
  <c r="O1114" i="43"/>
  <c r="O1115" i="43"/>
  <c r="O1116" i="43"/>
  <c r="O1117" i="43"/>
  <c r="O1118" i="43"/>
  <c r="O1119" i="43"/>
  <c r="O1120" i="43"/>
  <c r="O1121" i="43"/>
  <c r="O1122" i="43"/>
  <c r="O1123" i="43"/>
  <c r="O1124" i="43"/>
  <c r="O1125" i="43"/>
  <c r="O1126" i="43"/>
  <c r="O1127" i="43"/>
  <c r="O1128" i="43"/>
  <c r="O1129" i="43"/>
  <c r="O1130" i="43"/>
  <c r="O1131" i="43"/>
  <c r="O1132" i="43"/>
  <c r="O1133" i="43"/>
  <c r="O1134" i="43"/>
  <c r="O1135" i="43"/>
  <c r="O1136" i="43"/>
  <c r="O1137" i="43"/>
  <c r="O1138" i="43"/>
  <c r="O1139" i="43"/>
  <c r="O1140" i="43"/>
  <c r="O1141" i="43"/>
  <c r="O1142" i="43"/>
  <c r="O1143" i="43"/>
  <c r="O1144" i="43"/>
  <c r="O1145" i="43"/>
  <c r="O1146" i="43"/>
  <c r="O1147" i="43"/>
  <c r="O1148" i="43"/>
  <c r="O1149" i="43"/>
  <c r="O1150" i="43"/>
  <c r="O1151" i="43"/>
  <c r="O1152" i="43"/>
  <c r="O1153" i="43"/>
  <c r="O1154" i="43"/>
  <c r="O1155" i="43"/>
  <c r="O1156" i="43"/>
  <c r="O1157" i="43"/>
  <c r="O1158" i="43"/>
  <c r="O1159" i="43"/>
  <c r="O1160" i="43"/>
  <c r="O1161" i="43"/>
  <c r="O1162" i="43"/>
  <c r="O1163" i="43"/>
  <c r="O1164" i="43"/>
  <c r="O1165" i="43"/>
  <c r="O1166" i="43"/>
  <c r="O1167" i="43"/>
  <c r="O1168" i="43"/>
  <c r="O1169" i="43"/>
  <c r="O1170" i="43"/>
  <c r="O1171" i="43"/>
  <c r="O1172" i="43"/>
  <c r="O1173" i="43"/>
  <c r="O1174" i="43"/>
  <c r="O1175" i="43"/>
  <c r="O1176" i="43"/>
  <c r="O1177" i="43"/>
  <c r="O1178" i="43"/>
  <c r="O1179" i="43"/>
  <c r="O1180" i="43"/>
  <c r="O1181" i="43"/>
  <c r="O1182" i="43"/>
  <c r="O1183" i="43"/>
  <c r="O1184" i="43"/>
  <c r="O1185" i="43"/>
  <c r="O1186" i="43"/>
  <c r="O1187" i="43"/>
  <c r="O1188" i="43"/>
  <c r="O1189" i="43"/>
  <c r="O1190" i="43"/>
  <c r="O1191" i="43"/>
  <c r="O1192" i="43"/>
  <c r="O1193" i="43"/>
  <c r="O1194" i="43"/>
  <c r="O1195" i="43"/>
  <c r="O1196" i="43"/>
  <c r="O1197" i="43"/>
  <c r="O1198" i="43"/>
  <c r="O1199" i="43"/>
  <c r="O1200" i="43"/>
  <c r="O1201" i="43"/>
  <c r="O1202" i="43"/>
  <c r="O1203" i="43"/>
  <c r="O1204" i="43"/>
  <c r="O1205" i="43"/>
  <c r="O1206" i="43"/>
  <c r="O1207" i="43"/>
  <c r="O1208" i="43"/>
  <c r="O1209" i="43"/>
  <c r="O1210" i="43"/>
  <c r="O1211" i="43"/>
  <c r="O1212" i="43"/>
  <c r="O1213" i="43"/>
  <c r="O1214" i="43"/>
  <c r="O1215" i="43"/>
  <c r="O1216" i="43"/>
  <c r="O1217" i="43"/>
  <c r="O1218" i="43"/>
  <c r="O1219" i="43"/>
  <c r="O1220" i="43"/>
  <c r="O1221" i="43"/>
  <c r="O1222" i="43"/>
  <c r="O1223" i="43"/>
  <c r="O1224" i="43"/>
  <c r="O1225" i="43"/>
  <c r="O1226" i="43"/>
  <c r="O1227" i="43"/>
  <c r="O1228" i="43"/>
  <c r="O1229" i="43"/>
  <c r="O1230" i="43"/>
  <c r="O1231" i="43"/>
  <c r="O1232" i="43"/>
  <c r="O1233" i="43"/>
  <c r="O1234" i="43"/>
  <c r="O1235" i="43"/>
  <c r="O1236" i="43"/>
  <c r="O1237" i="43"/>
  <c r="O1238" i="43"/>
  <c r="O1239" i="43"/>
  <c r="O1240" i="43"/>
  <c r="O1241" i="43"/>
  <c r="O1242" i="43"/>
  <c r="O1243" i="43"/>
  <c r="O1244" i="43"/>
  <c r="O1245" i="43"/>
  <c r="O1246" i="43"/>
  <c r="O1247" i="43"/>
  <c r="O1248" i="43"/>
  <c r="O1249" i="43"/>
  <c r="O1250" i="43"/>
  <c r="O1251" i="43"/>
  <c r="O1252" i="43"/>
  <c r="O1253" i="43"/>
  <c r="O1254" i="43"/>
  <c r="O1255" i="43"/>
  <c r="O1256" i="43"/>
  <c r="O1257" i="43"/>
  <c r="O1258" i="43"/>
  <c r="O1259" i="43"/>
  <c r="O1260" i="43"/>
  <c r="O1261" i="43"/>
  <c r="O1262" i="43"/>
  <c r="O1263" i="43"/>
  <c r="O1264" i="43"/>
  <c r="O1265" i="43"/>
  <c r="O1266" i="43"/>
  <c r="O1267" i="43"/>
  <c r="O1268" i="43"/>
  <c r="O1269" i="43"/>
  <c r="O1270" i="43"/>
  <c r="O1271" i="43"/>
  <c r="O1272" i="43"/>
  <c r="O1273" i="43"/>
  <c r="O1274" i="43"/>
  <c r="O1275" i="43"/>
  <c r="O1276" i="43"/>
  <c r="O1277" i="43"/>
  <c r="O1278" i="43"/>
  <c r="O1279" i="43"/>
  <c r="O1280" i="43"/>
  <c r="O1281" i="43"/>
  <c r="O1282" i="43"/>
  <c r="O1283" i="43"/>
  <c r="O1284" i="43"/>
  <c r="O1285" i="43"/>
  <c r="O1286" i="43"/>
  <c r="O1287" i="43"/>
  <c r="O1288" i="43"/>
  <c r="O1289" i="43"/>
  <c r="O1290" i="43"/>
  <c r="O1291" i="43"/>
  <c r="O1292" i="43"/>
  <c r="O1293" i="43"/>
  <c r="O1294" i="43"/>
  <c r="O1295" i="43"/>
  <c r="O1296" i="43"/>
  <c r="O1297" i="43"/>
  <c r="O1298" i="43"/>
  <c r="O1299" i="43"/>
  <c r="O1300" i="43"/>
  <c r="O1301" i="43"/>
  <c r="O1302" i="43"/>
  <c r="O1303" i="43"/>
  <c r="O1304" i="43"/>
  <c r="O1305" i="43"/>
  <c r="O1306" i="43"/>
  <c r="O1307" i="43"/>
  <c r="O1308" i="43"/>
  <c r="O1309" i="43"/>
  <c r="O1310" i="43"/>
  <c r="O1311" i="43"/>
  <c r="O1312" i="43"/>
  <c r="O1313" i="43"/>
  <c r="O1314" i="43"/>
  <c r="O1315" i="43"/>
  <c r="O1316" i="43"/>
  <c r="O1317" i="43"/>
  <c r="O1318" i="43"/>
  <c r="O1319" i="43"/>
  <c r="O1320" i="43"/>
  <c r="O1321" i="43"/>
  <c r="O1322" i="43"/>
  <c r="O1323" i="43"/>
  <c r="O1324" i="43"/>
  <c r="O1325" i="43"/>
  <c r="O1326" i="43"/>
  <c r="O1327" i="43"/>
  <c r="O1328" i="43"/>
  <c r="O1329" i="43"/>
  <c r="O1330" i="43"/>
  <c r="O1331" i="43"/>
  <c r="O1332" i="43"/>
  <c r="O1333" i="43"/>
  <c r="O1334" i="43"/>
  <c r="O1335" i="43"/>
  <c r="O1336" i="43"/>
  <c r="O1337" i="43"/>
  <c r="O1338" i="43"/>
  <c r="O1339" i="43"/>
  <c r="O1340" i="43"/>
  <c r="O1341" i="43"/>
  <c r="O1342" i="43"/>
  <c r="O1343" i="43"/>
  <c r="O1344" i="43"/>
  <c r="O1345" i="43"/>
  <c r="O1346" i="43"/>
  <c r="O1347" i="43"/>
  <c r="O1348" i="43"/>
  <c r="O1349" i="43"/>
  <c r="O1350" i="43"/>
  <c r="O1351" i="43"/>
  <c r="O1352" i="43"/>
  <c r="O1353" i="43"/>
  <c r="O1354" i="43"/>
  <c r="O1355" i="43"/>
  <c r="O1356" i="43"/>
  <c r="O1357" i="43"/>
  <c r="O1358" i="43"/>
  <c r="O1359" i="43"/>
  <c r="O1360" i="43"/>
  <c r="O1361" i="43"/>
  <c r="O1362" i="43"/>
  <c r="O1363" i="43"/>
  <c r="O1364" i="43"/>
  <c r="O1365" i="43"/>
  <c r="O1366" i="43"/>
  <c r="O1367" i="43"/>
  <c r="O1368" i="43"/>
  <c r="O1369" i="43"/>
  <c r="O1370" i="43"/>
  <c r="O1371" i="43"/>
  <c r="O1372" i="43"/>
  <c r="O1373" i="43"/>
  <c r="O1374" i="43"/>
  <c r="O1375" i="43"/>
  <c r="O1376" i="43"/>
  <c r="O1377" i="43"/>
  <c r="O1378" i="43"/>
  <c r="O1379" i="43"/>
  <c r="O1380" i="43"/>
  <c r="O1381" i="43"/>
  <c r="O1382" i="43"/>
  <c r="O1383" i="43"/>
  <c r="O1384" i="43"/>
  <c r="O1385" i="43"/>
  <c r="O1386" i="43"/>
  <c r="O1387" i="43"/>
  <c r="O1388" i="43"/>
  <c r="O1389" i="43"/>
  <c r="O1390" i="43"/>
  <c r="O1391" i="43"/>
  <c r="O1392" i="43"/>
  <c r="O1393" i="43"/>
  <c r="O1394" i="43"/>
  <c r="O1395" i="43"/>
  <c r="O1396" i="43"/>
  <c r="O1397" i="43"/>
  <c r="O1398" i="43"/>
  <c r="O1399" i="43"/>
  <c r="O1400" i="43"/>
  <c r="O1401" i="43"/>
  <c r="O1402" i="43"/>
  <c r="O1403" i="43"/>
  <c r="O1404" i="43"/>
  <c r="O1405" i="43"/>
  <c r="O1406" i="43"/>
  <c r="O1407" i="43"/>
  <c r="O1408" i="43"/>
  <c r="O1409" i="43"/>
  <c r="O1410" i="43"/>
  <c r="O1411" i="43"/>
  <c r="O1412" i="43"/>
  <c r="O1413" i="43"/>
  <c r="O1414" i="43"/>
  <c r="O1415" i="43"/>
  <c r="O1416" i="43"/>
  <c r="O1417" i="43"/>
  <c r="O1418" i="43"/>
  <c r="O1419" i="43"/>
  <c r="O1420" i="43"/>
  <c r="O1421" i="43"/>
  <c r="O1422" i="43"/>
  <c r="O1423" i="43"/>
  <c r="O1424" i="43"/>
  <c r="O1425" i="43"/>
  <c r="O1426" i="43"/>
  <c r="O1427" i="43"/>
  <c r="O1428" i="43"/>
  <c r="O1429" i="43"/>
  <c r="O1430" i="43"/>
  <c r="O1431" i="43"/>
  <c r="O1432" i="43"/>
  <c r="O1433" i="43"/>
  <c r="O1434" i="43"/>
  <c r="O1435" i="43"/>
  <c r="O1436" i="43"/>
  <c r="O1437" i="43"/>
  <c r="O1438" i="43"/>
  <c r="O1439" i="43"/>
  <c r="O1440" i="43"/>
  <c r="O1441" i="43"/>
  <c r="O1442" i="43"/>
  <c r="O1443" i="43"/>
  <c r="O1444" i="43"/>
  <c r="O1445" i="43"/>
  <c r="O1446" i="43"/>
  <c r="O1447" i="43"/>
  <c r="O1448" i="43"/>
  <c r="O1449" i="43"/>
  <c r="O1450" i="43"/>
  <c r="O1451" i="43"/>
  <c r="O1452" i="43"/>
  <c r="O1453" i="43"/>
  <c r="O1454" i="43"/>
  <c r="O1455" i="43"/>
  <c r="O1456" i="43"/>
  <c r="O1457" i="43"/>
  <c r="O1458" i="43"/>
  <c r="O1459" i="43"/>
  <c r="O1460" i="43"/>
  <c r="O1461" i="43"/>
  <c r="O1462" i="43"/>
  <c r="O1463" i="43"/>
  <c r="O1464" i="43"/>
  <c r="O1465" i="43"/>
  <c r="O1466" i="43"/>
  <c r="O1467" i="43"/>
  <c r="O1468" i="43"/>
  <c r="O1469" i="43"/>
  <c r="O1470" i="43"/>
  <c r="O1471" i="43"/>
  <c r="O1472" i="43"/>
  <c r="O1473" i="43"/>
  <c r="O1474" i="43"/>
  <c r="O1475" i="43"/>
  <c r="O1476" i="43"/>
  <c r="O1477" i="43"/>
  <c r="O1478" i="43"/>
  <c r="O1479" i="43"/>
  <c r="O1480" i="43"/>
  <c r="O1481" i="43"/>
  <c r="O1482" i="43"/>
  <c r="O1483" i="43"/>
  <c r="O1484" i="43"/>
  <c r="O1485" i="43"/>
  <c r="O1486" i="43"/>
  <c r="O1487" i="43"/>
  <c r="O1488" i="43"/>
  <c r="O1489" i="43"/>
  <c r="O1490" i="43"/>
  <c r="O1491" i="43"/>
  <c r="O1492" i="43"/>
  <c r="O1493" i="43"/>
  <c r="O1494" i="43"/>
  <c r="O1495" i="43"/>
  <c r="O1496" i="43"/>
  <c r="O1497" i="43"/>
  <c r="O1498" i="43"/>
  <c r="O1499" i="43"/>
  <c r="O1500" i="43"/>
  <c r="O1501" i="43"/>
  <c r="O1502" i="43"/>
  <c r="O1503" i="43"/>
  <c r="O1504" i="43"/>
  <c r="O1505" i="43"/>
  <c r="O1506" i="43"/>
  <c r="O1507" i="43"/>
  <c r="O1508" i="43"/>
  <c r="O1509" i="43"/>
  <c r="O1510" i="43"/>
  <c r="O1511" i="43"/>
  <c r="O1512" i="43"/>
  <c r="O1513" i="43"/>
  <c r="O1514" i="43"/>
  <c r="O1515" i="43"/>
  <c r="O1516" i="43"/>
  <c r="O1517" i="43"/>
  <c r="O1518" i="43"/>
  <c r="O1519" i="43"/>
  <c r="O1520" i="43"/>
  <c r="O1521" i="43"/>
  <c r="O1522" i="43"/>
  <c r="O1523" i="43"/>
  <c r="O1524" i="43"/>
  <c r="O1525" i="43"/>
  <c r="O1526" i="43"/>
  <c r="O1527" i="43"/>
  <c r="O1528" i="43"/>
  <c r="O1529" i="43"/>
  <c r="O1530" i="43"/>
  <c r="O1531" i="43"/>
  <c r="O1532" i="43"/>
  <c r="O1533" i="43"/>
  <c r="O1534" i="43"/>
  <c r="O1535" i="43"/>
  <c r="O1536" i="43"/>
  <c r="O1537" i="43"/>
  <c r="O1538" i="43"/>
  <c r="O1539" i="43"/>
  <c r="O1540" i="43"/>
  <c r="O1541" i="43"/>
  <c r="O1542" i="43"/>
  <c r="O1543" i="43"/>
  <c r="O1544" i="43"/>
  <c r="O1545" i="43"/>
  <c r="O1546" i="43"/>
  <c r="O1547" i="43"/>
  <c r="O1548" i="43"/>
  <c r="O1549" i="43"/>
  <c r="O1550" i="43"/>
  <c r="O1551" i="43"/>
  <c r="O1552" i="43"/>
  <c r="O1553" i="43"/>
  <c r="O1554" i="43"/>
  <c r="O1555" i="43"/>
  <c r="O1556" i="43"/>
  <c r="O1557" i="43"/>
  <c r="O1558" i="43"/>
  <c r="O1559" i="43"/>
  <c r="O1560" i="43"/>
  <c r="O1561" i="43"/>
  <c r="O1562" i="43"/>
  <c r="O1563" i="43"/>
  <c r="O1564" i="43"/>
  <c r="O1565" i="43"/>
  <c r="O1566" i="43"/>
  <c r="O1567" i="43"/>
  <c r="O1568" i="43"/>
  <c r="O1569" i="43"/>
  <c r="O1570" i="43"/>
  <c r="O1571" i="43"/>
  <c r="O1572" i="43"/>
  <c r="O1573" i="43"/>
  <c r="O1574" i="43"/>
  <c r="O1575" i="43"/>
  <c r="O1576" i="43"/>
  <c r="O1577" i="43"/>
  <c r="O1578" i="43"/>
  <c r="O1579" i="43"/>
  <c r="O1580" i="43"/>
  <c r="O1581" i="43"/>
  <c r="O1582" i="43"/>
  <c r="O1583" i="43"/>
  <c r="O1584" i="43"/>
  <c r="O1585" i="43"/>
  <c r="O1586" i="43"/>
  <c r="O1587" i="43"/>
  <c r="O1588" i="43"/>
  <c r="O1589" i="43"/>
  <c r="O1590" i="43"/>
  <c r="O1591" i="43"/>
  <c r="O1592" i="43"/>
  <c r="O1593" i="43"/>
  <c r="O1594" i="43"/>
  <c r="O1595" i="43"/>
  <c r="O1596" i="43"/>
  <c r="O1597" i="43"/>
  <c r="O1598" i="43"/>
  <c r="O1599" i="43"/>
  <c r="O1600" i="43"/>
  <c r="O1601" i="43"/>
  <c r="O1602" i="43"/>
  <c r="O1603" i="43"/>
  <c r="O1604" i="43"/>
  <c r="O1605" i="43"/>
  <c r="O1606" i="43"/>
  <c r="O1607" i="43"/>
  <c r="O1608" i="43"/>
  <c r="O1609" i="43"/>
  <c r="O1610" i="43"/>
  <c r="O1611" i="43"/>
  <c r="O1612" i="43"/>
  <c r="O1613" i="43"/>
  <c r="O1614" i="43"/>
  <c r="O1615" i="43"/>
  <c r="O1616" i="43"/>
  <c r="O1617" i="43"/>
  <c r="O1618" i="43"/>
  <c r="O1619" i="43"/>
  <c r="O1620" i="43"/>
  <c r="O1621" i="43"/>
  <c r="O1622" i="43"/>
  <c r="O1623" i="43"/>
  <c r="O1624" i="43"/>
  <c r="O1625" i="43"/>
  <c r="O1626" i="43"/>
  <c r="O1627" i="43"/>
  <c r="O1628" i="43"/>
  <c r="O1629" i="43"/>
  <c r="O1630" i="43"/>
  <c r="O1631" i="43"/>
  <c r="O1632" i="43"/>
  <c r="O1633" i="43"/>
  <c r="O1634" i="43"/>
  <c r="O1635" i="43"/>
  <c r="O1636" i="43"/>
  <c r="O1637" i="43"/>
  <c r="O1638" i="43"/>
  <c r="O1639" i="43"/>
  <c r="O1640" i="43"/>
  <c r="O1641" i="43"/>
  <c r="O1642" i="43"/>
  <c r="O1643" i="43"/>
  <c r="O1644" i="43"/>
  <c r="O1645" i="43"/>
  <c r="O1646" i="43"/>
  <c r="O1647" i="43"/>
  <c r="O1648" i="43"/>
  <c r="O1649" i="43"/>
  <c r="O1650" i="43"/>
  <c r="O1651" i="43"/>
  <c r="O1652" i="43"/>
  <c r="O1653" i="43"/>
  <c r="O1654" i="43"/>
  <c r="O1655" i="43"/>
  <c r="O1656" i="43"/>
  <c r="O1657" i="43"/>
  <c r="O1658" i="43"/>
  <c r="O1659" i="43"/>
  <c r="O1660" i="43"/>
  <c r="O1661" i="43"/>
  <c r="O1662" i="43"/>
  <c r="O1663" i="43"/>
  <c r="O1664" i="43"/>
  <c r="O1665" i="43"/>
  <c r="O1666" i="43"/>
  <c r="O1667" i="43"/>
  <c r="O1668" i="43"/>
  <c r="O1669" i="43"/>
  <c r="O1670" i="43"/>
  <c r="O1671" i="43"/>
  <c r="O1672" i="43"/>
  <c r="O1673" i="43"/>
  <c r="O1674" i="43"/>
  <c r="O1675" i="43"/>
  <c r="O1676" i="43"/>
  <c r="O1677" i="43"/>
  <c r="O1678" i="43"/>
  <c r="O1679" i="43"/>
  <c r="O1680" i="43"/>
  <c r="O1681" i="43"/>
  <c r="O1682" i="43"/>
  <c r="O1683" i="43"/>
  <c r="O1684" i="43"/>
  <c r="O1685" i="43"/>
  <c r="O1686" i="43"/>
  <c r="O1687" i="43"/>
  <c r="O1688" i="43"/>
  <c r="O1689" i="43"/>
  <c r="O1690" i="43"/>
  <c r="O1691" i="43"/>
  <c r="O1692" i="43"/>
  <c r="O1693" i="43"/>
  <c r="O1694" i="43"/>
  <c r="O1695" i="43"/>
  <c r="O1696" i="43"/>
  <c r="O1697" i="43"/>
  <c r="O1698" i="43"/>
  <c r="O1699" i="43"/>
  <c r="O1700" i="43"/>
  <c r="O1701" i="43"/>
  <c r="O1702" i="43"/>
  <c r="O1703" i="43"/>
  <c r="O1704" i="43"/>
  <c r="O1705" i="43"/>
  <c r="O1706" i="43"/>
  <c r="O1707" i="43"/>
  <c r="O1708" i="43"/>
  <c r="O1709" i="43"/>
  <c r="O1710" i="43"/>
  <c r="O1711" i="43"/>
  <c r="O1712" i="43"/>
  <c r="O1713" i="43"/>
  <c r="O1714" i="43"/>
  <c r="O1715" i="43"/>
  <c r="O1716" i="43"/>
  <c r="O1717" i="43"/>
  <c r="O1718" i="43"/>
  <c r="O1719" i="43"/>
  <c r="O1720" i="43"/>
  <c r="O1721" i="43"/>
  <c r="O1722" i="43"/>
  <c r="O1723" i="43"/>
  <c r="O1724" i="43"/>
  <c r="O1725" i="43"/>
  <c r="O1726" i="43"/>
  <c r="O1727" i="43"/>
  <c r="O1728" i="43"/>
  <c r="O1729" i="43"/>
  <c r="O1730" i="43"/>
  <c r="O1731" i="43"/>
  <c r="O1732" i="43"/>
  <c r="O1733" i="43"/>
  <c r="O1734" i="43"/>
  <c r="O1735" i="43"/>
  <c r="O1736" i="43"/>
  <c r="O1737" i="43"/>
  <c r="O1738" i="43"/>
  <c r="O1739" i="43"/>
  <c r="O1740" i="43"/>
  <c r="O1741" i="43"/>
  <c r="O1742" i="43"/>
  <c r="O1743" i="43"/>
  <c r="O1744" i="43"/>
  <c r="O1745" i="43"/>
  <c r="O1746" i="43"/>
  <c r="O1747" i="43"/>
  <c r="O1748" i="43"/>
  <c r="O1749" i="43"/>
  <c r="O1750" i="43"/>
  <c r="O1751" i="43"/>
  <c r="O1752" i="43"/>
  <c r="O1753" i="43"/>
  <c r="O1754" i="43"/>
  <c r="O1755" i="43"/>
  <c r="O1756" i="43"/>
  <c r="O1757" i="43"/>
  <c r="O1758" i="43"/>
  <c r="O1759" i="43"/>
  <c r="O1760" i="43"/>
  <c r="O1761" i="43"/>
  <c r="O1762" i="43"/>
  <c r="O1763" i="43"/>
  <c r="O1764" i="43"/>
  <c r="O1765" i="43"/>
  <c r="O1766" i="43"/>
  <c r="O1767" i="43"/>
  <c r="O1768" i="43"/>
  <c r="O1769" i="43"/>
  <c r="O1770" i="43"/>
  <c r="O1771" i="43"/>
  <c r="O1772" i="43"/>
  <c r="O1773" i="43"/>
  <c r="O1774" i="43"/>
  <c r="O1775" i="43"/>
  <c r="O1776" i="43"/>
  <c r="O1777" i="43"/>
  <c r="O1778" i="43"/>
  <c r="O1779" i="43"/>
  <c r="O1780" i="43"/>
  <c r="O1781" i="43"/>
  <c r="O1782" i="43"/>
  <c r="O1783" i="43"/>
  <c r="O1784" i="43"/>
  <c r="O1785" i="43"/>
  <c r="O1786" i="43"/>
  <c r="O1787" i="43"/>
  <c r="O1788" i="43"/>
  <c r="O1789" i="43"/>
  <c r="O1790" i="43"/>
  <c r="O1791" i="43"/>
  <c r="O1792" i="43"/>
  <c r="O1793" i="43"/>
  <c r="O1794" i="43"/>
  <c r="O1795" i="43"/>
  <c r="O1796" i="43"/>
  <c r="O1797" i="43"/>
  <c r="O1798" i="43"/>
  <c r="O1799" i="43"/>
  <c r="O1800" i="43"/>
  <c r="O1801" i="43"/>
  <c r="O1802" i="43"/>
  <c r="O1803" i="43"/>
  <c r="O1804" i="43"/>
  <c r="O1805" i="43"/>
  <c r="O1806" i="43"/>
  <c r="O1807" i="43"/>
  <c r="O1808" i="43"/>
  <c r="O1809" i="43"/>
  <c r="O1810" i="43"/>
  <c r="O1811" i="43"/>
  <c r="O1812" i="43"/>
  <c r="O1813" i="43"/>
  <c r="O1814" i="43"/>
  <c r="O1815" i="43"/>
  <c r="O1816" i="43"/>
  <c r="O1817" i="43"/>
  <c r="O1818" i="43"/>
  <c r="O1819" i="43"/>
  <c r="O1820" i="43"/>
  <c r="O1821" i="43"/>
  <c r="O1822" i="43"/>
  <c r="O1823" i="43"/>
  <c r="O1824" i="43"/>
  <c r="O1825" i="43"/>
  <c r="O1826" i="43"/>
  <c r="O1827" i="43"/>
  <c r="O1828" i="43"/>
  <c r="O1829" i="43"/>
  <c r="O1830" i="43"/>
  <c r="O1831" i="43"/>
  <c r="O1832" i="43"/>
  <c r="O1833" i="43"/>
  <c r="O1834" i="43"/>
  <c r="O1835" i="43"/>
  <c r="O1836" i="43"/>
  <c r="O1837" i="43"/>
  <c r="O1838" i="43"/>
  <c r="O1839" i="43"/>
  <c r="O1840" i="43"/>
  <c r="O1841" i="43"/>
  <c r="O1842" i="43"/>
  <c r="O1843" i="43"/>
  <c r="O1844" i="43"/>
  <c r="O1845" i="43"/>
  <c r="O1846" i="43"/>
  <c r="O1847" i="43"/>
  <c r="O1848" i="43"/>
  <c r="O1849" i="43"/>
  <c r="O1850" i="43"/>
  <c r="O1851" i="43"/>
  <c r="O1852" i="43"/>
  <c r="O1853" i="43"/>
  <c r="O1854" i="43"/>
  <c r="O1855" i="43"/>
  <c r="O1856" i="43"/>
  <c r="O1857" i="43"/>
  <c r="O1858" i="43"/>
  <c r="O1859" i="43"/>
  <c r="O1860" i="43"/>
  <c r="O1861" i="43"/>
  <c r="O1862" i="43"/>
  <c r="O1863" i="43"/>
  <c r="O1864" i="43"/>
  <c r="O1865" i="43"/>
  <c r="O1866" i="43"/>
  <c r="O1867" i="43"/>
  <c r="O1868" i="43"/>
  <c r="O1869" i="43"/>
  <c r="O1870" i="43"/>
  <c r="O1871" i="43"/>
  <c r="O1872" i="43"/>
  <c r="O1873" i="43"/>
  <c r="O1874" i="43"/>
  <c r="O1875" i="43"/>
  <c r="O1876" i="43"/>
  <c r="O1877" i="43"/>
  <c r="O1878" i="43"/>
  <c r="O1879" i="43"/>
  <c r="O1880" i="43"/>
  <c r="O1881" i="43"/>
  <c r="O1882" i="43"/>
  <c r="O1883" i="43"/>
  <c r="O1884" i="43"/>
  <c r="O1885" i="43"/>
  <c r="O1886" i="43"/>
  <c r="O1887" i="43"/>
  <c r="O1888" i="43"/>
  <c r="O1889" i="43"/>
  <c r="O1890" i="43"/>
  <c r="O1891" i="43"/>
  <c r="O1892" i="43"/>
  <c r="O1893" i="43"/>
  <c r="O1894" i="43"/>
  <c r="O1895" i="43"/>
  <c r="O1896" i="43"/>
  <c r="O1897" i="43"/>
  <c r="O1898" i="43"/>
  <c r="O1899" i="43"/>
  <c r="O1900" i="43"/>
  <c r="O1901" i="43"/>
  <c r="O1902" i="43"/>
  <c r="O1903" i="43"/>
  <c r="O1904" i="43"/>
  <c r="O1905" i="43"/>
  <c r="O1906" i="43"/>
  <c r="O1907" i="43"/>
  <c r="O1908" i="43"/>
  <c r="O1909" i="43"/>
  <c r="O1910" i="43"/>
  <c r="O1911" i="43"/>
  <c r="O1912" i="43"/>
  <c r="O1913" i="43"/>
  <c r="O1914" i="43"/>
  <c r="O1915" i="43"/>
  <c r="O1916" i="43"/>
  <c r="O1917" i="43"/>
  <c r="O1918" i="43"/>
  <c r="O1919" i="43"/>
  <c r="O1920" i="43"/>
  <c r="O1921" i="43"/>
  <c r="O1922" i="43"/>
  <c r="O1923" i="43"/>
  <c r="O1924" i="43"/>
  <c r="O1925" i="43"/>
  <c r="O1926" i="43"/>
  <c r="O1927" i="43"/>
  <c r="O1928" i="43"/>
  <c r="O1929" i="43"/>
  <c r="O1930" i="43"/>
  <c r="O1931" i="43"/>
  <c r="O1932" i="43"/>
  <c r="O1933" i="43"/>
  <c r="O1934" i="43"/>
  <c r="O1935" i="43"/>
  <c r="O1936" i="43"/>
  <c r="O1937" i="43"/>
  <c r="O1938" i="43"/>
  <c r="O1939" i="43"/>
  <c r="O1940" i="43"/>
  <c r="O1941" i="43"/>
  <c r="O1942" i="43"/>
  <c r="O1943" i="43"/>
  <c r="O1944" i="43"/>
  <c r="O1945" i="43"/>
  <c r="O1946" i="43"/>
  <c r="O1947" i="43"/>
  <c r="O1948" i="43"/>
  <c r="O1949" i="43"/>
  <c r="O1950" i="43"/>
  <c r="O1951" i="43"/>
  <c r="O1952" i="43"/>
  <c r="O1953" i="43"/>
  <c r="O1954" i="43"/>
  <c r="O1955" i="43"/>
  <c r="O1956" i="43"/>
  <c r="O1957" i="43"/>
  <c r="O1958" i="43"/>
  <c r="O1959" i="43"/>
  <c r="O1960" i="43"/>
  <c r="O1961" i="43"/>
  <c r="O1962" i="43"/>
  <c r="O1963" i="43"/>
  <c r="O1964" i="43"/>
  <c r="O1965" i="43"/>
  <c r="O1966" i="43"/>
  <c r="O1967" i="43"/>
  <c r="O1968" i="43"/>
  <c r="O1969" i="43"/>
  <c r="O1970" i="43"/>
  <c r="O1971" i="43"/>
  <c r="O1972" i="43"/>
  <c r="O1973" i="43"/>
  <c r="O1974" i="43"/>
  <c r="O1975" i="43"/>
  <c r="O1976" i="43"/>
  <c r="O1977" i="43"/>
  <c r="O1978" i="43"/>
  <c r="O1979" i="43"/>
  <c r="O1980" i="43"/>
  <c r="O1981" i="43"/>
  <c r="O1982" i="43"/>
  <c r="O1983" i="43"/>
  <c r="O1984" i="43"/>
  <c r="O1985" i="43"/>
  <c r="O1986" i="43"/>
  <c r="O1987" i="43"/>
  <c r="O1988" i="43"/>
  <c r="O1989" i="43"/>
  <c r="O1990" i="43"/>
  <c r="O1991" i="43"/>
  <c r="O1992" i="43"/>
  <c r="O1993" i="43"/>
  <c r="O1994" i="43"/>
  <c r="O1995" i="43"/>
  <c r="O1996" i="43"/>
  <c r="O1997" i="43"/>
  <c r="O1998" i="43"/>
  <c r="O1999" i="43"/>
  <c r="O2000" i="43"/>
  <c r="O2001" i="43"/>
  <c r="O2002" i="43"/>
  <c r="O2003" i="43"/>
  <c r="O2004" i="43"/>
  <c r="O2005" i="43"/>
  <c r="O2006" i="43"/>
  <c r="O2007" i="43"/>
  <c r="O2008" i="43"/>
  <c r="O2009" i="43"/>
  <c r="O2010" i="43"/>
  <c r="O2011" i="43"/>
  <c r="O2012" i="43"/>
  <c r="O2013" i="43"/>
  <c r="O2014" i="43"/>
  <c r="O2015" i="43"/>
  <c r="O2016" i="43"/>
  <c r="O2017" i="43"/>
  <c r="O2018" i="43"/>
  <c r="O2019" i="43"/>
  <c r="O2020" i="43"/>
  <c r="O2021" i="43"/>
  <c r="O2022" i="43"/>
  <c r="O2023" i="43"/>
  <c r="O2024" i="43"/>
  <c r="O2025" i="43"/>
  <c r="O2026" i="43"/>
  <c r="O2027" i="43"/>
  <c r="O2028" i="43"/>
  <c r="O2029" i="43"/>
  <c r="O2030" i="43"/>
  <c r="O2031" i="43"/>
  <c r="O2032" i="43"/>
  <c r="O2033" i="43"/>
  <c r="O2034" i="43"/>
  <c r="O2035" i="43"/>
  <c r="O2036" i="43"/>
  <c r="O2037" i="43"/>
  <c r="O2038" i="43"/>
  <c r="O2039" i="43"/>
  <c r="O2040" i="43"/>
  <c r="O2041" i="43"/>
  <c r="O2042" i="43"/>
  <c r="O2043" i="43"/>
  <c r="O2044" i="43"/>
  <c r="O2045" i="43"/>
  <c r="O2046" i="43"/>
  <c r="O2047" i="43"/>
  <c r="O2048" i="43"/>
  <c r="O2049" i="43"/>
  <c r="O2050" i="43"/>
  <c r="O2051" i="43"/>
  <c r="O2052" i="43"/>
  <c r="O2053" i="43"/>
  <c r="O2054" i="43"/>
  <c r="O2055" i="43"/>
  <c r="O2056" i="43"/>
  <c r="O2057" i="43"/>
  <c r="O2058" i="43"/>
  <c r="O2059" i="43"/>
  <c r="O2060" i="43"/>
  <c r="O2061" i="43"/>
  <c r="O2062" i="43"/>
  <c r="O2063" i="43"/>
  <c r="O2064" i="43"/>
  <c r="O2065" i="43"/>
  <c r="O2066" i="43"/>
  <c r="O2067" i="43"/>
  <c r="O2068" i="43"/>
  <c r="O2069" i="43"/>
  <c r="O2070" i="43"/>
  <c r="O2071" i="43"/>
  <c r="O2072" i="43"/>
  <c r="O2073" i="43"/>
  <c r="AR2" i="8"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C1313" i="10"/>
  <c r="K4445" i="40" s="1"/>
  <c r="I1311" i="10"/>
  <c r="G5025" i="40" s="1"/>
  <c r="H1310" i="10"/>
  <c r="K4927" i="40" s="1"/>
  <c r="G1309" i="10"/>
  <c r="I4829" i="40" s="1"/>
  <c r="F1308" i="10"/>
  <c r="E1307" i="10"/>
  <c r="G4633" i="40" s="1"/>
  <c r="D1306" i="10"/>
  <c r="G4535" i="40" s="1"/>
  <c r="C1305" i="10"/>
  <c r="I1303" i="10"/>
  <c r="G5017" i="40" s="1"/>
  <c r="H1302" i="10"/>
  <c r="G1301" i="10"/>
  <c r="I4821" i="40" s="1"/>
  <c r="F1300" i="10"/>
  <c r="E1299" i="10"/>
  <c r="G4625" i="40" s="1"/>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G4642" i="40" s="1"/>
  <c r="D1315" i="10"/>
  <c r="G4544" i="40" s="1"/>
  <c r="C1314" i="10"/>
  <c r="K4446" i="40" s="1"/>
  <c r="I1312" i="10"/>
  <c r="G5026" i="40" s="1"/>
  <c r="H1311" i="10"/>
  <c r="K4928" i="40" s="1"/>
  <c r="G1310" i="10"/>
  <c r="F1309" i="10"/>
  <c r="E1308" i="10"/>
  <c r="G4634" i="40" s="1"/>
  <c r="D1307" i="10"/>
  <c r="C1306" i="10"/>
  <c r="K4438" i="40" s="1"/>
  <c r="I1304" i="10"/>
  <c r="H1303" i="10"/>
  <c r="K4920" i="40" s="1"/>
  <c r="G1302" i="10"/>
  <c r="I4822" i="40" s="1"/>
  <c r="F1301" i="10"/>
  <c r="E1300" i="10"/>
  <c r="G4626" i="40" s="1"/>
  <c r="D1299" i="10"/>
  <c r="G4528" i="40" s="1"/>
  <c r="C1298" i="10"/>
  <c r="K4430" i="40" s="1"/>
  <c r="I1296" i="10"/>
  <c r="G5010" i="40" s="1"/>
  <c r="H1295" i="10"/>
  <c r="K4912" i="40" s="1"/>
  <c r="G1294" i="10"/>
  <c r="F1293" i="10"/>
  <c r="I4716" i="40" s="1"/>
  <c r="E1292" i="10"/>
  <c r="D1291" i="10"/>
  <c r="C1290" i="10"/>
  <c r="K4422" i="40" s="1"/>
  <c r="I1288" i="10"/>
  <c r="H1287" i="10"/>
  <c r="K4904" i="40" s="1"/>
  <c r="G1286" i="10"/>
  <c r="I4806" i="40" s="1"/>
  <c r="F1285" i="10"/>
  <c r="I4708" i="40" s="1"/>
  <c r="E1284" i="10"/>
  <c r="G4610" i="40" s="1"/>
  <c r="D1283" i="10"/>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G5027" i="40" s="1"/>
  <c r="H1312" i="10"/>
  <c r="G1311" i="10"/>
  <c r="I4831" i="40" s="1"/>
  <c r="F1310" i="10"/>
  <c r="I4733" i="40" s="1"/>
  <c r="E1309" i="10"/>
  <c r="G4635" i="40" s="1"/>
  <c r="D1308" i="10"/>
  <c r="G4537" i="40" s="1"/>
  <c r="C1307" i="10"/>
  <c r="I1305" i="10"/>
  <c r="G5019" i="40" s="1"/>
  <c r="H1304" i="10"/>
  <c r="K4921" i="40" s="1"/>
  <c r="G1303" i="10"/>
  <c r="I4823" i="40" s="1"/>
  <c r="F1302" i="10"/>
  <c r="I4725" i="40" s="1"/>
  <c r="E1301" i="10"/>
  <c r="D1300" i="10"/>
  <c r="G4529" i="40" s="1"/>
  <c r="C1299" i="10"/>
  <c r="K4431" i="40" s="1"/>
  <c r="I1297" i="10"/>
  <c r="H1296" i="10"/>
  <c r="K4913" i="40" s="1"/>
  <c r="G1295" i="10"/>
  <c r="I4815" i="40" s="1"/>
  <c r="F1294" i="10"/>
  <c r="I4717" i="40" s="1"/>
  <c r="E1293" i="10"/>
  <c r="G4619" i="40" s="1"/>
  <c r="D1292" i="10"/>
  <c r="C1291" i="10"/>
  <c r="I1289" i="10"/>
  <c r="G5003" i="40" s="1"/>
  <c r="H1288" i="10"/>
  <c r="G1287" i="10"/>
  <c r="I4807" i="40" s="1"/>
  <c r="F1286" i="10"/>
  <c r="I4709" i="40" s="1"/>
  <c r="E1285" i="10"/>
  <c r="G4611" i="40" s="1"/>
  <c r="D1284" i="10"/>
  <c r="G4513" i="40" s="1"/>
  <c r="C1283" i="10"/>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K4448" i="40" s="1"/>
  <c r="I1314" i="10"/>
  <c r="G5028" i="40" s="1"/>
  <c r="H1313" i="10"/>
  <c r="K4930" i="40" s="1"/>
  <c r="G1312" i="10"/>
  <c r="I4832" i="40" s="1"/>
  <c r="F1311" i="10"/>
  <c r="I4734" i="40" s="1"/>
  <c r="E1310" i="10"/>
  <c r="G4636" i="40" s="1"/>
  <c r="D1309" i="10"/>
  <c r="G4538" i="40" s="1"/>
  <c r="C1308" i="10"/>
  <c r="K4440" i="40" s="1"/>
  <c r="I1306" i="10"/>
  <c r="G5020" i="40" s="1"/>
  <c r="H1305" i="10"/>
  <c r="G1304" i="10"/>
  <c r="I4824" i="40" s="1"/>
  <c r="F1303" i="10"/>
  <c r="I4726" i="40" s="1"/>
  <c r="E1302" i="10"/>
  <c r="G4628" i="40" s="1"/>
  <c r="D1301" i="10"/>
  <c r="G4530" i="40" s="1"/>
  <c r="C1300" i="10"/>
  <c r="I1298" i="10"/>
  <c r="G5012" i="40" s="1"/>
  <c r="H1297" i="10"/>
  <c r="G1296" i="10"/>
  <c r="I4816" i="40" s="1"/>
  <c r="F1295" i="10"/>
  <c r="I4718" i="40" s="1"/>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E1311" i="10"/>
  <c r="G4637" i="40" s="1"/>
  <c r="D1310" i="10"/>
  <c r="C1309" i="10"/>
  <c r="K4441" i="40" s="1"/>
  <c r="I1307" i="10"/>
  <c r="G5021" i="40" s="1"/>
  <c r="H1306" i="10"/>
  <c r="K4923" i="40" s="1"/>
  <c r="G1305" i="10"/>
  <c r="I4825" i="40" s="1"/>
  <c r="F1304" i="10"/>
  <c r="I4727" i="40" s="1"/>
  <c r="E1303" i="10"/>
  <c r="G4629" i="40" s="1"/>
  <c r="D1302" i="10"/>
  <c r="C1301" i="10"/>
  <c r="K4433" i="40" s="1"/>
  <c r="I1299" i="10"/>
  <c r="G5013" i="40" s="1"/>
  <c r="H1298" i="10"/>
  <c r="K4915" i="40" s="1"/>
  <c r="G1297" i="10"/>
  <c r="I4817" i="40" s="1"/>
  <c r="F1296" i="10"/>
  <c r="I4719" i="40" s="1"/>
  <c r="E1295" i="10"/>
  <c r="G4621" i="40" s="1"/>
  <c r="D1294" i="10"/>
  <c r="G4523" i="40" s="1"/>
  <c r="C1293" i="10"/>
  <c r="K4425" i="40" s="1"/>
  <c r="I1291" i="10"/>
  <c r="G5005" i="40" s="1"/>
  <c r="H1290" i="10"/>
  <c r="K4907" i="40" s="1"/>
  <c r="G1289" i="10"/>
  <c r="I4809" i="40" s="1"/>
  <c r="F1288" i="10"/>
  <c r="I4711" i="40" s="1"/>
  <c r="E1287" i="10"/>
  <c r="G4613" i="40" s="1"/>
  <c r="D1286" i="10"/>
  <c r="C1285" i="10"/>
  <c r="K4417" i="40" s="1"/>
  <c r="I1283" i="10"/>
  <c r="G4997" i="40" s="1"/>
  <c r="H1282" i="10"/>
  <c r="K4899" i="40" s="1"/>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K4908" i="40" s="1"/>
  <c r="G1290" i="10"/>
  <c r="I4810" i="40" s="1"/>
  <c r="F1289" i="10"/>
  <c r="I4712" i="40" s="1"/>
  <c r="E1288" i="10"/>
  <c r="G4614" i="40" s="1"/>
  <c r="D1287" i="10"/>
  <c r="G4516" i="40" s="1"/>
  <c r="C1286" i="10"/>
  <c r="K4418" i="40" s="1"/>
  <c r="I1284" i="10"/>
  <c r="H1283" i="10"/>
  <c r="K4900" i="40" s="1"/>
  <c r="G1282" i="10"/>
  <c r="I4802" i="40" s="1"/>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H1308" i="10"/>
  <c r="K4925" i="40" s="1"/>
  <c r="G1307" i="10"/>
  <c r="I4827" i="40" s="1"/>
  <c r="F1306" i="10"/>
  <c r="I4729" i="40" s="1"/>
  <c r="E1305" i="10"/>
  <c r="G4631" i="40" s="1"/>
  <c r="D1304" i="10"/>
  <c r="G4533" i="40" s="1"/>
  <c r="C1303" i="10"/>
  <c r="K4435" i="40" s="1"/>
  <c r="I1301" i="10"/>
  <c r="H1300" i="10"/>
  <c r="K4917" i="40" s="1"/>
  <c r="G1299" i="10"/>
  <c r="F1298" i="10"/>
  <c r="I4721" i="40" s="1"/>
  <c r="E1297" i="10"/>
  <c r="G4623" i="40" s="1"/>
  <c r="D1296" i="10"/>
  <c r="G4525" i="40" s="1"/>
  <c r="C1295" i="10"/>
  <c r="K4427" i="40" s="1"/>
  <c r="I1293" i="10"/>
  <c r="G5007" i="40" s="1"/>
  <c r="H1292" i="10"/>
  <c r="K4909" i="40" s="1"/>
  <c r="G1291" i="10"/>
  <c r="I4811" i="40" s="1"/>
  <c r="F1290" i="10"/>
  <c r="I4713" i="40" s="1"/>
  <c r="E1289" i="10"/>
  <c r="G4615" i="40" s="1"/>
  <c r="D1288" i="10"/>
  <c r="G4517" i="40" s="1"/>
  <c r="C1287" i="10"/>
  <c r="K4419" i="40" s="1"/>
  <c r="I1285" i="10"/>
  <c r="G4999" i="40" s="1"/>
  <c r="H1284" i="10"/>
  <c r="K4901" i="40" s="1"/>
  <c r="G1283" i="10"/>
  <c r="F1282" i="10"/>
  <c r="I4705" i="40" s="1"/>
  <c r="E1281" i="10"/>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C1289" i="10"/>
  <c r="K4421" i="40" s="1"/>
  <c r="H1285" i="10"/>
  <c r="K4902" i="40" s="1"/>
  <c r="I1282" i="10"/>
  <c r="G4996" i="40" s="1"/>
  <c r="E1280" i="10"/>
  <c r="G4606" i="40" s="1"/>
  <c r="H1278" i="10"/>
  <c r="K4895" i="40" s="1"/>
  <c r="E1277" i="10"/>
  <c r="D1276" i="10"/>
  <c r="G4505" i="40" s="1"/>
  <c r="C1275" i="10"/>
  <c r="I1273" i="10"/>
  <c r="G4987" i="40" s="1"/>
  <c r="H1272" i="10"/>
  <c r="K4889" i="40" s="1"/>
  <c r="G1271" i="10"/>
  <c r="I4791" i="40" s="1"/>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G4534" i="40" s="1"/>
  <c r="C1296" i="10"/>
  <c r="F1291" i="10"/>
  <c r="I4714" i="40" s="1"/>
  <c r="G1288" i="10"/>
  <c r="I4808" i="40" s="1"/>
  <c r="G1285" i="10"/>
  <c r="I4805" i="40" s="1"/>
  <c r="E1282" i="10"/>
  <c r="G4608" i="40" s="1"/>
  <c r="C1280" i="10"/>
  <c r="K4412" i="40" s="1"/>
  <c r="G1278" i="10"/>
  <c r="I4798" i="40" s="1"/>
  <c r="D1277" i="10"/>
  <c r="G4506" i="40" s="1"/>
  <c r="C1276" i="10"/>
  <c r="K4408" i="40" s="1"/>
  <c r="I1274" i="10"/>
  <c r="H1273" i="10"/>
  <c r="K4890" i="40" s="1"/>
  <c r="G1272" i="10"/>
  <c r="F1271" i="10"/>
  <c r="I4694" i="40" s="1"/>
  <c r="E1270" i="10"/>
  <c r="G4596" i="40" s="1"/>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G4617" i="40" s="1"/>
  <c r="C1288" i="10"/>
  <c r="K4420" i="40" s="1"/>
  <c r="D1285" i="10"/>
  <c r="G4514" i="40" s="1"/>
  <c r="D1282" i="10"/>
  <c r="G4511" i="40" s="1"/>
  <c r="I1279" i="10"/>
  <c r="G4993" i="40" s="1"/>
  <c r="E1278" i="10"/>
  <c r="G4604" i="40" s="1"/>
  <c r="C1277" i="10"/>
  <c r="I1275" i="10"/>
  <c r="G4989" i="40" s="1"/>
  <c r="H1274" i="10"/>
  <c r="G1273" i="10"/>
  <c r="I4793" i="40" s="1"/>
  <c r="F1272" i="10"/>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G5016" i="40" s="1"/>
  <c r="H1293" i="10"/>
  <c r="K4910" i="40" s="1"/>
  <c r="I1290" i="10"/>
  <c r="G5004" i="40" s="1"/>
  <c r="I1287" i="10"/>
  <c r="G5001" i="40" s="1"/>
  <c r="G1284" i="10"/>
  <c r="I4804" i="40" s="1"/>
  <c r="H1281" i="10"/>
  <c r="K4898" i="40" s="1"/>
  <c r="H1279" i="10"/>
  <c r="K4896" i="40" s="1"/>
  <c r="D1278" i="10"/>
  <c r="I1276" i="10"/>
  <c r="G4990" i="40" s="1"/>
  <c r="H1275" i="10"/>
  <c r="K4892" i="40" s="1"/>
  <c r="G1274" i="10"/>
  <c r="I4794" i="40" s="1"/>
  <c r="F1273" i="10"/>
  <c r="I4696" i="40" s="1"/>
  <c r="E1272" i="10"/>
  <c r="G4598" i="40" s="1"/>
  <c r="D1271" i="10"/>
  <c r="C1270" i="10"/>
  <c r="K4402" i="40" s="1"/>
  <c r="I1268" i="10"/>
  <c r="G4982" i="40" s="1"/>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F1284" i="10"/>
  <c r="I4707" i="40" s="1"/>
  <c r="D1281" i="10"/>
  <c r="F1279" i="10"/>
  <c r="I4702" i="40" s="1"/>
  <c r="C1278" i="10"/>
  <c r="K4410" i="40" s="1"/>
  <c r="H1276" i="10"/>
  <c r="K4893" i="40" s="1"/>
  <c r="G1275" i="10"/>
  <c r="I4795" i="40" s="1"/>
  <c r="F1274" i="10"/>
  <c r="I4697" i="40" s="1"/>
  <c r="E1273" i="10"/>
  <c r="D1272" i="10"/>
  <c r="G4501" i="40" s="1"/>
  <c r="C1271" i="10"/>
  <c r="K4403" i="40" s="1"/>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G4984" i="40" s="1"/>
  <c r="H1269" i="10"/>
  <c r="G1268" i="10"/>
  <c r="I4788" i="40" s="1"/>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I4812" i="40" s="1"/>
  <c r="H1289" i="10"/>
  <c r="K4906" i="40" s="1"/>
  <c r="H1286" i="10"/>
  <c r="K4903" i="40" s="1"/>
  <c r="F1283" i="10"/>
  <c r="I4706" i="40" s="1"/>
  <c r="G1280" i="10"/>
  <c r="I4800" i="40" s="1"/>
  <c r="D1279" i="10"/>
  <c r="G1277" i="10"/>
  <c r="I4797" i="40" s="1"/>
  <c r="F1276" i="10"/>
  <c r="I4699" i="40" s="1"/>
  <c r="E1275" i="10"/>
  <c r="G4601" i="40" s="1"/>
  <c r="D1274" i="10"/>
  <c r="G4503" i="40" s="1"/>
  <c r="C1273" i="10"/>
  <c r="K4405" i="40" s="1"/>
  <c r="I1271" i="10"/>
  <c r="G4985" i="40" s="1"/>
  <c r="H1270" i="10"/>
  <c r="K4887" i="40" s="1"/>
  <c r="G1269" i="10"/>
  <c r="F1268" i="10"/>
  <c r="I4691" i="40" s="1"/>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G4624" i="40" s="1"/>
  <c r="F1292" i="10"/>
  <c r="D1289" i="10"/>
  <c r="G4518" i="40" s="1"/>
  <c r="E1286" i="10"/>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67" i="40"/>
  <c r="AK29" i="8"/>
  <c r="AK28" i="8"/>
  <c r="AK27" i="8"/>
  <c r="AK23" i="8"/>
  <c r="G4500" i="40"/>
  <c r="I4695" i="40"/>
  <c r="I4792" i="40"/>
  <c r="G4986" i="40"/>
  <c r="G4599" i="40"/>
  <c r="K4891" i="40"/>
  <c r="G4988" i="40"/>
  <c r="K4407" i="40"/>
  <c r="K4409" i="40"/>
  <c r="G4603" i="40"/>
  <c r="K4894" i="40"/>
  <c r="G4507" i="40"/>
  <c r="G4508" i="40"/>
  <c r="G4510" i="40"/>
  <c r="G4607" i="40"/>
  <c r="I4704" i="40"/>
  <c r="K4415" i="40"/>
  <c r="G4512" i="40"/>
  <c r="I4803" i="40"/>
  <c r="G4998" i="40"/>
  <c r="G4515" i="40"/>
  <c r="G4612" i="40"/>
  <c r="I4710" i="40"/>
  <c r="K4905" i="40"/>
  <c r="G5002" i="40"/>
  <c r="K4423" i="40"/>
  <c r="G4520" i="40"/>
  <c r="K4424" i="40"/>
  <c r="G4521" i="40"/>
  <c r="G4618" i="40"/>
  <c r="I4715" i="40"/>
  <c r="K4426" i="40"/>
  <c r="G4620" i="40"/>
  <c r="I4814" i="40"/>
  <c r="K4428" i="40"/>
  <c r="K4429" i="40"/>
  <c r="K4914" i="40"/>
  <c r="G5011" i="40"/>
  <c r="I4819" i="40"/>
  <c r="K4432" i="40"/>
  <c r="I4723" i="40"/>
  <c r="G5014" i="40"/>
  <c r="G4627" i="40"/>
  <c r="I4724" i="40"/>
  <c r="G5015" i="40"/>
  <c r="G4531" i="40"/>
  <c r="K4919" i="40"/>
  <c r="G4532" i="40"/>
  <c r="G5018" i="40"/>
  <c r="K4437" i="40"/>
  <c r="K4922" i="40"/>
  <c r="K4439" i="40"/>
  <c r="G4536" i="40"/>
  <c r="I4730" i="40"/>
  <c r="I4731" i="40"/>
  <c r="I4732" i="40"/>
  <c r="G5023" i="40"/>
  <c r="K4442" i="40"/>
  <c r="G4539" i="40"/>
  <c r="I4830" i="40"/>
  <c r="K4444" i="40"/>
  <c r="G4638" i="40"/>
  <c r="I4735" i="40"/>
  <c r="K4929" i="40"/>
  <c r="G4543" i="40"/>
  <c r="G4640" i="40"/>
  <c r="K4447" i="40"/>
  <c r="G4545" i="40"/>
  <c r="I4836" i="40"/>
  <c r="G4593" i="40"/>
  <c r="K4884" i="40"/>
  <c r="G4981" i="40"/>
  <c r="K4400" i="40"/>
  <c r="G4498" i="40"/>
  <c r="I4789" i="40"/>
  <c r="K4886" i="40"/>
  <c r="G4983" i="40"/>
  <c r="J8475" i="40" l="1"/>
  <c r="J8477" i="40"/>
  <c r="AK25" i="8"/>
  <c r="AK39" i="8"/>
  <c r="J8463" i="40"/>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<sst xmlns="http://schemas.openxmlformats.org/spreadsheetml/2006/main" count="74606" uniqueCount="2576">
  <si>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</si>
  <si>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</si>
  <si>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</si>
  <si>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</si>
  <si>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</si>
  <si>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</si>
  <si>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</si>
  <si>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</si>
  <si>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</si>
  <si>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</si>
  <si>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</si>
  <si>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</si>
  <si>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</si>
  <si>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</si>
  <si>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</si>
  <si>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</si>
  <si>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</si>
  <si>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</si>
  <si>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</si>
  <si>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</si>
  <si>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</si>
  <si>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</si>
  <si>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</si>
  <si>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</si>
  <si>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</si>
  <si>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</si>
  <si>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</si>
  <si>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</si>
  <si>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</si>
  <si>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</si>
  <si>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</si>
  <si>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</si>
  <si>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</si>
  <si>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</si>
  <si>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</si>
  <si>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</si>
  <si>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</si>
  <si>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</si>
  <si>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</si>
  <si>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</si>
  <si>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</si>
  <si>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</si>
  <si>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</si>
  <si>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</si>
  <si>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</si>
  <si>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</si>
  <si>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</si>
  <si>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</si>
  <si>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</si>
  <si>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</si>
  <si>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</si>
  <si>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</si>
  <si>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</si>
  <si>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</si>
  <si>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</si>
  <si>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</si>
  <si>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</si>
  <si>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</si>
  <si>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</si>
  <si>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</si>
  <si>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</si>
  <si>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</si>
  <si>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</si>
  <si>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</si>
  <si>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</si>
  <si>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</si>
  <si>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</si>
  <si>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</si>
  <si>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</si>
  <si>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</si>
  <si>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</si>
  <si>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</si>
  <si>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</si>
  <si>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</si>
  <si>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</si>
  <si>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</si>
  <si>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</si>
  <si>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</si>
  <si>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</si>
  <si>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</si>
  <si>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</si>
  <si>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</si>
  <si>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</si>
  <si>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</si>
  <si>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</si>
  <si>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</si>
  <si>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</si>
  <si>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</si>
  <si>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</si>
  <si>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</si>
  <si>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</si>
  <si>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</si>
  <si>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</si>
  <si>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</si>
  <si>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</si>
  <si>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</si>
  <si>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</si>
  <si>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</si>
  <si>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</si>
  <si>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</si>
  <si>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</si>
  <si>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</si>
  <si>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</si>
  <si>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</si>
  <si>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</si>
  <si>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</si>
  <si>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</si>
  <si>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</si>
  <si>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</si>
  <si>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</si>
  <si>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</si>
  <si>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</si>
  <si>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</si>
  <si>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</si>
  <si>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</si>
  <si>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</si>
  <si>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</si>
  <si>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</si>
  <si>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</si>
  <si>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</si>
  <si>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</si>
  <si>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</si>
  <si>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</si>
  <si>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</si>
  <si>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</si>
  <si>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</si>
  <si>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</si>
  <si>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</si>
  <si>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</si>
  <si>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</si>
  <si>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</si>
  <si>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</si>
  <si>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</si>
  <si>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</si>
  <si>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</si>
  <si>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</si>
  <si>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</si>
  <si>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</si>
  <si>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</si>
  <si>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</si>
  <si>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</si>
  <si>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</si>
  <si>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</si>
  <si>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</si>
  <si>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</si>
  <si>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</si>
  <si>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</si>
  <si>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</si>
  <si>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</si>
  <si>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</si>
  <si>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</si>
  <si>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</si>
  <si>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</si>
  <si>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</si>
  <si>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</si>
  <si>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</si>
  <si>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</si>
  <si>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</si>
  <si>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</si>
  <si>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</si>
  <si>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</si>
  <si>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</si>
  <si>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</si>
  <si>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</si>
  <si>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</si>
  <si>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</si>
  <si>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</si>
  <si>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</si>
  <si>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</si>
  <si>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</si>
  <si>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</si>
  <si>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</si>
  <si>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</si>
  <si>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</si>
  <si>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</si>
  <si>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</si>
  <si>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</si>
  <si>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</si>
  <si>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</si>
  <si>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</si>
  <si>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</si>
  <si>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</si>
  <si>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</si>
  <si>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</si>
  <si>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</si>
  <si>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</si>
  <si>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</si>
  <si>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</si>
  <si>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</si>
  <si>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</si>
  <si>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</si>
  <si>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</si>
  <si>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</si>
  <si>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</si>
  <si>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</si>
  <si>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</si>
  <si>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</si>
  <si>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</si>
  <si>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</si>
  <si>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</si>
  <si>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</si>
  <si>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</si>
  <si>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</si>
  <si>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</si>
  <si>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</si>
  <si>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</si>
  <si>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</si>
  <si>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</si>
  <si>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</si>
  <si>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</si>
  <si>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</si>
  <si>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</si>
  <si>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</si>
  <si>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</si>
  <si>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</si>
  <si>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</si>
  <si>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</si>
  <si>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</si>
  <si>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</si>
  <si>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</si>
  <si>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</si>
  <si>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</si>
  <si>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</si>
  <si>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</si>
  <si>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</si>
  <si>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</si>
  <si>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</si>
  <si>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</si>
  <si>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</si>
  <si>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</si>
  <si>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</si>
  <si>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</si>
  <si>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</si>
  <si>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</si>
  <si>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</si>
  <si>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</si>
  <si>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</si>
  <si>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</si>
  <si>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</si>
  <si>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</si>
  <si>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</si>
  <si>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</si>
  <si>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</si>
  <si>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</si>
  <si>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</si>
  <si>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</si>
  <si>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</si>
  <si>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</si>
  <si>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</si>
  <si>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</si>
  <si>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</si>
  <si>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</si>
  <si>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</si>
  <si>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</si>
  <si>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</si>
  <si>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</si>
  <si>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</si>
  <si>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</si>
  <si>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</si>
  <si>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</si>
  <si>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</si>
  <si>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</si>
  <si>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</si>
  <si>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</si>
  <si>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</si>
  <si>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</si>
  <si>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</si>
  <si>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</si>
  <si>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</si>
  <si>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</si>
  <si>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</si>
  <si>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</si>
  <si>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</si>
  <si>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</si>
  <si>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</si>
  <si>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</si>
  <si>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</si>
  <si>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</si>
  <si>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</si>
  <si>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</si>
  <si>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</si>
  <si>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</si>
  <si>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</si>
  <si>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</si>
  <si>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</si>
  <si>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</si>
  <si>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</si>
  <si>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</si>
  <si>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</si>
  <si>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</si>
  <si>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</si>
  <si>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</si>
  <si>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</si>
  <si>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</si>
  <si>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</si>
  <si>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</si>
  <si>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</si>
  <si>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</si>
  <si>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</si>
  <si>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</si>
  <si>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</si>
  <si>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</si>
  <si>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</si>
  <si>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</si>
  <si>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</si>
  <si>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</si>
  <si>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</si>
  <si>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</si>
  <si>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</si>
  <si>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</si>
  <si>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</si>
  <si>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</si>
  <si>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</si>
  <si>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</si>
  <si>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</si>
  <si>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</si>
  <si>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</si>
  <si>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</si>
  <si>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</si>
  <si>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</si>
  <si>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</si>
  <si>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</si>
  <si>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</si>
  <si>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</si>
  <si>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</si>
  <si>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</si>
  <si>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</si>
  <si>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</si>
  <si>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</si>
  <si>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</si>
  <si>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</si>
  <si>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</si>
  <si>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</si>
  <si>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</si>
  <si>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</si>
  <si>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</si>
  <si>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</si>
  <si>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</si>
  <si>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</si>
  <si>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</si>
  <si>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</si>
  <si>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</si>
  <si>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</si>
  <si>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</si>
  <si>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</si>
  <si>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</si>
  <si>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</si>
  <si>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</si>
  <si>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</si>
  <si>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</si>
  <si>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</si>
  <si>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</si>
  <si>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</si>
  <si>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</si>
  <si>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</si>
  <si>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</si>
  <si>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</si>
  <si>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</si>
  <si>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</si>
  <si>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</si>
  <si>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</si>
  <si>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</si>
  <si>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</si>
  <si>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</si>
  <si>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</si>
  <si>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</si>
  <si>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</si>
  <si>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</si>
  <si>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</si>
  <si>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</si>
  <si>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</si>
  <si>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</si>
  <si>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</si>
  <si>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</si>
  <si>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</si>
  <si>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</si>
  <si>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</si>
  <si>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</si>
  <si>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</si>
  <si>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</si>
  <si>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</si>
  <si>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</si>
  <si>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</si>
  <si>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</si>
  <si>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</si>
  <si>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</si>
  <si>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</si>
  <si>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</si>
  <si>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</si>
  <si>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</si>
  <si>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</si>
  <si>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</si>
  <si>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</si>
  <si>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</si>
  <si>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</si>
  <si>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</si>
  <si>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</si>
  <si>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</si>
  <si>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</si>
  <si>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</si>
  <si>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</si>
  <si>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</si>
  <si>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</si>
  <si>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</si>
  <si>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</si>
  <si>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</si>
  <si>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</si>
  <si>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</si>
  <si>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</si>
  <si>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</si>
  <si>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</si>
  <si>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</si>
  <si>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</si>
  <si>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</si>
  <si>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</si>
  <si>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</si>
  <si>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</si>
  <si>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</si>
  <si>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</si>
  <si>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</si>
  <si>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</si>
  <si>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</si>
  <si>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</si>
  <si>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</si>
  <si>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</si>
  <si>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</si>
  <si>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</si>
  <si>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</si>
  <si>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</si>
  <si>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</si>
  <si>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</si>
  <si>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</si>
  <si>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</si>
  <si>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</si>
  <si>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</si>
  <si>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</si>
  <si>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</si>
  <si>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</si>
  <si>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</si>
  <si>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</si>
  <si>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</si>
  <si>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</si>
  <si>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</si>
  <si>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</si>
  <si>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</si>
  <si>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</si>
  <si>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</si>
  <si>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</si>
  <si>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</si>
  <si>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</si>
  <si>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</si>
  <si>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</si>
  <si>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</si>
  <si>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</si>
  <si>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</si>
  <si>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</si>
  <si>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</si>
  <si>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</si>
  <si>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</si>
  <si>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</si>
  <si>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</si>
  <si>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</si>
  <si>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</si>
  <si>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</si>
  <si>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</si>
  <si>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</si>
  <si>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</si>
  <si>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</si>
  <si>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</si>
  <si>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</si>
  <si>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</si>
  <si>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</si>
  <si>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</si>
  <si>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</si>
  <si>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</si>
  <si>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</si>
  <si>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</si>
  <si>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</si>
  <si>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</si>
  <si>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</si>
  <si>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</si>
  <si>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</si>
  <si>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</si>
  <si>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</si>
  <si>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</si>
  <si>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</si>
  <si>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</si>
  <si>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</si>
  <si>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</si>
  <si>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</si>
  <si>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</si>
  <si>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</si>
  <si>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</si>
  <si>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</si>
  <si>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</si>
  <si>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</si>
  <si>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</si>
  <si>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</si>
  <si>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</si>
  <si>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</si>
  <si>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</si>
  <si>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</si>
  <si>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</si>
  <si>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</si>
  <si>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</si>
  <si>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</si>
  <si>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</si>
  <si>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</si>
  <si>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</si>
  <si>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</si>
  <si>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</si>
  <si>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</si>
  <si>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</si>
  <si>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</si>
  <si>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</si>
  <si>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</si>
  <si>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</si>
  <si>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</si>
  <si>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</si>
  <si>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</si>
  <si>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</si>
  <si>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</si>
  <si>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</si>
  <si>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</si>
  <si>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</si>
  <si>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</si>
  <si>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</si>
  <si>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</si>
  <si>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</si>
  <si>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</si>
  <si>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</si>
  <si>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</si>
  <si>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</si>
  <si>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</si>
  <si>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</si>
  <si>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</si>
  <si>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</si>
  <si>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</si>
  <si>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</si>
  <si>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</si>
  <si>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</si>
  <si>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</si>
  <si>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</si>
  <si>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</si>
  <si>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</si>
  <si>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</si>
  <si>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</si>
  <si>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</si>
  <si>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</si>
  <si>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</si>
  <si>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</si>
  <si>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</si>
  <si>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</si>
  <si>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</si>
  <si>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</si>
  <si>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</si>
  <si>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</si>
  <si>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</si>
  <si>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</si>
  <si>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</si>
  <si>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</si>
  <si>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</si>
  <si>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</si>
  <si>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</si>
  <si>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</si>
  <si>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</si>
  <si>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</si>
  <si>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</si>
  <si>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</si>
  <si>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</si>
  <si>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</si>
  <si>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</si>
  <si>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</si>
  <si>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</si>
  <si>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</si>
  <si>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</si>
  <si>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</si>
  <si>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</si>
  <si>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</si>
  <si>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</si>
  <si>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</si>
  <si>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</si>
  <si>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</si>
  <si>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</si>
  <si>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</si>
  <si>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</si>
  <si>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</si>
  <si>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</si>
  <si>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</si>
  <si>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</si>
  <si>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</si>
  <si>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</si>
  <si>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</si>
  <si>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</si>
  <si>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</si>
  <si>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</si>
  <si>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</si>
  <si>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</si>
  <si>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</si>
  <si>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</si>
  <si>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</si>
  <si>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</si>
  <si>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</si>
  <si>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</si>
  <si>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</si>
  <si>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</si>
  <si>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</si>
  <si>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</si>
  <si>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</si>
  <si>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</si>
  <si>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</si>
  <si>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</si>
  <si>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</si>
  <si>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</si>
  <si>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</si>
  <si>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</si>
  <si>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</si>
  <si>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</si>
  <si>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</si>
  <si>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</si>
  <si>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</si>
  <si>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</si>
  <si>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</si>
  <si>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</si>
  <si>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</si>
  <si>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</si>
  <si>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</si>
  <si>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</si>
  <si>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</si>
  <si>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</si>
  <si>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</si>
  <si>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</si>
  <si>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</si>
  <si>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</si>
  <si>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</si>
  <si>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</si>
  <si>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</si>
  <si>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</si>
  <si>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</si>
  <si>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</si>
  <si>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</si>
  <si>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</si>
  <si>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</si>
  <si>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</si>
  <si>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</si>
  <si>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</si>
  <si>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</si>
  <si>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</si>
  <si>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</si>
  <si>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</si>
  <si>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</si>
  <si>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</si>
  <si>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</si>
  <si>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</si>
  <si>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</si>
  <si>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</si>
  <si>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</si>
  <si>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</si>
  <si>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</si>
  <si>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</si>
  <si>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</si>
  <si>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</si>
  <si>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</si>
  <si>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</si>
  <si>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</si>
  <si>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</si>
  <si>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</si>
  <si>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</si>
  <si>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</si>
  <si>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</si>
  <si>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</si>
  <si>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</si>
  <si>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</si>
  <si>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</si>
  <si>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</si>
  <si>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</si>
  <si>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</si>
  <si>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</si>
  <si>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</si>
  <si>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</si>
  <si>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</si>
  <si>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</si>
  <si>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</si>
  <si>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</si>
  <si>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</si>
  <si>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</si>
  <si>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</si>
  <si>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</si>
  <si>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</si>
  <si>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</si>
  <si>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</si>
  <si>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</si>
  <si>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</si>
  <si>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</si>
  <si>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</si>
  <si>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</si>
  <si>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</si>
  <si>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</si>
  <si>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</si>
  <si>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</si>
  <si>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</si>
  <si>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</si>
  <si>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</si>
  <si>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</si>
  <si>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</si>
  <si>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</si>
  <si>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</si>
  <si>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</si>
  <si>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</si>
  <si>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</si>
  <si>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</si>
  <si>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</si>
  <si>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</si>
  <si>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</si>
  <si>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</si>
  <si>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</si>
  <si>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</si>
  <si>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</si>
  <si>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</si>
  <si>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</si>
  <si>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</si>
  <si>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</si>
  <si>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</si>
  <si>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</si>
  <si>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</si>
  <si>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</si>
  <si>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</si>
  <si>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</si>
  <si>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</si>
  <si>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</si>
  <si>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</si>
  <si>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</si>
  <si>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</si>
  <si>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</si>
  <si>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</si>
  <si>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</si>
  <si>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</si>
  <si>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</si>
  <si>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</si>
  <si>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</si>
  <si>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</si>
  <si>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</si>
  <si>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</si>
  <si>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</si>
  <si>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</si>
  <si>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</si>
  <si>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</si>
  <si>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</si>
  <si>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</si>
  <si>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</si>
  <si>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</si>
  <si>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</si>
  <si>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</si>
  <si>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</si>
  <si>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</si>
  <si>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</si>
  <si>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</si>
  <si>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</si>
  <si>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</si>
  <si>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</si>
  <si>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</si>
  <si>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</si>
  <si>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</si>
  <si>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</si>
  <si>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</si>
  <si>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</si>
  <si>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</si>
  <si>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</si>
  <si>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</si>
  <si>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</si>
  <si>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</si>
  <si>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</si>
  <si>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</si>
  <si>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</si>
  <si>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</si>
  <si>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</si>
  <si>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</si>
  <si>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</si>
  <si>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</si>
  <si>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</si>
  <si>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</si>
  <si>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</si>
  <si>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</si>
  <si>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</si>
  <si>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</si>
  <si>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</si>
  <si>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</si>
  <si>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</si>
  <si>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</si>
  <si>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</si>
  <si>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</si>
  <si>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</si>
  <si>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</si>
  <si>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</si>
  <si>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</si>
  <si>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</si>
  <si>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</si>
  <si>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</si>
  <si>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</si>
  <si>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</si>
  <si>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</si>
  <si>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</si>
  <si>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</si>
  <si>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</si>
  <si>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</si>
  <si>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</si>
  <si>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</si>
  <si>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</si>
  <si>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</si>
  <si>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</si>
  <si>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</si>
  <si>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</si>
  <si>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</si>
  <si>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</si>
  <si>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</si>
  <si>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</si>
  <si>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</si>
  <si>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</si>
  <si>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</si>
  <si>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</si>
  <si>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</si>
  <si>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</si>
  <si>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</si>
  <si>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</si>
  <si>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</si>
  <si>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</si>
  <si>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</si>
  <si>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</si>
  <si>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</si>
  <si>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</si>
  <si>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</si>
  <si>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</si>
  <si>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</si>
  <si>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</si>
  <si>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</si>
  <si>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</si>
  <si>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</si>
  <si>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</si>
  <si>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</si>
  <si>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</si>
  <si>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</si>
  <si>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</si>
  <si>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</si>
  <si>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</si>
  <si>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</si>
  <si>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</si>
  <si>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</si>
  <si>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</si>
  <si>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</si>
  <si>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</si>
  <si>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</si>
  <si>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</si>
  <si>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</si>
  <si>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</si>
  <si>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</si>
  <si>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</si>
  <si>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</si>
  <si>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</si>
  <si>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</si>
  <si>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</si>
  <si>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</si>
  <si>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</si>
  <si>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</si>
  <si>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</si>
  <si>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</si>
  <si>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</si>
  <si>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</si>
  <si>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</si>
  <si>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</si>
  <si>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</si>
  <si>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</si>
  <si>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</si>
  <si>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</si>
  <si>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</si>
  <si>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</si>
  <si>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</si>
  <si>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</si>
  <si>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</si>
  <si>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</si>
  <si>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</si>
  <si>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</si>
  <si>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</si>
  <si>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</si>
  <si>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</si>
  <si>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</si>
  <si>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</si>
  <si>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</si>
  <si>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</si>
  <si>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</si>
  <si>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</si>
  <si>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</si>
  <si>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</si>
  <si>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</si>
  <si>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</si>
  <si>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</si>
  <si>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</si>
  <si>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</si>
  <si>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</si>
  <si>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</si>
  <si>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</si>
  <si>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</si>
  <si>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</si>
  <si>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</si>
  <si>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</si>
  <si>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</si>
  <si>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</si>
  <si>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</si>
  <si>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</si>
  <si>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</si>
  <si>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</si>
  <si>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</si>
  <si>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</si>
  <si>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</si>
  <si>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</si>
  <si>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</si>
  <si>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</si>
  <si>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</si>
  <si>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</si>
  <si>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</si>
  <si>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</si>
  <si>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</si>
  <si>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</si>
  <si>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</si>
  <si>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</si>
  <si>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</si>
  <si>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</si>
  <si>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</si>
  <si>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</si>
  <si>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</si>
  <si>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</si>
  <si>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</si>
  <si>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</si>
  <si>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</si>
  <si>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</si>
  <si>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</si>
  <si>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</si>
  <si>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</si>
  <si>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</si>
  <si>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</si>
  <si>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</si>
  <si>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</si>
  <si>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</si>
  <si>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</si>
  <si>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</si>
  <si>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</si>
  <si>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</si>
  <si>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</si>
  <si>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</si>
  <si>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</si>
  <si>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</si>
  <si>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</si>
  <si>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</si>
  <si>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</si>
  <si>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</si>
  <si>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</si>
  <si>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</si>
  <si>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</si>
  <si>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</si>
  <si>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</si>
  <si>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</si>
  <si>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</si>
  <si>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</si>
  <si>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</si>
  <si>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</si>
  <si>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</si>
  <si>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</si>
  <si>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</si>
  <si>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</si>
  <si>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</si>
  <si>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</si>
  <si>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</si>
  <si>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</si>
  <si>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</si>
  <si>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</si>
  <si>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</si>
  <si>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</si>
  <si>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</si>
  <si>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</si>
  <si>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</si>
  <si>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</si>
  <si>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</si>
  <si>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</si>
  <si>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</si>
  <si>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</si>
  <si>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</si>
  <si>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</si>
  <si>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</si>
  <si>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</si>
  <si>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</si>
  <si>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</si>
  <si>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</si>
  <si>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</si>
  <si>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</si>
  <si>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</si>
  <si>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</si>
  <si>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</si>
  <si>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</si>
  <si>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</si>
  <si>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</si>
  <si>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</si>
  <si>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</si>
  <si>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</si>
  <si>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</si>
  <si>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</si>
  <si>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</si>
  <si>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</si>
  <si>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</si>
  <si>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</si>
  <si>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</si>
  <si>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</si>
  <si>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</si>
  <si>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</si>
  <si>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</si>
  <si>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</si>
  <si>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</si>
  <si>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</si>
  <si>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</si>
  <si>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</si>
  <si>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</si>
  <si>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</si>
  <si>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</si>
  <si>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</si>
  <si>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</si>
  <si>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</si>
  <si>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</si>
  <si>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</si>
  <si>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</si>
  <si>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</si>
  <si>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</si>
  <si>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</si>
  <si>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</si>
  <si>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</si>
  <si>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</si>
  <si>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</si>
  <si>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</si>
  <si>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</si>
  <si>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</si>
  <si>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</si>
  <si>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</si>
  <si>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</si>
  <si>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</si>
  <si>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</si>
  <si>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</si>
  <si>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</si>
  <si>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</si>
  <si>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</si>
  <si>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</si>
  <si>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</si>
  <si>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</si>
  <si>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</si>
  <si>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</si>
  <si>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</si>
  <si>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</si>
  <si>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</si>
  <si>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</si>
  <si>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</si>
  <si>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</si>
  <si>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</si>
  <si>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</si>
  <si>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</si>
  <si>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</si>
  <si>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</si>
  <si>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</si>
  <si>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</si>
  <si>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</si>
  <si>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</si>
  <si>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</si>
  <si>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</si>
  <si>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</si>
  <si>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</si>
  <si>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</si>
  <si>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</si>
  <si>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</si>
  <si>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</si>
  <si>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</si>
  <si>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</si>
  <si>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</si>
  <si>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</si>
  <si>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</si>
  <si>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</si>
  <si>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</si>
  <si>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</si>
  <si>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</si>
  <si>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</si>
  <si>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</si>
  <si>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</si>
  <si>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</si>
  <si>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</si>
  <si>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</si>
  <si>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</si>
  <si>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</si>
  <si>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</si>
  <si>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</si>
  <si>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</si>
  <si>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</si>
  <si>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</si>
  <si>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</si>
  <si>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</si>
  <si>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</si>
  <si>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</si>
  <si>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</si>
  <si>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</si>
  <si>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</si>
  <si>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</si>
  <si>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</si>
  <si>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</si>
  <si>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</si>
  <si>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</si>
  <si>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</si>
  <si>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</si>
  <si>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</si>
  <si>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</si>
  <si>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</si>
  <si>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</si>
  <si>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</si>
  <si>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</si>
  <si>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</si>
  <si>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</si>
  <si>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</si>
  <si>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</si>
  <si>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</si>
  <si>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</si>
  <si>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</si>
  <si>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</si>
  <si>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</si>
  <si>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</si>
  <si>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</si>
  <si>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</si>
  <si>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</si>
  <si>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</si>
  <si>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</si>
  <si>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</si>
  <si>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</si>
  <si>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</si>
  <si>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</si>
  <si>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</si>
  <si>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</si>
  <si>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</si>
  <si>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</si>
  <si>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</si>
  <si>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</si>
  <si>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</si>
  <si>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</si>
  <si>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</si>
  <si>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</si>
  <si>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</si>
  <si>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</si>
  <si>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</si>
  <si>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</si>
  <si>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</si>
  <si>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</si>
  <si>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</si>
  <si>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</si>
  <si>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</si>
  <si>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</si>
  <si>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</si>
  <si>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</si>
  <si>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</si>
  <si>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</si>
  <si>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</si>
  <si>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</si>
  <si>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</si>
  <si>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</si>
  <si>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</si>
  <si>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</si>
  <si>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</si>
  <si>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</si>
  <si>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</si>
  <si>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</si>
  <si>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</si>
  <si>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</si>
  <si>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</si>
  <si>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</si>
  <si>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</si>
  <si>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</si>
  <si>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</si>
  <si>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</si>
  <si>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</si>
  <si>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</si>
  <si>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</si>
  <si>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</si>
  <si>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</si>
  <si>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</si>
  <si>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</si>
  <si>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</si>
  <si>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</si>
  <si>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</si>
  <si>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</si>
  <si>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</si>
  <si>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</si>
  <si>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</si>
  <si>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</si>
  <si>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</si>
  <si>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</si>
  <si>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</si>
  <si>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</si>
  <si>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</si>
  <si>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</si>
  <si>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</si>
  <si>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</si>
  <si>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</si>
  <si>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</si>
  <si>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</si>
  <si>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</si>
  <si>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</si>
  <si>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</si>
  <si>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</si>
  <si>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</si>
  <si>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</si>
  <si>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</si>
  <si>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</si>
  <si>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</si>
  <si>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</si>
  <si>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</si>
  <si>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</si>
  <si>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</si>
  <si>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</si>
  <si>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</si>
  <si>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</si>
  <si>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</si>
  <si>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</si>
  <si>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</si>
  <si>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</si>
  <si>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</si>
  <si>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</si>
  <si>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</si>
  <si>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</si>
  <si>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</si>
  <si>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</si>
  <si>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</si>
  <si>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</si>
  <si>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</si>
  <si>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</si>
  <si>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</si>
  <si>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</si>
  <si>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</si>
  <si>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</si>
  <si>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</si>
  <si>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</si>
  <si>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</si>
  <si>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</si>
  <si>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</si>
  <si>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</si>
  <si>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</si>
  <si>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</si>
  <si>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</si>
  <si>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</si>
  <si>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</si>
  <si>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</si>
  <si>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</si>
  <si>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</si>
  <si>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</si>
  <si>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</si>
  <si>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</si>
  <si>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</si>
  <si>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</si>
  <si>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</si>
  <si>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</si>
  <si>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</si>
  <si>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</si>
  <si>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</si>
  <si>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</si>
  <si>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</si>
  <si>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</si>
  <si>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</si>
  <si>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</si>
  <si>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</si>
  <si>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</si>
  <si>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</si>
  <si>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</si>
  <si>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</si>
  <si>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</si>
  <si>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</si>
  <si>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</si>
  <si>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</si>
  <si>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</si>
  <si>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</si>
  <si>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</si>
  <si>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</si>
  <si>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</si>
  <si>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</si>
  <si>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</si>
  <si>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</si>
  <si>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</si>
  <si>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</si>
  <si>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</si>
  <si>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</si>
  <si>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</si>
  <si>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</si>
  <si>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</si>
  <si>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</si>
  <si>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</si>
  <si>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</si>
  <si>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</si>
  <si>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</si>
  <si>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</si>
  <si>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</si>
  <si>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</si>
  <si>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</si>
  <si>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</si>
  <si>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</si>
  <si>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</si>
  <si>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</si>
  <si>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</si>
  <si>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</si>
  <si>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</si>
  <si>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</si>
  <si>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</si>
  <si>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</si>
  <si>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</si>
  <si>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</si>
  <si>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</si>
  <si>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</si>
  <si>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</si>
  <si>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</si>
  <si>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</si>
  <si>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</si>
  <si>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</si>
  <si>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</si>
  <si>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</si>
  <si>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</si>
  <si>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</si>
  <si>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</si>
  <si>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</si>
  <si>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</si>
  <si>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</si>
  <si>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</si>
  <si>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</si>
  <si>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</si>
  <si>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</si>
  <si>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</si>
  <si>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</si>
  <si>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</si>
  <si>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</si>
  <si>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</si>
  <si>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</si>
  <si>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</si>
  <si>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</si>
  <si>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</si>
  <si>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</si>
  <si>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</si>
  <si>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</si>
  <si>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</si>
  <si>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</si>
  <si>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</si>
  <si>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</si>
  <si>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</si>
  <si>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</si>
  <si>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</si>
  <si>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</si>
  <si>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</si>
  <si>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</si>
  <si>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</si>
  <si>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</si>
  <si>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</si>
  <si>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</si>
  <si>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</si>
  <si>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</si>
  <si>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</si>
  <si>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</si>
  <si>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</si>
  <si>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</si>
  <si>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</si>
  <si>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</si>
  <si>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</si>
  <si>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</si>
  <si>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</si>
  <si>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</si>
  <si>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</si>
  <si>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</si>
  <si>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</si>
  <si>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</si>
  <si>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</si>
  <si>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</si>
  <si>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</si>
  <si>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</si>
  <si>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</si>
  <si>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</si>
  <si>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</si>
  <si>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</si>
  <si>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</si>
  <si>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</si>
  <si>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</si>
  <si>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</si>
  <si>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</si>
  <si>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</si>
  <si>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</si>
  <si>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</si>
  <si>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</si>
  <si>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</si>
  <si>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</si>
  <si>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</si>
  <si>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</si>
  <si>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</si>
  <si>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</si>
  <si>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</si>
  <si>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</si>
  <si>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</si>
  <si>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</si>
  <si>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</si>
  <si>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</si>
  <si>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</si>
  <si>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</si>
  <si>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</si>
  <si>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</si>
  <si>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</si>
  <si>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</si>
  <si>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</si>
  <si>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</si>
  <si>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</si>
  <si>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</si>
  <si>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</si>
  <si>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</si>
  <si>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</si>
  <si>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</si>
  <si>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</si>
  <si>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</si>
  <si>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</si>
  <si>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</si>
  <si>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</si>
  <si>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</si>
  <si>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</si>
  <si>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</si>
  <si>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</si>
  <si>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</si>
  <si>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</si>
  <si>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</si>
  <si>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</si>
  <si>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</si>
  <si>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</si>
  <si>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</si>
  <si>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</si>
  <si>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</si>
  <si>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</si>
  <si>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</si>
  <si>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</si>
  <si>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</si>
  <si>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</si>
  <si>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</si>
  <si>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</si>
  <si>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</si>
  <si>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</si>
  <si>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</si>
  <si>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</si>
  <si>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</si>
  <si>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</si>
  <si>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</si>
  <si>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</si>
  <si>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</si>
  <si>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</si>
  <si>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</si>
  <si>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</si>
  <si>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</si>
  <si>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</si>
  <si>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</si>
  <si>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</si>
  <si>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</si>
  <si>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</si>
  <si>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</si>
  <si>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</si>
  <si>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</si>
  <si>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</si>
  <si>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</si>
  <si>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</si>
  <si>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</si>
  <si>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</si>
  <si>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</si>
  <si>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</si>
  <si>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</si>
  <si>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</si>
  <si>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</si>
  <si>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</si>
  <si>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</si>
  <si>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</si>
  <si>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</si>
  <si>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</si>
  <si>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</si>
  <si>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</si>
  <si>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</si>
  <si>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</si>
  <si>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</si>
  <si>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</si>
  <si>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</si>
  <si>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</si>
  <si>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</si>
  <si>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</si>
  <si>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</si>
  <si>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</si>
  <si>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</si>
  <si>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</si>
  <si>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</si>
  <si>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</si>
  <si>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</si>
  <si>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</si>
  <si>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</si>
  <si>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</si>
  <si>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</si>
  <si>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</si>
  <si>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</si>
  <si>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</si>
  <si>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</si>
  <si>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</si>
  <si>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</si>
  <si>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</si>
  <si>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</si>
  <si>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</si>
  <si>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</si>
  <si>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</si>
  <si>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</si>
  <si>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</si>
  <si>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</si>
  <si>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</si>
  <si>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</si>
  <si>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</si>
  <si>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</si>
  <si>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</si>
  <si>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</si>
  <si>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</si>
  <si>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</si>
  <si>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</si>
  <si>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</si>
  <si>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</si>
  <si>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</si>
  <si>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</si>
  <si>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</si>
  <si>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</si>
  <si>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</si>
  <si>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</si>
  <si>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</si>
  <si>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</si>
  <si>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</si>
  <si>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</si>
  <si>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</si>
  <si>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</si>
  <si>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</si>
  <si>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</si>
  <si>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</si>
  <si>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</si>
  <si>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</si>
  <si>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</si>
  <si>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</si>
  <si>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</si>
  <si>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</si>
  <si>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</si>
  <si>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</si>
  <si>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</si>
  <si>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</si>
  <si>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</si>
  <si>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</si>
  <si>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</si>
  <si>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</si>
  <si>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</si>
  <si>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</si>
  <si>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</si>
  <si>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</si>
  <si>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</si>
  <si>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</si>
  <si>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</si>
  <si>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</si>
  <si>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</si>
  <si>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</si>
  <si>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</si>
  <si>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</si>
  <si>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</si>
  <si>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</si>
  <si>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</si>
  <si>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</si>
  <si>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</si>
  <si>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</si>
  <si>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</si>
  <si>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</si>
  <si>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</si>
  <si>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</si>
  <si>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</si>
  <si>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</si>
  <si>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</si>
  <si>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</si>
  <si>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</si>
  <si>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</si>
  <si>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</si>
  <si>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</si>
  <si>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</si>
  <si>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</si>
  <si>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</si>
  <si>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</si>
  <si>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</si>
  <si>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</si>
  <si>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</si>
  <si>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</si>
  <si>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</si>
  <si>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</si>
  <si>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</si>
  <si>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</si>
  <si>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</si>
  <si>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</si>
  <si>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</si>
  <si>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</si>
  <si>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</si>
  <si>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</si>
  <si>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</si>
  <si>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</si>
  <si>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</si>
  <si>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</si>
  <si>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</si>
  <si>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</si>
  <si>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</si>
  <si>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</si>
  <si>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</si>
  <si>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</si>
  <si>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</si>
  <si>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</si>
  <si>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</si>
  <si>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</si>
  <si>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</si>
  <si>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</si>
  <si>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</si>
  <si>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</si>
  <si>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</si>
  <si>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</si>
  <si>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</si>
  <si>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</si>
  <si>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</si>
  <si>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</si>
  <si>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</si>
  <si>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</si>
  <si>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</si>
  <si>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</si>
  <si>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</si>
  <si>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</si>
  <si>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</si>
  <si>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</si>
  <si>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</si>
  <si>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</si>
  <si>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</si>
  <si>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</si>
  <si>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</si>
  <si>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</si>
  <si>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</si>
  <si>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</si>
  <si>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</si>
  <si>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</si>
  <si>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</si>
  <si>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</si>
  <si>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</si>
  <si>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</si>
  <si>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</si>
  <si>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</si>
  <si>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</si>
  <si>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</si>
  <si>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</si>
  <si>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</si>
  <si>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</si>
  <si>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</si>
  <si>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</si>
  <si>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</si>
  <si>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</si>
  <si>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</si>
  <si>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</si>
  <si>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</si>
  <si>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</si>
  <si>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</si>
  <si>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</si>
  <si>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</si>
  <si>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</si>
  <si>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</si>
  <si>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</si>
  <si>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</si>
  <si>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</si>
  <si>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</si>
  <si>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</si>
  <si>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</si>
  <si>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</si>
  <si>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</si>
  <si>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</si>
  <si>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</si>
  <si>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</si>
  <si>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</si>
  <si>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</si>
  <si>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</si>
  <si>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</si>
  <si>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</si>
  <si>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</si>
  <si>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</si>
  <si>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</si>
  <si>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</si>
  <si>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</si>
  <si>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</si>
  <si>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</si>
  <si>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</si>
  <si>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</si>
  <si>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</si>
  <si>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</si>
  <si>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</si>
  <si>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</si>
  <si>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</si>
  <si>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</si>
  <si>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</si>
  <si>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</si>
  <si>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</si>
  <si>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</si>
  <si>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</si>
  <si>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</si>
  <si>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</si>
  <si>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</si>
  <si>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</si>
  <si>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</si>
  <si>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</si>
  <si>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</si>
  <si>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</si>
  <si>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</si>
  <si>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</si>
  <si>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</si>
  <si>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</si>
  <si>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</si>
  <si>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</si>
  <si>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</si>
  <si>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</si>
  <si>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</si>
  <si>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</si>
  <si>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</si>
  <si>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</si>
  <si>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</si>
  <si>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</si>
  <si>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</si>
  <si>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</si>
  <si>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</si>
  <si>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</si>
  <si>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</si>
  <si>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</si>
  <si>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</si>
  <si>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</si>
  <si>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</si>
  <si>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</si>
  <si>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</si>
  <si>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</si>
  <si>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</si>
  <si>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</si>
  <si>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</si>
  <si>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</si>
  <si>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</si>
  <si>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</si>
  <si>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</si>
  <si>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</si>
  <si>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</si>
  <si>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</si>
  <si>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</si>
  <si>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</si>
  <si>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</si>
  <si>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</si>
  <si>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</si>
  <si>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</si>
  <si>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</si>
  <si>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</si>
  <si>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</si>
  <si>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</si>
  <si>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</si>
  <si>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</si>
  <si>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</si>
  <si>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</si>
  <si>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</si>
  <si>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</si>
  <si>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</si>
  <si>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</si>
  <si>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</si>
  <si>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</si>
  <si>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</si>
  <si>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</si>
  <si>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</si>
  <si>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</si>
  <si>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</si>
  <si>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</si>
  <si>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</si>
  <si>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</si>
  <si>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</si>
  <si>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</si>
  <si>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</si>
  <si>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</si>
  <si>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</si>
  <si>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</si>
  <si>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</si>
  <si>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</si>
  <si>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</si>
  <si>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</si>
  <si>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</si>
  <si>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</si>
  <si>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</si>
  <si>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</si>
  <si>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</si>
  <si>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</si>
  <si>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</si>
  <si>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</si>
  <si>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</si>
  <si>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</si>
  <si>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</si>
  <si>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</si>
  <si>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</si>
  <si>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</si>
  <si>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</si>
  <si>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</si>
  <si>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</si>
  <si>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</si>
  <si>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</si>
  <si>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</si>
  <si>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</si>
  <si>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</si>
  <si>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</si>
  <si>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</si>
  <si>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</si>
  <si>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</si>
  <si>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</si>
  <si>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</si>
  <si>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</si>
  <si>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</si>
  <si>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</si>
  <si>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</si>
  <si>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</si>
  <si>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</si>
  <si>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</si>
  <si>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</si>
  <si>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</si>
  <si>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</si>
  <si>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</si>
  <si>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</si>
  <si>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</si>
  <si>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</si>
  <si>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</si>
  <si>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</si>
  <si>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</si>
  <si>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</si>
  <si>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</si>
  <si>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</si>
  <si>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</si>
  <si>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</si>
  <si>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</si>
  <si>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</si>
  <si>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</si>
  <si>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</si>
  <si>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</si>
  <si>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</si>
  <si>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</si>
  <si>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</si>
  <si>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</si>
  <si>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</si>
  <si>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</si>
  <si>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</si>
  <si>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</si>
  <si>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</si>
  <si>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</si>
  <si>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</si>
  <si>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</si>
  <si>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</si>
  <si>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</si>
  <si>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</si>
  <si>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</si>
  <si>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</si>
  <si>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</si>
  <si>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</si>
  <si>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</si>
  <si>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</si>
  <si>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</si>
  <si>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</si>
  <si>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</si>
  <si>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</si>
  <si>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</si>
  <si>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</si>
  <si>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</si>
  <si>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</si>
  <si>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</si>
  <si>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</si>
  <si>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</si>
  <si>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</si>
  <si>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</si>
  <si>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</si>
  <si>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</si>
  <si>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</si>
  <si>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</si>
  <si>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</si>
  <si>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</si>
  <si>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</si>
  <si>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</si>
  <si>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</si>
  <si>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</si>
  <si>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</si>
  <si>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</si>
  <si>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</si>
  <si>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</si>
  <si>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</si>
  <si>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</si>
  <si>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</si>
  <si>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</si>
  <si>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</si>
  <si>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</si>
  <si>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</si>
  <si>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</si>
  <si>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</si>
  <si>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</si>
  <si>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</si>
  <si>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</si>
  <si>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</si>
  <si>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</si>
  <si>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</si>
  <si>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</si>
  <si>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</si>
  <si>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</si>
  <si>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</si>
  <si>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</si>
  <si>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</si>
  <si>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</si>
  <si>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</si>
  <si>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</si>
  <si>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</si>
  <si>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</si>
  <si>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</si>
  <si>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</si>
  <si>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</si>
  <si>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</si>
  <si>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</si>
  <si>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</si>
  <si>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</si>
  <si>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</si>
  <si>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</si>
  <si>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</si>
  <si>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</si>
  <si>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</si>
  <si>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</si>
  <si>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</si>
  <si>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</si>
  <si>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</si>
  <si>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</si>
  <si>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</si>
  <si>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</si>
  <si>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</si>
  <si>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</si>
  <si>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</si>
  <si>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</si>
  <si>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</si>
  <si>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</si>
  <si>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</si>
  <si>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</si>
  <si>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</si>
  <si>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</si>
  <si>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</si>
  <si>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</si>
  <si>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</si>
  <si>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</si>
  <si>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</si>
  <si>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</si>
  <si>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</si>
  <si>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</si>
  <si>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</si>
  <si>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</si>
  <si>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</si>
  <si>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</si>
  <si>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</si>
  <si>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</si>
  <si>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</si>
  <si>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</si>
  <si>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</si>
  <si>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</si>
  <si>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</si>
  <si>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</si>
  <si>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</si>
  <si>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</si>
  <si>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</si>
  <si>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</si>
  <si>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</si>
  <si>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</si>
  <si>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</si>
  <si>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</si>
  <si>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</si>
  <si>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</si>
  <si>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</si>
  <si>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</si>
  <si>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</si>
  <si>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</si>
  <si>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</si>
  <si>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</si>
  <si>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</si>
  <si>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</si>
  <si>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</si>
  <si>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</si>
  <si>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</si>
  <si>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</si>
  <si>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</si>
  <si>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</si>
  <si>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</si>
  <si>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</si>
  <si>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</si>
  <si>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</si>
  <si>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</si>
  <si>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</si>
  <si>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</si>
  <si>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</si>
  <si>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</si>
  <si>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</si>
  <si>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</si>
  <si>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</si>
  <si>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</si>
  <si>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</si>
  <si>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</si>
  <si>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</si>
  <si>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</si>
  <si>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</si>
  <si>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</si>
  <si>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</si>
  <si>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</si>
  <si>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</si>
  <si>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</si>
  <si>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</si>
  <si>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</si>
  <si>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</si>
  <si>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</si>
  <si>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</si>
  <si>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</si>
  <si>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</si>
  <si>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</si>
  <si>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</si>
  <si>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</si>
  <si>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</si>
  <si>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</si>
  <si>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</si>
  <si>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</si>
  <si>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</si>
  <si>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</si>
  <si>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</si>
  <si>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</si>
  <si>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</si>
  <si>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</si>
  <si>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</si>
  <si>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</si>
  <si>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</si>
  <si>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</si>
  <si>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</si>
  <si>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</si>
  <si>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</si>
  <si>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</si>
  <si>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</si>
  <si>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</si>
  <si>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</si>
  <si>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</si>
  <si>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</si>
  <si>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</si>
  <si>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</si>
  <si>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</si>
  <si>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</si>
  <si>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</si>
  <si>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</si>
  <si>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</si>
  <si>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</si>
  <si>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</si>
  <si>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</si>
  <si>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</si>
  <si>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</si>
  <si>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</si>
  <si>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</si>
  <si>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</si>
  <si>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</si>
  <si>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</si>
  <si>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</si>
  <si>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</si>
  <si>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</si>
  <si>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</si>
  <si>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</si>
  <si>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</si>
  <si>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</si>
  <si>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</si>
  <si>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</si>
  <si>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</si>
  <si>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</si>
  <si>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</si>
  <si>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</si>
  <si>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</si>
  <si>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</si>
  <si>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</si>
  <si>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</si>
  <si>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</si>
  <si>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</si>
  <si>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</si>
  <si>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</si>
  <si>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</si>
  <si>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</si>
  <si>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</si>
  <si>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</si>
  <si>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</si>
  <si>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</si>
  <si>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</si>
  <si>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</si>
  <si>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</si>
  <si>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</si>
  <si>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</si>
  <si>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</si>
  <si>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</si>
  <si>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</si>
  <si>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</si>
  <si>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</si>
  <si>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</si>
  <si>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</si>
  <si>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</si>
  <si>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</si>
  <si>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</si>
  <si>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</si>
  <si>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</si>
  <si>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</si>
  <si>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</si>
  <si>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</si>
  <si>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</si>
  <si>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</si>
  <si>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</si>
  <si>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</si>
  <si>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</si>
  <si>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</si>
  <si>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</si>
  <si>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</si>
  <si>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</si>
  <si>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</si>
  <si>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</si>
  <si>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</si>
  <si>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</si>
  <si>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</si>
  <si>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</si>
  <si>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</si>
  <si>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</si>
  <si>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</si>
  <si>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</si>
  <si>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</si>
  <si>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</si>
  <si>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</si>
  <si>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</si>
  <si>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</si>
  <si>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</si>
  <si>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</si>
  <si>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</si>
  <si>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</si>
  <si>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</si>
  <si>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</si>
  <si>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</si>
  <si>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</si>
  <si>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</si>
  <si>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</si>
  <si>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</si>
  <si>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</si>
  <si>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</si>
  <si>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</si>
  <si>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</si>
  <si>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</si>
  <si>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</si>
  <si>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</si>
  <si>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</si>
  <si>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</si>
  <si>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</si>
  <si>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</si>
  <si>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</si>
  <si>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</si>
  <si>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</si>
  <si>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</si>
  <si>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</si>
  <si>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</si>
  <si>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</si>
  <si>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</si>
  <si>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</si>
  <si>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</si>
  <si>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</si>
  <si>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</si>
  <si>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</si>
  <si>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</si>
  <si>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</si>
  <si>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</si>
  <si>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</si>
  <si>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</si>
  <si>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</si>
  <si>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</si>
  <si>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</si>
  <si>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</si>
  <si>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</si>
  <si>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</si>
  <si>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</si>
  <si>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</si>
  <si>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</si>
  <si>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</si>
  <si>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</si>
  <si>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</si>
  <si>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</si>
  <si>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</si>
  <si>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</si>
  <si>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</si>
  <si>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</si>
  <si>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</si>
  <si>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</si>
  <si>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</si>
  <si>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</si>
  <si>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</si>
  <si>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</si>
  <si>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</si>
  <si>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</si>
  <si>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</si>
  <si>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</si>
  <si>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</si>
  <si>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</si>
  <si>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</si>
  <si>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</si>
  <si>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</si>
  <si>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</si>
  <si>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</si>
  <si>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</si>
  <si>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</si>
  <si>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</si>
  <si>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</si>
  <si>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</si>
  <si>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</si>
  <si>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</si>
  <si>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</si>
  <si>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</si>
  <si>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</si>
  <si>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</si>
  <si>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</si>
  <si>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</si>
  <si>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</si>
  <si>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</si>
  <si>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</si>
  <si>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</si>
  <si>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</si>
  <si>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</si>
  <si>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</si>
  <si>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</si>
  <si>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</si>
  <si>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</si>
  <si>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</si>
  <si>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</si>
  <si>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</si>
  <si>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</si>
  <si>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</si>
  <si>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</si>
  <si>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</si>
  <si>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</si>
  <si>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</si>
  <si>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</si>
  <si>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</si>
  <si>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</si>
  <si>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</si>
  <si>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</si>
  <si>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</si>
  <si>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</si>
  <si>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</si>
  <si>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</si>
  <si>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</si>
  <si>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</si>
  <si>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</si>
  <si>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</si>
  <si>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</si>
  <si>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</si>
  <si>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</si>
  <si>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</si>
  <si>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</si>
  <si>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</si>
  <si>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</si>
  <si>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</si>
  <si>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</si>
  <si>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</si>
  <si>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</si>
  <si>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</si>
  <si>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</si>
  <si>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</si>
  <si>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</si>
  <si>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</si>
  <si>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</si>
  <si>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</si>
  <si>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</si>
  <si>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</si>
  <si>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</si>
  <si>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</si>
  <si>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</si>
  <si>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</si>
  <si>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</si>
  <si>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</si>
  <si>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</si>
  <si>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</si>
  <si>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</si>
  <si>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
  </si>
  <si>
    <t>PL</t>
  </si>
  <si>
    <t>Brak informacji w tym zakresie.</t>
  </si>
  <si>
    <t>W związku ze zmianą ustawy z dnia 11 marca 2004 r. o podatku od towarów i usług (Dz. U. z 2022, poz. 931, ze zm.) od dnia 1 listopada 2019 r. obrót uprawnieniami do emisji nie jest już objęty mechanizmem odwrotnego obciążenia. Zgodnie z art. 108a ust. 1a tej ustawy, przy dokonywaniu płatności za nabyte towary lub usługi wymienione w załączniku nr 15 do ustawy (w tym także uprawnienia do emisji), udokumentowane fakturą, w której kwota należności ogółem przekracza 15 000 zł, podatnicy są obowiązani zastosować mechanizm podzielonej płatności. 
Brak możliwości udzielenia jednoznacznej odpowiedzi TAK/NIE na połączone pytanie o opodatkowanie wydania i transakcji uprawnieniami, ponieważ w PL jedynie transakcje na rynku wtórnym obciążone są podatkiem VAT.</t>
  </si>
  <si>
    <t>Decyzja Głównego Inspektora Ochrony Środowiska z dnia 11 czerwca 2021 r. nakładająca karę pieniężną w wysokości 50 000 zł (10 689.01 euro) za niezłożenie w terminie raportu na temat wielkości emisji lub sprawozdania z weryfikacji za rok 2019. Do przeliczenia kary na euro przyjęto kurs średni NBP z dnia 4 maja 2021 r., który wynosił 4,6777 PLN/EURO.</t>
  </si>
  <si>
    <t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operatora statku powietrznego administracyjnej kary pieniężnej nie zwalnia go od rozliczenia wielkości emisji. Do przeliczenia kar na euro przyjęto kurs średni NBP z dnia 4 maja 2022 r., który wynosił 4,6777 PLN/EURO. </t>
  </si>
  <si>
    <t>(1) Decyzja Śląskiego Wojewódzkiego Inspektora Ochrony Środowiska z dnia 16 września 2021 r. nakładająca karę pieniężną w wysokości 5 000 zł (1 068.90 euro) za niezłożenie w terminie raportu na temat wielkości emisji lub sprawozdania z weryfikacji za rok 2020.
(2) Decyzja Podlaskiego Wojewódzkiego Inspektora Ochrony Środowiska z dnia 21 grudnia 2021 r. nakładająca karę pieniężną w wysokości 5 000 zł (1 068.90 euro) za niezłożenie w terminie raportu na temat wielkości emisji lub sprawozdania z weryfikacji za rok 2020.
(3) Decyzja Małopolskiego Wojewódzkiego Inspektora Ochrony Środowiska z dnia 12 kwietnia 2021 r. nakładająca karę pieniężną w wysokości 5 000 zł (1 068.90 euro) za niezłożenie w terminie raportu na temat wielkości emisji lub sprawozdania z weryfikacji za rok 2019.
(4) Decyzja Śląskiego Wojewódzkiego Inspektora Ochrony Środowiska z dnia 23 września 2021 r. nakładająca karę pieniężną w wysokości 5 000 zł (1 068.90 euro) za niezłożenie w terminie raportu na temat wielkości emisji lub sprawozdania z weryfikacji za rok 2020.
(5) Decyzja Śląskiego Wojewódzkiego Inspektora Ochrony Środowiska z dnia 13 października 2021 r. nakładająca karę pieniężną w wysokości 5 000 zł (1 068.90 euro) za niezłożenie w terminie raportu na temat wielkości emisji lub sprawozdania z weryfikacji za rok 2020.
(6) Decyzja Małopolskiego Wojewódzkiego Inspektora Ochrony Środowiska z dnia 13 kwietnia 2021 r. nakładająca karę pieniężną w wysokości 18 092 827 zł (3 867 889.56 euro) za niedokonanie w terminie rozliczenia wielkości emisji za lata 2018 i 2019. Do przeliczenia kar na euro przyjęto kurs średni NBP z dnia 4 maja 2021 r., który wynosił 4,6777 PLN/EURO.</t>
  </si>
  <si>
    <t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prowadzącego instalację administracyjnej kary pieniężnej nie zwalnia go od rozliczenia wielkości emisji. Do przeliczenia kar na euro przyjęto kurs średni NBP z dnia 4 maja 2022 r., który wynosił 4,6777 PLN/EURO. </t>
  </si>
  <si>
    <t>Do przeliczenia kwot z PLN na euro przyjęto kurs średni NBP z dnia 4 maja 2022 r., który wynosił 4,6777 PLN/EURO.</t>
  </si>
  <si>
    <t xml:space="preserve">Do przeliczenia kwot z PLN na euro przyjęto kurs średni NBP z dnia 4 maja 2022 r., który wynosił 4,6777 PLN/EURO. W przypadku postępowania w przedmiocie zmiany albo wygaszenia zezwolenia opłata jest należna tylko jeżeli postępowanie zostało wszczęte na wniosek prowadzącego instalację. W przypadku wszczęcia ww. postępowań z urzędu opłata nie jest pobierana. Zmiana planu monitorowania - 2,13 EUR. </t>
  </si>
  <si>
    <t>Brak jest sankcji przewidzianych w prawie krajowym w przypadku naruszeń rozporządzenia delegowanego Komisji (UE) 2019/331 i rozporządzenia Komisji (UE) 2019/1842. Zapewnia się środki administracyjne, niemające charakteru sankcji, stosowane w celu zapewnienia przestrzegania ww. przepisów, opisane w tabeli 8.17.</t>
  </si>
  <si>
    <t>Przedstawione informacje nie uwzględniają/ nie obejmują  strumieni materiałów wsadowych zawierających biomasę w ilości od 32,5 do 100%, (użytych w procesie technologicznym) która nie podlegała spalaniu i dla których nie mają zastosowania kryteria zrównoważonego rozwoju, występujących w kilku instalacjach kategorii A zakwalifikowanych zgodnie z załącznikiem I do dyrektywy 2003/87/WE jako przemysł ceramiczny (1 388 920,85 t materiałów wsadowych zawierających biomasę o łącznej wielkości emisji z węgla kopalnego wynoszącej 103356,2261 Mg CO2), a także instalacji kategorii C zakwalifikowanej jako instalacja hutnicza (23 526, 6 t materiałów wsadowych zawierających biomasę o łącznej wielkości emisji z węgla kopalnego wynoszącej 7593,747 Mg/CO2).</t>
  </si>
  <si>
    <t>Liczba instalacji, które powinny złożyć raport w zakresie udoskonaleń w metodyce monitorowania do dnia 30 czerwca 2021 roku została wyznaczona na podstawie następujących założeń:
 instalacje:
- kategorii C, które zgodnie z posiadanym zezwoleniem na emisję gazów cieplarnianych stosują niższe poziomy dokładności niż wymagane rozporządzeniem 601/2012 oraz rozporządzeniem 2018/2066, i którym w okresie od 01 lipca 2020 roku do 30 czerwca 2021 roku właściwy organ nie wydał decyzji zmieniającej zezwolenie.
- kategorii B, które zgodnie z posiadanym zezwoleniem na emisję gazów cieplarnianych stosują  niższe poziomy dokładności niż wymagane rozporządzeniem 601/2012 oraz rozporządzeniem 2018/2066, i którym w okresie od 01 lipca 2019 roku do 30 czerwca 2021 roku właściwy organ nie wydał decyzji zmieniającej zezwolenie.
- kategorii A, które zgodnie z posiadanym zezwoleniem na emisję gazów cieplarnianych stosują  niższe poziomy dokładności niż wymagane rozporządzeniem 601/2012 oraz rozporządzeniem 2018/2066, i którym w okresie od 01 lipca 2017 roku do 30 czerwca 2021 roku właściwy organ nie wydał decyzji zmieniającej zezwolenie.
- w związku ze stosowaniem metodyki rezerwowej (art 69 (3) MRR) wszystkie instalacje,                                                                                                                                                     
- w przypadku zidentyfikowania przez weryfikatora w sprawozdaniu z weryfikacji (art 69 (4) MRR)  nieusuniętych nieprawidłowości (Załącznik 1AA) i  nieusuniętych niezgodności (Załącznik 1AB) instalacje należące do kategorii A, B i C,
- w przypadku zidentyfikowania przez weryfikatora w sprawozdaniu z weryfikacji (art 69 (4) MRR)  ewentualnych zalecanych ulepszeń  (załącznik 1AD) instalacje kategorii A, B i C z wyjątkiem instalacji o "niskim poziomie emisji" zgodnie z art 47 (3) MRR.</t>
  </si>
  <si>
    <t>W przypadku paliw i materiałów: olej opałowy lekki, gaz technologiczny, biogaz, mączka surowcowa do produkcji klinkieru cementowego (1 instalacja) oraz gaz poreakcyjny, częstotliwość analiz laboratoryjnych inna niż wymagana zgodnie z załącznikiem VII do rozporządzenia (UE) nr 2018/2066 dotyczy strumieni de minimis.</t>
  </si>
  <si>
    <t>Ze względu na ograniczenia formularza raportu rocznego wprowadzono następujące uproszczenia:
- w przypadku wprowadzenia w raporcie rocznym kilku kodów CRF dla kategorii energetycznej lub emisji procesowych zastosowano wyłącznie pierwszy kod;                                                                                                                                                                                                                                            - emisję obliczaną przy pomocy bilansu masowego oraz emisję gazów cieplarnianych innych niż CO2 przyporządkowano do emisji procesowych;                                                                                                             
- dane o emisjach prowadzących instalację, którzy nie wprowadzili w raporcie rocznym informacji o kodzie CRF zagregowano w ostatnim wierszu zestawienia (wiersz 98).
Z uwagi na ograniczenie formularza wpisywania wartości ujemnej dla kodu 1A2a, 2B2, 2H1 została wpisana wartość dodatnia.  
Wartość ujemna dla tego kodu wynika z procesów jakim jest bilans masowy, w którym dla niektórych strumieni emisja ma wartość ujemną.</t>
  </si>
  <si>
    <t>Nie, brak procedur w tym zakresie.</t>
  </si>
  <si>
    <t>Oszustwo jest występkiem stypizowanym w art. 286 ustawy z dnia 6 czerwca 1997 r. Kodeks karny (t.j. Dz. U. z 2021 r. poz. 534, ze zm.). Zgodnie z § 1 wskazanego przepisu, kto, w celu osiągnięcia korzyści majątkowej, doprowadza inną osobę do niekorzystnego rozporządzenia własnym lub cudzym mieniem za pomocą wprowadzenia jej w błąd albo wyzyskania błędu lub niezdolności do należytego pojmowania przedsiębranego działania, podlega karze pozbawienia wolności od 6 miesięcy do lat 8. Zgodnie z § 3. w wypadku mniejszej wagi sprawca podlega grzywnie, karze ograniczenia wolności albo pozbawienia wolności do lat 2. W myśl art. 33 § 1 i § 2 Kodeksu karnego grzywnę wymierza się w stawkach dziennych, określając liczbę stawek oraz wysokość jednej stawki, najniższa liczba stawek wynosi 10, zaś najwyższa 540. Grzywnę można wymierzyć obok kary pozbawienia wolności, jeżeli sprawca dopuścił się czynu w celu osiągnięcia korzyści majątkowej lub gdy korzyść majątkową osiągnął. Karę pozbawienia wolność wymierza się w miesiącach i latach (art. 37 Kodeksu karnego).</t>
  </si>
  <si>
    <t>Tak.</t>
  </si>
  <si>
    <t>Zastosowanie znajdują ogólne przepisy Kodeksu postępowania karnego dotyczące ścigania oszustw. Śledztwo prowadzi prokurator. Prokurator może powierzyć Policji przeprowadzenie śledztwa w całości lub w określonym zakresie albo dokonanie poszczególnych czynności śledztwa. (art. 311 § 1 i 2 kpk). W przypadku, jeżeli wartość przedmiotu przestępstwa albo szkoda wyrządzona lub grożąca nie przekracza 200 000 zł, dochodzenie prowadzone jest przez Policję lub organy, którym przysługują uprawnienia Policji tj. organy Straży Granicznej, Agencji Bezpieczeństwa Wewnętrznego, Krajowej Administracji Skarbowej, Centralnego Biura Antykorupcyjnego oraz Żandarmerii Wojskowej, w zakresie ich właściwości lub inne organy przewidziane w przepisach szczególnych. Dochodzenie może prowadzić także prokurator. (art. 325a i 325b kpk)</t>
  </si>
  <si>
    <t>Nie ma regulacji o charakterze szczególnym. Obowiązują zasady określone w ustawie z dnia 6 czerwca 1997 r. Kodeks postępowania karnego (t.j. Dz. U. z 2021 r. poz. 534, ze zm., dalej: „kpk”). Zgodnie z art. 303 kpk w przypadku uzasadnionego podejrzenia popełnienia przestępstwa, właściwy organ ścigania wydaje z urzędu lub na skutek zawiadomienia o przestępstwie postanowienie o wszczęciu śledztwa. Z kolei zgodnie z art. 304 ust. 1 kpk każdy, dowiedziawszy się o popełnieniu przestępstwa ściganego z urzędu, ma społeczny obowiązek zawiadomić o tym prokuratora lub Policję.</t>
  </si>
  <si>
    <t>0.23</t>
  </si>
  <si>
    <t>VAT</t>
  </si>
  <si>
    <t xml:space="preserve">Ujęcie przyznanych i nabytych praw do emisji przez prowadzących instalacje i operatorów statków powietrznych. Przyznane i nabyte prawa do emisji spełniają definicję wartości niematerialnych i prawnych. Prawa do emisji ujmuje się w księgach rachunkowych jednostki pod datą ich nabycia w cenie nabycia oraz wykazuje w sprawozdaniu finansowym (bilansie) w oddzielnej pozycji w grupie wartości niematerialnych i prawnych, bez względu na ich przeznaczenie (wykorzystanie na potrzeby własne lub inne rozporządzenie). Dla każdej instalacji prowadzi się odrębną ewidencję ilościowo-wartościową przyznanych i nabytych praw do emisji. Cenę nabycia praw do emisji wylicza się zgodnie z przepisami art. 28 ust. 2 ustawy z dnia 29 września 1994 r. o rachunkowości (Dz.U. z 2021 r., poz. 217, ze zm., dalej: "ustawa o rachunkowości"). W przypadku przyznanych praw do emisji cenę nabycia stanowi iloczyn jednostkowej ceny sprzedaży przyznanego prawa do emisji z dnia ich przyznania oraz liczby przyznanych praw (art. 28 ust. 2 ustawy o rachunkowości, zdanie ostatnie). Przyznane prawa do emisji ujmuje się - zgodnie z przepisami art. 41 ust. 2 w powiązaniu z ust. 1 pkt 2 ustawy o rachunkowości - jako rozliczenia międzyokresowe przychodów, które równolegle do odpisów amortyzacyjnych dokonywanych od tych praw zwiększają stopniowo pozostałe przychody operacyjne. Prawa do emisji, które jednostka zamierza sprzedać, ujmuje się w księgach rachunkowych i wykazuje w sprawozdaniu finansowym (bilansie) łącznie z prawami do emisji przeznaczonymi do wykorzystania na własne potrzeby. W informacji dodatkowej sprawozdania finansowego przedstawia się informacje o posiadanych prawach do emisji w podziale na prawa do emisji wykorzystywane na własne potrzeby oraz prawa do emisji przeznaczone do sprzedaży (z wyodrębnieniem uprawnień do emisji, jednostek poświadczonej redukcji emisji i jednostek redukcji emisji). Zbycie, w tym sprzedaż praw do emisji (zarówno wcześniej przeznaczonych i zakwalifikowanych do zbycia, jak i nie zakwalifikowanych pierwotnie do zbycia) wpływa na wynik finansowy tego okresu sprawozdawczego, w którym prawa te zostały zbyte; wynik sprzedaży wykazuje się odpowiednio jako zysk lub stratę w pozycji pozostałych przychodów/kosztów operacyjnych. Jeżeli ceny nabycia posiadanych praw do emisji są różne, to do wyceny rozchodu z tytułu ich wykorzystania, zwrotu lub innego rozporządzenia, jednostka przyjmuje jedną z metod określonych w art. 34 ust. 4 pkt 1-3 ustawy o rachunkowości tj. metodę cen przeciętnych, ustalonych w wysokości średniej ważonej cen praw do emisji, metodę pierwsze przyszło - pierwsze wyszło (FIFO) lub metodę ostanie przyszło - pierwsze wyszło - (LIFO). Ewentualny odpis z tytułu trwałej utraty wartości praw do emisji, dokonany zgodnie z art. 28 ust. 7 ustawy o rachunkowości, odnosi się w pozostałe koszty operacyjne tego okresu, w którym wystąpiły okoliczności uzasadniające dokonanie takiego odpisu. Ujęcie nabytych praw do emisji u innych jednostek (pośredników). W razie nabycia praw do emisji w celu ich późniejszej odprzedaży prawa te kwalifikuje się do inwestycji - odpowiednio długoterminowych lub krótkoterminowych i wycenia zgodnie z art. 28 ust. 1 pkt 1a lub pkt 5 i art. 35 ustawy o rachunkowości. Zaleca się ujęcie nabytych praw do emisji jako inwestycji krótkoterminowych i ich wycenę w cenie nabycia lub cenie rynkowej zależnie od tego, która z nich jest niższa. W razie znaczących różnic między wyceną praw do emisji w cenach ich nabycia i cenach rynkowych w informacji dodatkowej sprawozdania finansowego przedstawia się dane o tych prawach w wartościach rynkowych. </t>
  </si>
  <si>
    <t xml:space="preserve">Uprawnienia do emisji mają charakter zbywalnych praw majątkowych przy zachowaniu ich administracyjnoprawnego charakteru. Mogą być przedmiotem zastawu. Na podstawie art. 2 ust. 1 pkt 2 lit. c) i j) ustawy z dnia 29 lipca 2005 r. o obrocie instrumentami finansowymi (Dz. U. z 2022 r., poz. 861, ze zm.), uprawnienia do emisji stanowią instrumenty finansowe niebędące papierami wartościowymi. </t>
  </si>
  <si>
    <t>Na operatora statków powietrznych musi zostać nałożona kara pieniężna na mocy ostatecznej decyzji administracyjnej za niedopełnienie obowiązku sporządzenia i przedłożenia do zatwierdzenia planu monitorowania emisji z operacji lotniczych albo uproszczonego planu monitorowania emisji z operacji lotniczych albo z powodu niezłożenia wniosku o zmianę tego planu lub nierozliczenia wielkości emisji. W terminie 30 dni od dnia, w którym decyzja o nałożeniu kary stała się ostateczna, organ Inspekcji Ochrony Środowiska przekazuje ministrowi właściwemu do spraw klimatu informacje o operatorach statków powietrznych, którzy nie dopełnili ww. obowiązków. Po otrzymaniu powyższych informacji i stwierdzeniu, że mimo nałożenia kary ww. obowiązki nie zostały dokonane przez operatora statku powietrznego, minister wł. ds. klimatu zawiadamia danego operatora statku powietrznego o wszczęciu postępowania w sprawie skierowania do Komisji Europejskiej wniosku o nałożenie zakazu prowadzenia przez tego operatora operacji lotniczych. Operator statku powietrznego może w terminie 14 dni od dnia otrzymania zawiadomienia, złożyć ministrowi właściwemu do spraw klimatu wyjaśnienia. Minister właściwy do spraw klimatu po powiadomieniu Rady Ministrów przesyła do Komisji Europejskiej wniosek o nałożenie zakazu prowadzenia przez tego operatora operacji lotniczych. (art. 109 ustawy).</t>
  </si>
  <si>
    <t>nd</t>
  </si>
  <si>
    <t>Ustawa z dnia 12 czerwca 2015 r. o systemie handlu uprawnieniami do emisji gazów cieplarnianych (t.j. Dz.U. 2022 poz. 1092).</t>
  </si>
  <si>
    <t xml:space="preserve">Niedokonanie przez operatora statku powietrznego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 </t>
  </si>
  <si>
    <t>Wykonywanie operacji lotniczych bez zatwierdzenia planu monitorowania wielkości emisji (art. 103 ust. 1 ustawy).</t>
  </si>
  <si>
    <t>Jeśli operator statków powietrznych nie zwróci nadmiarowo wydanych uprawnień w terminie 30 dni od dnia otrzymania wniosku Krajowego ośrodka, Krajowy ośrodek przekazuje ministrowi właściwemu do spraw klimatu informację o operatorze statków powietrznych, który nie dopełnił obowiązku zwrotu. Minister właściwy do spraw klimatu wydaje decyzję w sprawie zwrotu równowartości nadmiarowo wydanych uprawnień do emisji, określając kwotę podlegającą zwrotowi oraz termin jej uiszczenia. (art. 18 ustawy)</t>
  </si>
  <si>
    <t>Jeżeli operator statku powietrznego dostarczy raport w terminie do 15 kwietnia, administracyjną karę pieniężną wymierza się w wysokości 10% kary (art. 105 ust. 2).</t>
  </si>
  <si>
    <t>ELSEN 2 Sp. z o.o.</t>
  </si>
  <si>
    <t>PL000000000000025</t>
  </si>
  <si>
    <t>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t>
  </si>
  <si>
    <t xml:space="preserve">W przypadku prowadzącego instalację, która powstała w wyniku połączenia lub podziału, kara za nieprzekazanie w terminie informacji i dokumentów, o których mowa w art. 25 ust. 1 i 2 rozporządzenia Komisji (UE) 2019/331 (art. 105 ust. 4 ustawy). </t>
  </si>
  <si>
    <t xml:space="preserve">Niewystąpienie z wnioskiem o zmianę zezwolenia w przypadku zaistnienia zdarzenia powodującego konieczność zmiany planu monitorowania wielkości emisji, jeżeli zmiana ta ma charakter zmiany istotnej w rozumieniu art. 15 ust. 3 rozporządzenia (UE) 2018/2066 (art. 103 ust. 3 ustawy). </t>
  </si>
  <si>
    <t>Jeżeli prowadzący instalację dostarczy raport w terminie do 15 kwietnia, administracyjną karę pieniężną wymierza się w wysokości 10% kary (art. 105 ust. 2 ustawy)</t>
  </si>
  <si>
    <t xml:space="preserve">Wstrzymanie, w drodze decyzji organu Inspekcji Ochrony Środowiska, użytkowania instalacji eksploatowanej bez wymaganego zezwolenia (art. 63 ust. 1 ustawy) </t>
  </si>
  <si>
    <t>Zawieszenie upoważnionym przedstawicielom dostępu do rachunku posiadania operatora w rejestrze Unii, jeżeli na tym rachunku pozostaje nierozliczona wielkość emisji, która powinna zostać rozliczona. (art. 92a ust. 1 ustawy).</t>
  </si>
  <si>
    <t>Wydano zarządzenie pokontrolne zgodnie z art. 12 ust. 1 pkt 1 ustawy z dnia 20 lipca 1991 r. o Inspekcji Ochrony Środowiska (Dz. U. z 2021 r. poz. 1070) zobowiązujące do uregulowania stanu formalnoprawnego instalacji, w związku ze stwierdzeniem naruszenia art. 51 ustawy o systemie handlu uprawnieniami do emisji gazów cieplarnianych (dalej: "ustawa") polegające na eksploatacji instalacji bez wymaganego zezwolenia.</t>
  </si>
  <si>
    <t>67</t>
  </si>
  <si>
    <t>Maintenance</t>
  </si>
  <si>
    <t>OpenAccounts - Opening accounts</t>
  </si>
  <si>
    <t>Zmiana zezwolenia obejmująca rozszerzenie działalności.</t>
  </si>
  <si>
    <t>KOBiZE dokonuje zachowawczego oszacowania wartości parametrów, o których mowa w art. 3 ust. 4 rozporządzenia Komisji (UE) 2019/1842.</t>
  </si>
  <si>
    <t>1) Organ właściwy do wydania zezwolenia wszczyna z urzędu postępowanie w sprawie zatwierdzenia planu metodyki monitorowania, jeżeli prowadzący instalację nie wystąpił o zatwierdzenie istotnej zmiany planu metodyki monitorowania w terminie 21 dni od zgłoszenia zmiany. (art. 26g ust. 3 ustawy)
2) Niezgodności planu metodyki monitorowania i raportu ALC powoduje zgodnie z art. 64a ust. 2 dokonanie zachowawczego oszacowania wartości parametrów przez KOBiZE. KOBiZE wzywa prowadzącego instalację do: a) złożenia wyjaśnień lub b) przedstawienia informacji i danych potrzebnych do oszacowania parametru, który zgodnie z art. 3 ust. 2 rozporządzenia Komisji (UE) 2019/1842 powinien zawierać raport dotyczący poziomu działalności, lub weryfikatora do przedłożenia wewnętrznej dokumentacji z weryfikacji, o której mowa w art. 26 rozporządzenia Komisji (UE) 2018/2067, w terminie 7 dni od dnia doręczenia wezwania.</t>
  </si>
  <si>
    <t>Na podstawie art. 64a ust. 1 ustawy dnia 12 czerwca 2015 r. o systemie handlu uprawnieniami do emisji Krajowy ośrodek ocenia raport zgodnie z przepisami art. 7–12 rozporządzenia Komisji (UE) 2019/331. KOBiZE dokonuje zachowawczego oszacowania wartości parametrów, o których mowa w art. 3 ust. 4 rozporządzenia Komisji (UE) 2019/1842, w przypadkach wskazanych w tym przepisie, w tym w przypadku gdy raport jest niezgodny z przepisami rozporządzenia 2019/331  lub rozporzadzenia 2019/1842</t>
  </si>
  <si>
    <t>Zgodnie z art. 4 i 5 rozporządzenia 2019/331 aby złożyć wniosek o bezpłatny przydział uprawnień do emisji prowadzący instalację musi posiadać zatwierdzony plan metodyki monitorowania. Brak zatwierdzonego planu monitorowania powoduje ze wniosek jest niekompletny i KOBiZE wzywa prowadzącego instalację do usunięcia braków w terminie nie dłuższym niż 14 dni od dnia doręczenia wezwania, zgodnie z art. 26b ust. 3 i art. 64 ust. 2a ustawy z dnia 12 czerwca 2015 r. o systemie handlu uprawnieniami do emisji (t.j. Dz.U. 2022 poz. 1092)</t>
  </si>
  <si>
    <t>Właściwy organ zezwolił na wirtualne wizyty w obiekcie bez potrzeby indywidualnego zatwierdzania zgodnie z art. 34a ust. 4 AVR</t>
  </si>
  <si>
    <t>Obostrzenia COVID</t>
  </si>
  <si>
    <t>Brak danych</t>
  </si>
  <si>
    <t>Tak</t>
  </si>
  <si>
    <t>Obostrzenia COVID19.</t>
  </si>
  <si>
    <t>Szczegółowej analizie poddano wyłącznie wykaz połączeń przedstawiony w zakładce Załącznik (punkt 11 raportu rocznego).</t>
  </si>
  <si>
    <t>Brak danych niezbędnych do kontroli krzyżowej</t>
  </si>
  <si>
    <t xml:space="preserve">BSI Group Polska uzyskało w dniu 04.02.2021 upoważnienie MKiŚ do przeprowadzania wirtualnych wizyt w obiektach bez konieczności indywidualnego zatwierdzenia, o którym mowa w art. 34a ust. 3 rozporządzenia 2018/2067. </t>
  </si>
  <si>
    <t>COVID-19</t>
  </si>
  <si>
    <t>LV, CZ, FR</t>
  </si>
  <si>
    <t>Zgodnie z art. 28c ustawy z dnia 25 sierpnia 2006 r. o biokomponentach i biopaliwach ciekłych (t.j. Dz. U. z 2022 poz. 403) dokumentami potwierdzającymi spełnianie przez biomasę lub biokomponent kryteriów zrównoważonego rozwoju mogą być: dokumenty wystawione przez producenta rolnego przewidziane przez uznany system certyfikacji, poświadczenia lub świadectwa, o których mowa w ustawie. Ponadto mogą to być również dokumenty wystawione w: innym niż Rzeczpospolita Polska państwie członkowskim Unii Europejskiej, w państwie członkowskim Europejskiego Porozumienia o Wolnym Handlu (EFTA) – stronie umowy o Europejskim Obszarze Gospodarczym lub w kraju trzecim, pod warunkiem, że zostały wystawione w ramach uznanego systemu certyfikacji; w kraju trzecim, pod warunkiem że Unia Europejska zawarła z tym krajem umowę, na mocy której uznaje się, że biomasa wytworzona w tym kraju spełnia kryteria zrównoważonego rozwoju.</t>
  </si>
  <si>
    <t>PL000000000202698</t>
  </si>
  <si>
    <t>PL000000000203112</t>
  </si>
  <si>
    <t>PL000000000202510</t>
  </si>
  <si>
    <t>PL000000000203087</t>
  </si>
  <si>
    <t>PL000000000000289</t>
  </si>
  <si>
    <t>PL000000000000683</t>
  </si>
  <si>
    <t>PL000000000000031</t>
  </si>
  <si>
    <t>PL000000000000897</t>
  </si>
  <si>
    <t>PL000000000000887</t>
  </si>
  <si>
    <t>PL000000000000375</t>
  </si>
  <si>
    <t>PL000000000207262</t>
  </si>
  <si>
    <t>PL000000000000935</t>
  </si>
  <si>
    <t>PL000000000000886</t>
  </si>
  <si>
    <t>PL000000000207726</t>
  </si>
  <si>
    <t>PL000000000000495</t>
  </si>
  <si>
    <t>PL000000000000835</t>
  </si>
  <si>
    <t>PL000000000000456</t>
  </si>
  <si>
    <t>PL000000000000010</t>
  </si>
  <si>
    <t>PL000000000000852</t>
  </si>
  <si>
    <t>PL000000000000457</t>
  </si>
  <si>
    <t>PL000000000000848</t>
  </si>
  <si>
    <t>PL000000000000898</t>
  </si>
  <si>
    <t>PL000000000000885</t>
  </si>
  <si>
    <t>PL000000000000338</t>
  </si>
  <si>
    <t>PL000000000000523</t>
  </si>
  <si>
    <t>PL000000000000076</t>
  </si>
  <si>
    <t>PL000000000000896</t>
  </si>
  <si>
    <t>PL000000000203105</t>
  </si>
  <si>
    <t>PL000000000000653</t>
  </si>
  <si>
    <t>PL000000000000652</t>
  </si>
  <si>
    <t>PL000000000000370</t>
  </si>
  <si>
    <t>PL000000000000368</t>
  </si>
  <si>
    <t>PL000000000000367</t>
  </si>
  <si>
    <t>PL000000000000366</t>
  </si>
  <si>
    <t>PL000000000000365</t>
  </si>
  <si>
    <t>PL000000000000363</t>
  </si>
  <si>
    <t>PL000000000000371</t>
  </si>
  <si>
    <t>propylen</t>
  </si>
  <si>
    <t>Pobór próbek jest realizowany zgodnie z wewnętrzną procedurą prowadzącego instalację zatwierdzoną przez właściwy organ w grudniu 2014 roku, która nie spełnia wymagań dotyczących planu poboru próbek</t>
  </si>
  <si>
    <t>Tak, na podstawie sprawozdania z weryfikacji rocznego raportu na temat wielkości emisji</t>
  </si>
  <si>
    <t>Tak, na podstawie sprawozdania z weryfikacji rocznego raportu na temat wielkości emisji. Od dnia 01.01.2022 r., zgodnie z obowiązującym planem monitorowania wielkości emisji, analizy biogazu będą wykonywane przez prowadzącego instalację z częstotliwością zgodną z wymaganiami</t>
  </si>
  <si>
    <t>Gaz poreakcyjny</t>
  </si>
  <si>
    <t>Klinkier cementowy</t>
  </si>
  <si>
    <t>Mączka surowcowa do produkcji klinkieru cementowego</t>
  </si>
  <si>
    <t>Zakupiona surówka do produkcji stali</t>
  </si>
  <si>
    <t>Spieniacze żużla</t>
  </si>
  <si>
    <t>Gazy zrzutowe spalane na pochodniach</t>
  </si>
  <si>
    <t>Gaz ziemny zaazotowany</t>
  </si>
  <si>
    <t>Biogaz</t>
  </si>
  <si>
    <t>Gaz technologiczny</t>
  </si>
  <si>
    <t>Olej opałowy lekki</t>
  </si>
  <si>
    <t>Zużyte opony</t>
  </si>
  <si>
    <t>Węglan wapnia</t>
  </si>
  <si>
    <t>Węglan Magnezu</t>
  </si>
  <si>
    <t>Węgiel kamienny</t>
  </si>
  <si>
    <t>Sorbent Wapienny</t>
  </si>
  <si>
    <t>Soda</t>
  </si>
  <si>
    <t>Propan</t>
  </si>
  <si>
    <t>Paliwa alternatywne</t>
  </si>
  <si>
    <t>Olej opałowy średni</t>
  </si>
  <si>
    <t>Olej opałowy ciężki</t>
  </si>
  <si>
    <t>Olej opałowy bardzo lekki</t>
  </si>
  <si>
    <t>Olej napędowy</t>
  </si>
  <si>
    <t>Odpady przemysłowe</t>
  </si>
  <si>
    <t>odgazy z procesów napełniania zbiorników</t>
  </si>
  <si>
    <t>Mocznik</t>
  </si>
  <si>
    <t>Mazut</t>
  </si>
  <si>
    <t>Koks</t>
  </si>
  <si>
    <t>Kamień wapienny</t>
  </si>
  <si>
    <t>Gazy złowonne</t>
  </si>
  <si>
    <t>gaz ziemny wysokometanowy</t>
  </si>
  <si>
    <t xml:space="preserve">gaz wysokociśnieniowy (mieszanina gazów rafineryjnych i gazu ziemnego) </t>
  </si>
  <si>
    <t>gaz własny z Hydrokrakingu</t>
  </si>
  <si>
    <t>Gaz Specjalny</t>
  </si>
  <si>
    <t>gaz siarkowodorowy z amoniakiem</t>
  </si>
  <si>
    <t>gaz siarkowodorowy</t>
  </si>
  <si>
    <t>Gaz resztkowy</t>
  </si>
  <si>
    <t>Gaz propan - butan</t>
  </si>
  <si>
    <t>gaz pooksydacyjny z Oksydacji</t>
  </si>
  <si>
    <t>gaz pooksydacyjny z Biturox</t>
  </si>
  <si>
    <t>gaz opałowy z HOG</t>
  </si>
  <si>
    <t>Gaz LPG</t>
  </si>
  <si>
    <t>Gaz koksowniczy</t>
  </si>
  <si>
    <t>Dimer</t>
  </si>
  <si>
    <t>Biomasa</t>
  </si>
  <si>
    <t>bezsiarkowy komponent oleju opałowego</t>
  </si>
  <si>
    <t>Benzyna</t>
  </si>
  <si>
    <t>Żużel</t>
  </si>
  <si>
    <t>zasypki</t>
  </si>
  <si>
    <t>Zanieczyszczone powietrze procesowe</t>
  </si>
  <si>
    <t>Węglan Wapnia</t>
  </si>
  <si>
    <t>Węglan Sodu</t>
  </si>
  <si>
    <t>Węglan Baru</t>
  </si>
  <si>
    <t>Wapno</t>
  </si>
  <si>
    <t>Terpentyna</t>
  </si>
  <si>
    <t>Surówka</t>
  </si>
  <si>
    <t xml:space="preserve">Okładziny piecowe i materiały ogniotrwałe </t>
  </si>
  <si>
    <t>Mydła</t>
  </si>
  <si>
    <t>Metanol</t>
  </si>
  <si>
    <t>mączka wapienna</t>
  </si>
  <si>
    <t xml:space="preserve">Masa formiersko-rdzeniowa FLOSTER </t>
  </si>
  <si>
    <t>Ług czarny</t>
  </si>
  <si>
    <t>Kwas octowy</t>
  </si>
  <si>
    <t>Koncentraty miedzi pozostałe</t>
  </si>
  <si>
    <t>Koncentraty flotacyjne i metaliczne</t>
  </si>
  <si>
    <t>karbid</t>
  </si>
  <si>
    <t xml:space="preserve">Grafit </t>
  </si>
  <si>
    <t>Gazy zrzutowe</t>
  </si>
  <si>
    <t>Gaz z utwardzania żywicy</t>
  </si>
  <si>
    <t>Gaz skroplony LNG</t>
  </si>
  <si>
    <t>Gaz Propan Butan</t>
  </si>
  <si>
    <t>Gaz nadmiarowy</t>
  </si>
  <si>
    <t>Folia Cu</t>
  </si>
  <si>
    <t>Elektrody</t>
  </si>
  <si>
    <t>drut węglowy</t>
  </si>
  <si>
    <t>dodatki stopowe</t>
  </si>
  <si>
    <t>Antracyt</t>
  </si>
  <si>
    <t>żeliwo</t>
  </si>
  <si>
    <t>żelazowanad FeV</t>
  </si>
  <si>
    <t xml:space="preserve">żelazowanad azotowany FeNV </t>
  </si>
  <si>
    <t>żelazotytan FeTi</t>
  </si>
  <si>
    <t>żelazomolibden FeMo</t>
  </si>
  <si>
    <t>żelazomangan FeMn</t>
  </si>
  <si>
    <t>żelazokrzemomangan FeSiMn</t>
  </si>
  <si>
    <t>żelazokrzem FeSi</t>
  </si>
  <si>
    <t>żelazochrom FeCr800</t>
  </si>
  <si>
    <t>żelazochrom FeCr025</t>
  </si>
  <si>
    <t>żelastopy</t>
  </si>
  <si>
    <t>Złom stalowy</t>
  </si>
  <si>
    <t>węglik krzemu SiC</t>
  </si>
  <si>
    <t>Węglan Strontu</t>
  </si>
  <si>
    <t>Wapień</t>
  </si>
  <si>
    <t>trehaloza dwuwodna</t>
  </si>
  <si>
    <t>tlenek etylenu</t>
  </si>
  <si>
    <t>surówka</t>
  </si>
  <si>
    <t>surowiec TS2</t>
  </si>
  <si>
    <t>surowiec TS</t>
  </si>
  <si>
    <t>substancje testowane</t>
  </si>
  <si>
    <t>Stal</t>
  </si>
  <si>
    <t>Spieniacz</t>
  </si>
  <si>
    <t>pył z odpylania gazów odlotowych</t>
  </si>
  <si>
    <t>powłoka hydrofobowa</t>
  </si>
  <si>
    <t>polimer akrylowy</t>
  </si>
  <si>
    <t>polikarboksylany typu surfaktant</t>
  </si>
  <si>
    <t>poliglikole</t>
  </si>
  <si>
    <t>polieter poliolu</t>
  </si>
  <si>
    <t>poli(tlenek etylenu)</t>
  </si>
  <si>
    <t>Nawęglacz</t>
  </si>
  <si>
    <t>magnezyt surowy</t>
  </si>
  <si>
    <t>kwas tłuszczowy</t>
  </si>
  <si>
    <t>kopolimer akrylonitrylu</t>
  </si>
  <si>
    <t>izopentan</t>
  </si>
  <si>
    <t>heptan i jego izomery</t>
  </si>
  <si>
    <t>guma diutanowa</t>
  </si>
  <si>
    <t>gliokol polietylenowy</t>
  </si>
  <si>
    <t>Glina</t>
  </si>
  <si>
    <t>glikol trójetylenowy</t>
  </si>
  <si>
    <t>glikol monoetylenowy</t>
  </si>
  <si>
    <t>glikol dwuetylenowy</t>
  </si>
  <si>
    <t>gliceryna</t>
  </si>
  <si>
    <t>Gaz ziemny wysokometanowy</t>
  </si>
  <si>
    <t>Gaz z odmetanowania kopalni</t>
  </si>
  <si>
    <t>Gaz rafineryjny</t>
  </si>
  <si>
    <t>Gaz propan</t>
  </si>
  <si>
    <t>Fosforan diskrobiowy B</t>
  </si>
  <si>
    <t>Fosforan diskrobiowy A</t>
  </si>
  <si>
    <t>Etylen</t>
  </si>
  <si>
    <t>Dolomit surowy</t>
  </si>
  <si>
    <t>Dolomit prażony</t>
  </si>
  <si>
    <t>Celuloza</t>
  </si>
  <si>
    <t>Żelazostopy</t>
  </si>
  <si>
    <t>Węgiel brunatny</t>
  </si>
  <si>
    <t>Utlenianie katalityczne metanolu</t>
  </si>
  <si>
    <t>przedgon benzolowy - pochodnia</t>
  </si>
  <si>
    <t>przedgon benzolowy - IOKS</t>
  </si>
  <si>
    <t>Produkcja wodoru z gazu ziemnego</t>
  </si>
  <si>
    <t>Pozostałości procesowe</t>
  </si>
  <si>
    <t>Olej opałowy pozostałościowy</t>
  </si>
  <si>
    <t>Mieszanina porafinacyjna</t>
  </si>
  <si>
    <t>Mączką wapienna</t>
  </si>
  <si>
    <t>Gaz z odmetanowania kopalń</t>
  </si>
  <si>
    <t>Gaz Propan</t>
  </si>
  <si>
    <t>Butyleny</t>
  </si>
  <si>
    <t>W przepisach krajowych zawarto wymóg przekazywania raportów i sprawozdań w formie elektronicznej (pliki Excel).</t>
  </si>
  <si>
    <t>formularz KE uzupełniony o dane dotyczące produkcji</t>
  </si>
  <si>
    <t>Obwieszczenie Marszałka Sejmu Rzeczypospolitej Polskiej z dnia 7 kwietnia 2022 r. w sprawie ogłoszenia jednolitego tekstu ustawy o systemie handlu uprawnieniami do emisji gazów cieplarnianych (t.j. Dz.U. 2022 poz. 1092).</t>
  </si>
  <si>
    <t>Zgodnie z art. 55 ust. 1 pkt 2, 3 i 4 ustawy z dnia 12 czerwca 2015 r. o systemie handlu uprawnieniami do emisji gazów cieplarnianych zmiana zezwolenia jest wymagana w przypadku (i) zmiany nazwy, pod którą prowadzący instalację prowadzi działalność, (ii) zmiany prowadzącego instalację i (iii) w przypadku łączenia albo podziału instalacji. Zmiana dokonywana jest na wniosek prowadzącego instalację, z którym powinien on wystąpić w terminie 30 dni od dnia wystąpienia zmiany. 
Ponadto, zgodnie z art. 56 ust. 1 i 4 ww. ustawy organ właściwy do wydania zezwolenia wszczyna z urzędu postępowanie w sprawie zmiany zezwolenia jeśli potrzeba zmiany pojawiła się w wyniku analizy tego zezwolenia spowodowanej zmianą pozwolenia zintegrowanego lub pozwolenia na wprowadzanie gazów lub pyłów do powietrza. Przy czym, jeżeli zmiana dotyczy planu monitorowania wielkości emisji lub planu poboru próbek, organ wzywa prowadzącego instalację do przedłożenia zmienionego planu monitorowania wielkości emisji lub planu poboru próbek. 
 Krajowy ośrodek dokonuje analizy planu monitorowania wielkości emisji lub planu poboru próbek oraz informuje organ właściwy do wydania zezwolenia o stwierdzonych nieprawidłowościach i przypadkach niezgodności z przepisami rozporządzenia Komisji (UE) 2018/2066. Organ właściwy do wydania zezwolenia dokonuje oceny informacji przekazanej przez Krajowy ośrodek i w przypadku stwierdzenia potrzeby zmiany zezwolenia, wszczyna z urzędu postępowanie w sprawie zmiany zezwolenia i w toku tego postępowania wydaje decyzję ws. zmiany zezwolenia.</t>
  </si>
  <si>
    <t>W trybie art. 55 ust. 1 pkt 5 ustawy z dnia 12 czerwca 2015 r. o systemie handlu uprawieniami do emisji gazów cieplarnianych, prowadzący instalację jest obowiązany wystąpić z wnioskiem o zmianę zezwolenia w przypadku  zaistnienia zdarzenia powodującego konieczność zmiany planu monitorowania wielkości emisji, jeżeli zmiana ta ma charakter zmiany istotnej w rozumieniu art. 15 ust. 3 rozporządzenia Komisji (UE) 2018/2066 (Rozporządzenie Wykonawcze Komisji (UE) 2018/2066 z dnia 19 grudnia 2018 r. w sprawie monitorowania i raportowania w zakresie emisji gazów cieplarnianych na podstawie dyrektywy 2003/87/WE Parlamentu Europejskiego i Rady oraz zmieniające rozporządzenie Komisji (UE) nr 601/2012).
Prowadzący instalację jest obowiązany wystąpić z wnioskiem o zmianę zezwolenia przed wprowadzeniem planowanych zmian, a jeżeli zmian tych nie dało się zaplanować - niezwłocznie po ich wprowadzeniu.
Zgodnie z art. 14 ust. 2 rozporządzenia Komisji (UE) Nr 2018/2066, prowadzący instalację lub operator statku powietrznego zmienia plan monitorowania w przypadku: a) wystąpienia nowych emisji spowodowanych nowymi rodzajami działalności lub użyciem nowych paliw bądź materiałów, nieuwzględnionych jeszcze w planie monitorowania; b) zmiany dostępności danych spowodowanej użyciem nowych typów przyrządów pomiarowych, metod pobierania próbek lub metod analitycznych bądź innymi przyczynami, prowadzącej do większej dokładności w wyznaczaniu wielkości emisji; c) stwierdzenia nieprawidłowości danych uzyskanych przy zastosowaniu dotychczasowej metodyki monitorowania; d) zmiany w planie monitorowania skutkującej poprawą dokładności zgłaszanych danych, chyba że nie jest to technicznie wykonalne lub prowadzi do nieracjonalnych kosztów; e) plan monitorowania nie jest zgodny z wymogami niniejszego rozporządzenia a właściwy organ zażądał od prowadzącego instalacje lub operatora statku powietrznego wprowadzenia zmian w takim planie; f) konieczna jest odpowiedź na sugestie dotyczące udoskonaleń planu monitorowania zawarte w sprawozdaniu z weryfikacji.</t>
  </si>
  <si>
    <t xml:space="preserve">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 </t>
  </si>
  <si>
    <t>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t>
  </si>
  <si>
    <t>Na podstawie art. 162 § 1 pkt 1 ustawy z dnia 14 czerwca 1960 r. Kodeks Postępowania Administracyjnego (t. j. Dz. U. z 2021 poz. 735, ze zm.), w zw. z art. 58 ust. 3 ustawy z dnia 12 czerwca 2015 r. o systemie handlu uprawnieniami do emisji gazów cieplarnianych, zezwolenie wygasa, gdy stało się bezprzedmiotowe, a stwierdzenie wygaśnięcia takiej decyzji nakazuje przepis prawa. Zgodnie z art. 58 ust. 1 ustawy z 2015 r., zezwolenie staje się bezprzedmiotowe, w przypadku gdy instalacja przestała spełniać kryteria uczestnictwa w systemie lub w przypadku określonym w art. 2 pkt 1 i 2, tj. gdy instalacja lub jej część stosowana jest do badania, rozwoju lub testowania nowych produktów i procesów technologicznych oraz gdy instalacja wykorzystuje wyłącznie biomasę lub instalacja jest instalacją spalania odpadów niebezpiecznych lub odpadów komunalnych. Zezwolenie może wygasnąć także w trybie art. 57 ustawy, tj. jeżeli na skutek zmiany, cofnięcia albo wygaśnięcia pozwolenia zintegrowanego lub pozwolenia na wprowadzanie gazów lub pyłów do powietrza, organ właściwy do wydania zezwolenia, po dokonaniu jego analizy, stwierdzi ustanie przesłanek uczestnictwa instalacji w systemie.</t>
  </si>
  <si>
    <t>Przepisy ustawy z dnia 12 czerwca 2015 r. o systemie handlu uprawnieniami do emisji gazów cieplarnianych (t.j. Dz.U. 2022 poz. 1092) nie przewidują możliwości cofnięcia zezwolenia. W przypadku cofnięcia pozwolenia zintegrowanego lub pozwolenia na wprowadzanie gazów lub pyłów do powietrza (przesłanki do cofnięcia określone zostały w ustawie z dnia 27 kwietnia 2001 r. Prawo ochrony środowiska (t.j. Dz. U. z 2021 r. poz. 1973 z późn. zm.), organ właściwy do wydania zezwolenia dokonuje analizy zezwolenia i jeżeli w wyniku dokonanych ustaleń stwierdzi ustanie przesłanek uczestnictwa instalacji w systemie handlu uprawnieniami do emisji gazów cieplarnianych, wszczyna z urzędu postępowanie w sprawie  wygaśnięcia zezwolenia.</t>
  </si>
  <si>
    <t>Organ wydający pozwolenie zintegrowane jest tym samym organem wydającym zezwolenie na emisję gazów cieplarnianych. Organ ma obowiązek przy wydawaniu zezwolenia badać pozwolenie zintegrowane dołączone do wniosku o wydanie zezwolenia na emisję gazów cieplarnianych.</t>
  </si>
  <si>
    <t>Możliwe w ramach roboczej współpracy.</t>
  </si>
  <si>
    <t>Robocza współpraca z PCA.</t>
  </si>
  <si>
    <t>Polskie Centrum Akredytacji, działające na podstawie ustawy z dnia 13 kwietnia 2016 r. o systemach oceny zgodności i nadzoru rynku (t.j. Dz. U. z 2022 r. poz. 5, dalej: PCA), przekazuje ministrowi właściwemu ds. klimatu: - do dnia 31 grudnia każdego roku program ocen zaplanowanych w odniesieniu do każdego weryfikatora rocznych raportów dotyczących emisji gazów cieplarnianych, - do dnia 1 czerwca każdego roku sprawozdanie z wykonanych zadań, z uwzględnieniem formularza przygotowanego przez Komisję Europejską. Ponadto minister właściwy ds. klimatu jest informowany o zawieszeniu, cofnięciu lub ograniczeniu akredytacji weryfikatora na warunkach wskazanych w dokumencie Opis systemu akredytacji (DA-01). PCA rozpoznaje również przekazane przez ministra właściwego ds. klimatu informacje o stwierdzeniu nieprzestrzegania rozporządzenia Komisji (UE) nr 2018/2067 przez akredytowanego weryfikatora.</t>
  </si>
  <si>
    <t>MKiŚ</t>
  </si>
  <si>
    <t>Minister Klimatu i Środowiska</t>
  </si>
  <si>
    <t>GIOŚ</t>
  </si>
  <si>
    <t>KOBiZE</t>
  </si>
  <si>
    <t>WIOŚ</t>
  </si>
  <si>
    <t>R,W,S</t>
  </si>
  <si>
    <t>https://www.kobize.pl</t>
  </si>
  <si>
    <t>sekretariat@kobize.pl</t>
  </si>
  <si>
    <t>48225696511</t>
  </si>
  <si>
    <t>Instytut Ochrony Środowiska – Państwowy Instytut Badawczy, Krajowy Ośrodek Bilansowania i Zarządzania Emisjami</t>
  </si>
  <si>
    <t>https://www.pca.gov.pl</t>
  </si>
  <si>
    <t>sekretariat@pca.gov.pl</t>
  </si>
  <si>
    <t>48223557000</t>
  </si>
  <si>
    <t>PCA</t>
  </si>
  <si>
    <t>Polskie Centrum Akredytacji</t>
  </si>
  <si>
    <t>https://www.ure.gov.pl/</t>
  </si>
  <si>
    <t>www.gdos.gov.pl/regionalni-dyrektorzyochrony-srodowiska</t>
  </si>
  <si>
    <t>http://www.gios.gov.pl/pl/inne/wojewodzkie-inspektoraty-ochrony-srodowiska</t>
  </si>
  <si>
    <t>http://www.gios.gov.pl/pl</t>
  </si>
  <si>
    <t>https://www.gov.pl/web/klimat</t>
  </si>
  <si>
    <t>ure@ure.gov.pl</t>
  </si>
  <si>
    <t>gios@gios.gov.pl</t>
  </si>
  <si>
    <t>info@klimat.gov.pl</t>
  </si>
  <si>
    <t>48224875570</t>
  </si>
  <si>
    <t>48223692226</t>
  </si>
  <si>
    <t>48223692900</t>
  </si>
  <si>
    <t>380</t>
  </si>
  <si>
    <t>16</t>
  </si>
  <si>
    <t>1</t>
  </si>
  <si>
    <t>S</t>
  </si>
  <si>
    <t>W</t>
  </si>
  <si>
    <t>URE</t>
  </si>
  <si>
    <t>R</t>
  </si>
  <si>
    <t>Starosta Powiatu</t>
  </si>
  <si>
    <t>Marszałek Województwa</t>
  </si>
  <si>
    <t xml:space="preserve">Urząd Regulacji Energetyki </t>
  </si>
  <si>
    <t>Regionalny Dyrektor Ochrony Środowiska</t>
  </si>
  <si>
    <t>Wojewódzki Inspektor Ochrony Środowiska</t>
  </si>
  <si>
    <t>Główny Inspektor Ochrony Środowiska</t>
  </si>
  <si>
    <t>adam.kociniak@kobize.pl</t>
  </si>
  <si>
    <t>48225696535</t>
  </si>
  <si>
    <t>ul. Chmielna 132/134, 00-805 Warszawa</t>
  </si>
  <si>
    <t>Główny specjalista</t>
  </si>
  <si>
    <t>Adam Kociniak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</si>
</sst>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71">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32" borderId="15" xfId="90" applyFont="1" applyFill="1" applyBorder="1" applyAlignment="1" applyProtection="1">
      <alignment horizontal="left" vertical="center"/>
    </xf>
    <xf numFmtId="0" fontId="41" fillId="32" borderId="2" xfId="90" applyFont="1" applyFill="1" applyBorder="1" applyAlignment="1" applyProtection="1">
      <alignment horizontal="left" vertical="center"/>
    </xf>
    <xf numFmtId="0" fontId="41" fillId="32" borderId="12" xfId="90" applyFont="1" applyFill="1" applyBorder="1" applyAlignment="1" applyProtection="1">
      <alignment horizontal="left" vertical="center"/>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2073"/>
  <sheetViews>
    <sheetView workbookViewId="0">
      <selection activeCell="O8" sqref="O8"/>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2278</v>
      </c>
      <c r="B2" t="s">
        <v>1738</v>
      </c>
      <c r="C2" t="s">
        <v>1739</v>
      </c>
      <c r="D2">
        <v>0</v>
      </c>
      <c r="E2" t="s">
        <v>1447</v>
      </c>
      <c r="F2" t="s">
        <v>1740</v>
      </c>
      <c r="G2" t="s">
        <v>1741</v>
      </c>
      <c r="H2" t="s">
        <v>2541</v>
      </c>
      <c r="I2" t="s">
        <v>2277</v>
      </c>
      <c r="J2" t="s">
        <v>2277</v>
      </c>
      <c r="K2" t="s">
        <v>2277</v>
      </c>
      <c r="L2" t="s">
        <v>2277</v>
      </c>
      <c r="M2" t="s">
        <v>2277</v>
      </c>
      <c r="N2" t="s">
        <v>2277</v>
      </c>
      <c r="O2" s="190" t="str">
        <f t="shared" ref="O2:O65" si="0">"["&amp;$C2&amp;"]["&amp;$D2&amp;"]["&amp;$F2&amp;"]"</f>
        <v>[S01_InstitutionDetails][0][NameAndDepartment]</v>
      </c>
    </row>
    <row r="3" spans="1:18" x14ac:dyDescent="0.3">
      <c r="A3" t="s">
        <v>2278</v>
      </c>
      <c r="B3" t="s">
        <v>1738</v>
      </c>
      <c r="C3" t="s">
        <v>1739</v>
      </c>
      <c r="D3">
        <v>0</v>
      </c>
      <c r="E3" t="s">
        <v>1447</v>
      </c>
      <c r="F3" t="s">
        <v>1742</v>
      </c>
      <c r="G3" t="s">
        <v>1741</v>
      </c>
      <c r="H3" t="s">
        <v>2575</v>
      </c>
      <c r="I3" t="s">
        <v>2277</v>
      </c>
      <c r="J3" t="s">
        <v>2277</v>
      </c>
      <c r="K3" t="s">
        <v>2277</v>
      </c>
      <c r="L3" t="s">
        <v>2277</v>
      </c>
      <c r="M3" t="s">
        <v>2277</v>
      </c>
      <c r="N3" t="s">
        <v>2277</v>
      </c>
      <c r="O3" s="190" t="str">
        <f t="shared" si="0"/>
        <v>[S01_InstitutionDetails][0][ContactPersonName]</v>
      </c>
    </row>
    <row r="4" spans="1:18" x14ac:dyDescent="0.3">
      <c r="A4" t="s">
        <v>2278</v>
      </c>
      <c r="B4" t="s">
        <v>1738</v>
      </c>
      <c r="C4" t="s">
        <v>1739</v>
      </c>
      <c r="D4">
        <v>0</v>
      </c>
      <c r="E4" t="s">
        <v>1447</v>
      </c>
      <c r="F4" t="s">
        <v>1743</v>
      </c>
      <c r="G4" t="s">
        <v>1741</v>
      </c>
      <c r="H4" t="s">
        <v>2574</v>
      </c>
      <c r="I4" t="s">
        <v>2277</v>
      </c>
      <c r="J4" t="s">
        <v>2277</v>
      </c>
      <c r="K4" t="s">
        <v>2277</v>
      </c>
      <c r="L4" t="s">
        <v>2277</v>
      </c>
      <c r="M4" t="s">
        <v>2277</v>
      </c>
      <c r="N4" t="s">
        <v>2277</v>
      </c>
      <c r="O4" s="190" t="str">
        <f t="shared" si="0"/>
        <v>[S01_InstitutionDetails][0][ContactPersonJobTitle]</v>
      </c>
    </row>
    <row r="5" spans="1:18" x14ac:dyDescent="0.3">
      <c r="A5" t="s">
        <v>2278</v>
      </c>
      <c r="B5" t="s">
        <v>1738</v>
      </c>
      <c r="C5" t="s">
        <v>1739</v>
      </c>
      <c r="D5">
        <v>0</v>
      </c>
      <c r="E5" t="s">
        <v>1447</v>
      </c>
      <c r="F5" t="s">
        <v>1744</v>
      </c>
      <c r="G5" t="s">
        <v>1741</v>
      </c>
      <c r="H5" t="s">
        <v>2573</v>
      </c>
      <c r="I5" t="s">
        <v>2277</v>
      </c>
      <c r="J5" t="s">
        <v>2277</v>
      </c>
      <c r="K5" t="s">
        <v>2277</v>
      </c>
      <c r="L5" t="s">
        <v>2277</v>
      </c>
      <c r="M5" t="s">
        <v>2277</v>
      </c>
      <c r="N5" t="s">
        <v>2277</v>
      </c>
      <c r="O5" s="190" t="str">
        <f t="shared" si="0"/>
        <v>[S01_InstitutionDetails][0][Address]</v>
      </c>
    </row>
    <row r="6" spans="1:18" x14ac:dyDescent="0.3">
      <c r="A6" t="s">
        <v>2278</v>
      </c>
      <c r="B6" t="s">
        <v>1738</v>
      </c>
      <c r="C6" t="s">
        <v>1739</v>
      </c>
      <c r="D6">
        <v>0</v>
      </c>
      <c r="E6" t="s">
        <v>1447</v>
      </c>
      <c r="F6" t="s">
        <v>1745</v>
      </c>
      <c r="G6" t="s">
        <v>1741</v>
      </c>
      <c r="H6" t="s">
        <v>2572</v>
      </c>
      <c r="I6" t="s">
        <v>2277</v>
      </c>
      <c r="J6" t="s">
        <v>2277</v>
      </c>
      <c r="K6" t="s">
        <v>2277</v>
      </c>
      <c r="L6" t="s">
        <v>2277</v>
      </c>
      <c r="M6" t="s">
        <v>2277</v>
      </c>
      <c r="N6" t="s">
        <v>2277</v>
      </c>
      <c r="O6" s="190" t="str">
        <f t="shared" si="0"/>
        <v>[S01_InstitutionDetails][0][InternationalTelephoneNumber]</v>
      </c>
    </row>
    <row r="7" spans="1:18" x14ac:dyDescent="0.3">
      <c r="A7" t="s">
        <v>2278</v>
      </c>
      <c r="B7" t="s">
        <v>1738</v>
      </c>
      <c r="C7" t="s">
        <v>1739</v>
      </c>
      <c r="D7">
        <v>0</v>
      </c>
      <c r="E7" t="s">
        <v>1447</v>
      </c>
      <c r="F7" t="s">
        <v>1746</v>
      </c>
      <c r="G7" t="s">
        <v>1741</v>
      </c>
      <c r="H7" t="s">
        <v>2571</v>
      </c>
      <c r="I7" t="s">
        <v>2277</v>
      </c>
      <c r="J7" t="s">
        <v>2277</v>
      </c>
      <c r="K7" t="s">
        <v>2277</v>
      </c>
      <c r="L7" t="s">
        <v>2277</v>
      </c>
      <c r="M7" t="s">
        <v>2277</v>
      </c>
      <c r="N7" t="s">
        <v>2277</v>
      </c>
      <c r="O7" s="190" t="str">
        <f t="shared" si="0"/>
        <v>[S01_InstitutionDetails][0][EMail]</v>
      </c>
    </row>
    <row r="8" spans="1:18" x14ac:dyDescent="0.3">
      <c r="A8" t="s">
        <v>2278</v>
      </c>
      <c r="B8" t="s">
        <v>1738</v>
      </c>
      <c r="C8" t="s">
        <v>1739</v>
      </c>
      <c r="D8">
        <v>0</v>
      </c>
      <c r="E8" t="s">
        <v>1447</v>
      </c>
      <c r="F8" t="s">
        <v>1747</v>
      </c>
      <c r="G8" t="s">
        <v>1748</v>
      </c>
      <c r="H8" t="s">
        <v>2277</v>
      </c>
      <c r="I8">
        <v>2021</v>
      </c>
      <c r="J8" t="s">
        <v>2277</v>
      </c>
      <c r="K8" t="s">
        <v>2277</v>
      </c>
      <c r="L8" t="s">
        <v>2277</v>
      </c>
      <c r="M8" t="s">
        <v>2277</v>
      </c>
      <c r="N8" t="s">
        <v>2277</v>
      </c>
      <c r="O8" s="190" t="str">
        <f t="shared" si="0"/>
        <v>[S01_InstitutionDetails][0][ReportingYear]</v>
      </c>
    </row>
    <row r="9" spans="1:18" x14ac:dyDescent="0.3">
      <c r="A9" t="s">
        <v>2278</v>
      </c>
      <c r="B9" t="s">
        <v>1749</v>
      </c>
      <c r="C9" t="s">
        <v>1750</v>
      </c>
      <c r="D9">
        <v>1</v>
      </c>
      <c r="E9" t="s">
        <v>1447</v>
      </c>
      <c r="F9" t="s">
        <v>1751</v>
      </c>
      <c r="G9" t="s">
        <v>1741</v>
      </c>
      <c r="H9" t="s">
        <v>2533</v>
      </c>
      <c r="I9" t="s">
        <v>2277</v>
      </c>
      <c r="J9" t="s">
        <v>2277</v>
      </c>
      <c r="K9" t="s">
        <v>2277</v>
      </c>
      <c r="L9" t="s">
        <v>2277</v>
      </c>
      <c r="M9" t="s">
        <v>2277</v>
      </c>
      <c r="N9" t="s">
        <v>2277</v>
      </c>
      <c r="O9" s="190" t="str">
        <f t="shared" si="0"/>
        <v>[S02_CompetentAuthority][1][CAName]</v>
      </c>
    </row>
    <row r="10" spans="1:18" x14ac:dyDescent="0.3">
      <c r="A10" t="s">
        <v>2278</v>
      </c>
      <c r="B10" t="s">
        <v>1749</v>
      </c>
      <c r="C10" t="s">
        <v>1750</v>
      </c>
      <c r="D10">
        <v>2</v>
      </c>
      <c r="E10" t="s">
        <v>1447</v>
      </c>
      <c r="F10" t="s">
        <v>1751</v>
      </c>
      <c r="G10" t="s">
        <v>1741</v>
      </c>
      <c r="H10" t="s">
        <v>2541</v>
      </c>
      <c r="I10" t="s">
        <v>2277</v>
      </c>
      <c r="J10" t="s">
        <v>2277</v>
      </c>
      <c r="K10" t="s">
        <v>2277</v>
      </c>
      <c r="L10" t="s">
        <v>2277</v>
      </c>
      <c r="M10" t="s">
        <v>2277</v>
      </c>
      <c r="N10" t="s">
        <v>2277</v>
      </c>
      <c r="O10" s="190" t="str">
        <f t="shared" si="0"/>
        <v>[S02_CompetentAuthority][2][CAName]</v>
      </c>
    </row>
    <row r="11" spans="1:18" x14ac:dyDescent="0.3">
      <c r="A11" t="s">
        <v>2278</v>
      </c>
      <c r="B11" t="s">
        <v>1749</v>
      </c>
      <c r="C11" t="s">
        <v>1750</v>
      </c>
      <c r="D11">
        <v>3</v>
      </c>
      <c r="E11" t="s">
        <v>1447</v>
      </c>
      <c r="F11" t="s">
        <v>1751</v>
      </c>
      <c r="G11" t="s">
        <v>1741</v>
      </c>
      <c r="H11" t="s">
        <v>2570</v>
      </c>
      <c r="I11" t="s">
        <v>2277</v>
      </c>
      <c r="J11" t="s">
        <v>2277</v>
      </c>
      <c r="K11" t="s">
        <v>2277</v>
      </c>
      <c r="L11" t="s">
        <v>2277</v>
      </c>
      <c r="M11" t="s">
        <v>2277</v>
      </c>
      <c r="N11" t="s">
        <v>2277</v>
      </c>
      <c r="O11" s="190" t="str">
        <f t="shared" si="0"/>
        <v>[S02_CompetentAuthority][3][CAName]</v>
      </c>
    </row>
    <row r="12" spans="1:18" x14ac:dyDescent="0.3">
      <c r="A12" t="s">
        <v>2278</v>
      </c>
      <c r="B12" t="s">
        <v>1749</v>
      </c>
      <c r="C12" t="s">
        <v>1750</v>
      </c>
      <c r="D12">
        <v>4</v>
      </c>
      <c r="E12" t="s">
        <v>1447</v>
      </c>
      <c r="F12" t="s">
        <v>1751</v>
      </c>
      <c r="G12" t="s">
        <v>1741</v>
      </c>
      <c r="H12" t="s">
        <v>2569</v>
      </c>
      <c r="I12" t="s">
        <v>2277</v>
      </c>
      <c r="J12" t="s">
        <v>2277</v>
      </c>
      <c r="K12" t="s">
        <v>2277</v>
      </c>
      <c r="L12" t="s">
        <v>2277</v>
      </c>
      <c r="M12" t="s">
        <v>2277</v>
      </c>
      <c r="N12" t="s">
        <v>2277</v>
      </c>
      <c r="O12" s="190" t="str">
        <f t="shared" si="0"/>
        <v>[S02_CompetentAuthority][4][CAName]</v>
      </c>
    </row>
    <row r="13" spans="1:18" x14ac:dyDescent="0.3">
      <c r="A13" t="s">
        <v>2278</v>
      </c>
      <c r="B13" t="s">
        <v>1749</v>
      </c>
      <c r="C13" t="s">
        <v>1750</v>
      </c>
      <c r="D13">
        <v>5</v>
      </c>
      <c r="E13" t="s">
        <v>1447</v>
      </c>
      <c r="F13" t="s">
        <v>1751</v>
      </c>
      <c r="G13" t="s">
        <v>1741</v>
      </c>
      <c r="H13" t="s">
        <v>2568</v>
      </c>
      <c r="I13" t="s">
        <v>2277</v>
      </c>
      <c r="J13" t="s">
        <v>2277</v>
      </c>
      <c r="K13" t="s">
        <v>2277</v>
      </c>
      <c r="L13" t="s">
        <v>2277</v>
      </c>
      <c r="M13" t="s">
        <v>2277</v>
      </c>
      <c r="N13" t="s">
        <v>2277</v>
      </c>
      <c r="O13" s="190" t="str">
        <f t="shared" si="0"/>
        <v>[S02_CompetentAuthority][5][CAName]</v>
      </c>
    </row>
    <row r="14" spans="1:18" x14ac:dyDescent="0.3">
      <c r="A14" t="s">
        <v>2278</v>
      </c>
      <c r="B14" t="s">
        <v>1749</v>
      </c>
      <c r="C14" t="s">
        <v>1750</v>
      </c>
      <c r="D14">
        <v>6</v>
      </c>
      <c r="E14" t="s">
        <v>1447</v>
      </c>
      <c r="F14" t="s">
        <v>1751</v>
      </c>
      <c r="G14" t="s">
        <v>1741</v>
      </c>
      <c r="H14" t="s">
        <v>2567</v>
      </c>
      <c r="I14" t="s">
        <v>2277</v>
      </c>
      <c r="J14" t="s">
        <v>2277</v>
      </c>
      <c r="K14" t="s">
        <v>2277</v>
      </c>
      <c r="L14" t="s">
        <v>2277</v>
      </c>
      <c r="M14" t="s">
        <v>2277</v>
      </c>
      <c r="N14" t="s">
        <v>2277</v>
      </c>
      <c r="O14" s="190" t="str">
        <f t="shared" si="0"/>
        <v>[S02_CompetentAuthority][6][CAName]</v>
      </c>
    </row>
    <row r="15" spans="1:18" x14ac:dyDescent="0.3">
      <c r="A15" t="s">
        <v>2278</v>
      </c>
      <c r="B15" t="s">
        <v>1749</v>
      </c>
      <c r="C15" t="s">
        <v>1750</v>
      </c>
      <c r="D15">
        <v>7</v>
      </c>
      <c r="E15" t="s">
        <v>1447</v>
      </c>
      <c r="F15" t="s">
        <v>1751</v>
      </c>
      <c r="G15" t="s">
        <v>1741</v>
      </c>
      <c r="H15" t="s">
        <v>2566</v>
      </c>
      <c r="I15" t="s">
        <v>2277</v>
      </c>
      <c r="J15" t="s">
        <v>2277</v>
      </c>
      <c r="K15" t="s">
        <v>2277</v>
      </c>
      <c r="L15" t="s">
        <v>2277</v>
      </c>
      <c r="M15" t="s">
        <v>2277</v>
      </c>
      <c r="N15" t="s">
        <v>2277</v>
      </c>
      <c r="O15" s="190" t="str">
        <f t="shared" si="0"/>
        <v>[S02_CompetentAuthority][7][CAName]</v>
      </c>
    </row>
    <row r="16" spans="1:18" x14ac:dyDescent="0.3">
      <c r="A16" t="s">
        <v>2278</v>
      </c>
      <c r="B16" t="s">
        <v>1749</v>
      </c>
      <c r="C16" t="s">
        <v>1750</v>
      </c>
      <c r="D16">
        <v>8</v>
      </c>
      <c r="E16" t="s">
        <v>1447</v>
      </c>
      <c r="F16" t="s">
        <v>1751</v>
      </c>
      <c r="G16" t="s">
        <v>1741</v>
      </c>
      <c r="H16" t="s">
        <v>2565</v>
      </c>
      <c r="I16" t="s">
        <v>2277</v>
      </c>
      <c r="J16" t="s">
        <v>2277</v>
      </c>
      <c r="K16" t="s">
        <v>2277</v>
      </c>
      <c r="L16" t="s">
        <v>2277</v>
      </c>
      <c r="M16" t="s">
        <v>2277</v>
      </c>
      <c r="N16" t="s">
        <v>2277</v>
      </c>
      <c r="O16" s="190" t="str">
        <f t="shared" si="0"/>
        <v>[S02_CompetentAuthority][8][CAName]</v>
      </c>
    </row>
    <row r="17" spans="1:15" x14ac:dyDescent="0.3">
      <c r="A17" t="s">
        <v>2278</v>
      </c>
      <c r="B17" t="s">
        <v>1749</v>
      </c>
      <c r="C17" t="s">
        <v>1750</v>
      </c>
      <c r="D17">
        <v>1</v>
      </c>
      <c r="E17" t="s">
        <v>1447</v>
      </c>
      <c r="F17" t="s">
        <v>1752</v>
      </c>
      <c r="G17" t="s">
        <v>1741</v>
      </c>
      <c r="H17" t="s">
        <v>2532</v>
      </c>
      <c r="I17" t="s">
        <v>2277</v>
      </c>
      <c r="J17" t="s">
        <v>2277</v>
      </c>
      <c r="K17" t="s">
        <v>2277</v>
      </c>
      <c r="L17" t="s">
        <v>2277</v>
      </c>
      <c r="M17" t="s">
        <v>2277</v>
      </c>
      <c r="N17" t="s">
        <v>2277</v>
      </c>
      <c r="O17" s="190" t="str">
        <f t="shared" si="0"/>
        <v>[S02_CompetentAuthority][1][CAAbbreviation]</v>
      </c>
    </row>
    <row r="18" spans="1:15" x14ac:dyDescent="0.3">
      <c r="A18" t="s">
        <v>2278</v>
      </c>
      <c r="B18" t="s">
        <v>1749</v>
      </c>
      <c r="C18" t="s">
        <v>1750</v>
      </c>
      <c r="D18">
        <v>2</v>
      </c>
      <c r="E18" t="s">
        <v>1447</v>
      </c>
      <c r="F18" t="s">
        <v>1752</v>
      </c>
      <c r="G18" t="s">
        <v>1741</v>
      </c>
      <c r="H18" t="s">
        <v>2535</v>
      </c>
      <c r="I18" t="s">
        <v>2277</v>
      </c>
      <c r="J18" t="s">
        <v>2277</v>
      </c>
      <c r="K18" t="s">
        <v>2277</v>
      </c>
      <c r="L18" t="s">
        <v>2277</v>
      </c>
      <c r="M18" t="s">
        <v>2277</v>
      </c>
      <c r="N18" t="s">
        <v>2277</v>
      </c>
      <c r="O18" s="190" t="str">
        <f t="shared" si="0"/>
        <v>[S02_CompetentAuthority][2][CAAbbreviation]</v>
      </c>
    </row>
    <row r="19" spans="1:15" x14ac:dyDescent="0.3">
      <c r="A19" t="s">
        <v>2278</v>
      </c>
      <c r="B19" t="s">
        <v>1749</v>
      </c>
      <c r="C19" t="s">
        <v>1750</v>
      </c>
      <c r="D19">
        <v>3</v>
      </c>
      <c r="E19" t="s">
        <v>1447</v>
      </c>
      <c r="F19" t="s">
        <v>1752</v>
      </c>
      <c r="G19" t="s">
        <v>1741</v>
      </c>
      <c r="H19" t="s">
        <v>2534</v>
      </c>
      <c r="I19" t="s">
        <v>2277</v>
      </c>
      <c r="J19" t="s">
        <v>2277</v>
      </c>
      <c r="K19" t="s">
        <v>2277</v>
      </c>
      <c r="L19" t="s">
        <v>2277</v>
      </c>
      <c r="M19" t="s">
        <v>2277</v>
      </c>
      <c r="N19" t="s">
        <v>2277</v>
      </c>
      <c r="O19" s="190" t="str">
        <f t="shared" si="0"/>
        <v>[S02_CompetentAuthority][3][CAAbbreviation]</v>
      </c>
    </row>
    <row r="20" spans="1:15" x14ac:dyDescent="0.3">
      <c r="A20" t="s">
        <v>2278</v>
      </c>
      <c r="B20" t="s">
        <v>1749</v>
      </c>
      <c r="C20" t="s">
        <v>1750</v>
      </c>
      <c r="D20">
        <v>4</v>
      </c>
      <c r="E20" t="s">
        <v>1447</v>
      </c>
      <c r="F20" t="s">
        <v>1752</v>
      </c>
      <c r="G20" t="s">
        <v>1741</v>
      </c>
      <c r="H20" t="s">
        <v>2536</v>
      </c>
      <c r="I20" t="s">
        <v>2277</v>
      </c>
      <c r="J20" t="s">
        <v>2277</v>
      </c>
      <c r="K20" t="s">
        <v>2277</v>
      </c>
      <c r="L20" t="s">
        <v>2277</v>
      </c>
      <c r="M20" t="s">
        <v>2277</v>
      </c>
      <c r="N20" t="s">
        <v>2277</v>
      </c>
      <c r="O20" s="190" t="str">
        <f t="shared" si="0"/>
        <v>[S02_CompetentAuthority][4][CAAbbreviation]</v>
      </c>
    </row>
    <row r="21" spans="1:15" x14ac:dyDescent="0.3">
      <c r="A21" t="s">
        <v>2278</v>
      </c>
      <c r="B21" t="s">
        <v>1749</v>
      </c>
      <c r="C21" t="s">
        <v>1750</v>
      </c>
      <c r="D21">
        <v>5</v>
      </c>
      <c r="E21" t="s">
        <v>1447</v>
      </c>
      <c r="F21" t="s">
        <v>1752</v>
      </c>
      <c r="G21" t="s">
        <v>1741</v>
      </c>
      <c r="H21" t="s">
        <v>2564</v>
      </c>
      <c r="I21" t="s">
        <v>2277</v>
      </c>
      <c r="J21" t="s">
        <v>2277</v>
      </c>
      <c r="K21" t="s">
        <v>2277</v>
      </c>
      <c r="L21" t="s">
        <v>2277</v>
      </c>
      <c r="M21" t="s">
        <v>2277</v>
      </c>
      <c r="N21" t="s">
        <v>2277</v>
      </c>
      <c r="O21" s="190" t="str">
        <f t="shared" si="0"/>
        <v>[S02_CompetentAuthority][5][CAAbbreviation]</v>
      </c>
    </row>
    <row r="22" spans="1:15" x14ac:dyDescent="0.3">
      <c r="A22" t="s">
        <v>2278</v>
      </c>
      <c r="B22" t="s">
        <v>1749</v>
      </c>
      <c r="C22" t="s">
        <v>1750</v>
      </c>
      <c r="D22">
        <v>6</v>
      </c>
      <c r="E22" t="s">
        <v>1447</v>
      </c>
      <c r="F22" t="s">
        <v>1752</v>
      </c>
      <c r="G22" t="s">
        <v>1741</v>
      </c>
      <c r="H22" t="s">
        <v>2563</v>
      </c>
      <c r="I22" t="s">
        <v>2277</v>
      </c>
      <c r="J22" t="s">
        <v>2277</v>
      </c>
      <c r="K22" t="s">
        <v>2277</v>
      </c>
      <c r="L22" t="s">
        <v>2277</v>
      </c>
      <c r="M22" t="s">
        <v>2277</v>
      </c>
      <c r="N22" t="s">
        <v>2277</v>
      </c>
      <c r="O22" s="190" t="str">
        <f t="shared" si="0"/>
        <v>[S02_CompetentAuthority][6][CAAbbreviation]</v>
      </c>
    </row>
    <row r="23" spans="1:15" x14ac:dyDescent="0.3">
      <c r="A23" t="s">
        <v>2278</v>
      </c>
      <c r="B23" t="s">
        <v>1749</v>
      </c>
      <c r="C23" t="s">
        <v>1750</v>
      </c>
      <c r="D23">
        <v>7</v>
      </c>
      <c r="E23" t="s">
        <v>1447</v>
      </c>
      <c r="F23" t="s">
        <v>1752</v>
      </c>
      <c r="G23" t="s">
        <v>1741</v>
      </c>
      <c r="H23" t="s">
        <v>2562</v>
      </c>
      <c r="I23" t="s">
        <v>2277</v>
      </c>
      <c r="J23" t="s">
        <v>2277</v>
      </c>
      <c r="K23" t="s">
        <v>2277</v>
      </c>
      <c r="L23" t="s">
        <v>2277</v>
      </c>
      <c r="M23" t="s">
        <v>2277</v>
      </c>
      <c r="N23" t="s">
        <v>2277</v>
      </c>
      <c r="O23" s="190" t="str">
        <f t="shared" si="0"/>
        <v>[S02_CompetentAuthority][7][CAAbbreviation]</v>
      </c>
    </row>
    <row r="24" spans="1:15" x14ac:dyDescent="0.3">
      <c r="A24" t="s">
        <v>2278</v>
      </c>
      <c r="B24" t="s">
        <v>1749</v>
      </c>
      <c r="C24" t="s">
        <v>1750</v>
      </c>
      <c r="D24">
        <v>8</v>
      </c>
      <c r="E24" t="s">
        <v>1447</v>
      </c>
      <c r="F24" t="s">
        <v>1752</v>
      </c>
      <c r="G24" t="s">
        <v>1741</v>
      </c>
      <c r="H24" t="s">
        <v>2561</v>
      </c>
      <c r="I24" t="s">
        <v>2277</v>
      </c>
      <c r="J24" t="s">
        <v>2277</v>
      </c>
      <c r="K24" t="s">
        <v>2277</v>
      </c>
      <c r="L24" t="s">
        <v>2277</v>
      </c>
      <c r="M24" t="s">
        <v>2277</v>
      </c>
      <c r="N24" t="s">
        <v>2277</v>
      </c>
      <c r="O24" s="190" t="str">
        <f t="shared" si="0"/>
        <v>[S02_CompetentAuthority][8][CAAbbreviation]</v>
      </c>
    </row>
    <row r="25" spans="1:15" x14ac:dyDescent="0.3">
      <c r="A25" t="s">
        <v>2278</v>
      </c>
      <c r="B25" t="s">
        <v>1749</v>
      </c>
      <c r="C25" t="s">
        <v>1750</v>
      </c>
      <c r="D25">
        <v>1</v>
      </c>
      <c r="E25" t="s">
        <v>1447</v>
      </c>
      <c r="F25" t="s">
        <v>1753</v>
      </c>
      <c r="G25" t="s">
        <v>1741</v>
      </c>
      <c r="H25" t="s">
        <v>1422</v>
      </c>
      <c r="I25" t="s">
        <v>2277</v>
      </c>
      <c r="J25" t="s">
        <v>2277</v>
      </c>
      <c r="K25" t="s">
        <v>2277</v>
      </c>
      <c r="L25" t="s">
        <v>2277</v>
      </c>
      <c r="M25" t="s">
        <v>2277</v>
      </c>
      <c r="N25" t="s">
        <v>2277</v>
      </c>
      <c r="O25" s="190" t="str">
        <f t="shared" si="0"/>
        <v>[S02_CompetentAuthority][1][CAType]</v>
      </c>
    </row>
    <row r="26" spans="1:15" x14ac:dyDescent="0.3">
      <c r="A26" t="s">
        <v>2278</v>
      </c>
      <c r="B26" t="s">
        <v>1749</v>
      </c>
      <c r="C26" t="s">
        <v>1750</v>
      </c>
      <c r="D26">
        <v>2</v>
      </c>
      <c r="E26" t="s">
        <v>1447</v>
      </c>
      <c r="F26" t="s">
        <v>1753</v>
      </c>
      <c r="G26" t="s">
        <v>1741</v>
      </c>
      <c r="H26" t="s">
        <v>1422</v>
      </c>
      <c r="I26" t="s">
        <v>2277</v>
      </c>
      <c r="J26" t="s">
        <v>2277</v>
      </c>
      <c r="K26" t="s">
        <v>2277</v>
      </c>
      <c r="L26" t="s">
        <v>2277</v>
      </c>
      <c r="M26" t="s">
        <v>2277</v>
      </c>
      <c r="N26" t="s">
        <v>2277</v>
      </c>
      <c r="O26" s="190" t="str">
        <f t="shared" si="0"/>
        <v>[S02_CompetentAuthority][2][CAType]</v>
      </c>
    </row>
    <row r="27" spans="1:15" x14ac:dyDescent="0.3">
      <c r="A27" t="s">
        <v>2278</v>
      </c>
      <c r="B27" t="s">
        <v>1749</v>
      </c>
      <c r="C27" t="s">
        <v>1750</v>
      </c>
      <c r="D27">
        <v>3</v>
      </c>
      <c r="E27" t="s">
        <v>1447</v>
      </c>
      <c r="F27" t="s">
        <v>1753</v>
      </c>
      <c r="G27" t="s">
        <v>1741</v>
      </c>
      <c r="H27" t="s">
        <v>1422</v>
      </c>
      <c r="I27" t="s">
        <v>2277</v>
      </c>
      <c r="J27" t="s">
        <v>2277</v>
      </c>
      <c r="K27" t="s">
        <v>2277</v>
      </c>
      <c r="L27" t="s">
        <v>2277</v>
      </c>
      <c r="M27" t="s">
        <v>2277</v>
      </c>
      <c r="N27" t="s">
        <v>2277</v>
      </c>
      <c r="O27" s="190" t="str">
        <f t="shared" si="0"/>
        <v>[S02_CompetentAuthority][3][CAType]</v>
      </c>
    </row>
    <row r="28" spans="1:15" x14ac:dyDescent="0.3">
      <c r="A28" t="s">
        <v>2278</v>
      </c>
      <c r="B28" t="s">
        <v>1749</v>
      </c>
      <c r="C28" t="s">
        <v>1750</v>
      </c>
      <c r="D28">
        <v>4</v>
      </c>
      <c r="E28" t="s">
        <v>1447</v>
      </c>
      <c r="F28" t="s">
        <v>1753</v>
      </c>
      <c r="G28" t="s">
        <v>1741</v>
      </c>
      <c r="H28" t="s">
        <v>1450</v>
      </c>
      <c r="I28" t="s">
        <v>2277</v>
      </c>
      <c r="J28" t="s">
        <v>2277</v>
      </c>
      <c r="K28" t="s">
        <v>2277</v>
      </c>
      <c r="L28" t="s">
        <v>2277</v>
      </c>
      <c r="M28" t="s">
        <v>2277</v>
      </c>
      <c r="N28" t="s">
        <v>2277</v>
      </c>
      <c r="O28" s="190" t="str">
        <f t="shared" si="0"/>
        <v>[S02_CompetentAuthority][4][CAType]</v>
      </c>
    </row>
    <row r="29" spans="1:15" x14ac:dyDescent="0.3">
      <c r="A29" t="s">
        <v>2278</v>
      </c>
      <c r="B29" t="s">
        <v>1749</v>
      </c>
      <c r="C29" t="s">
        <v>1750</v>
      </c>
      <c r="D29">
        <v>5</v>
      </c>
      <c r="E29" t="s">
        <v>1447</v>
      </c>
      <c r="F29" t="s">
        <v>1753</v>
      </c>
      <c r="G29" t="s">
        <v>1741</v>
      </c>
      <c r="H29" t="s">
        <v>1450</v>
      </c>
      <c r="I29" t="s">
        <v>2277</v>
      </c>
      <c r="J29" t="s">
        <v>2277</v>
      </c>
      <c r="K29" t="s">
        <v>2277</v>
      </c>
      <c r="L29" t="s">
        <v>2277</v>
      </c>
      <c r="M29" t="s">
        <v>2277</v>
      </c>
      <c r="N29" t="s">
        <v>2277</v>
      </c>
      <c r="O29" s="190" t="str">
        <f t="shared" si="0"/>
        <v>[S02_CompetentAuthority][5][CAType]</v>
      </c>
    </row>
    <row r="30" spans="1:15" x14ac:dyDescent="0.3">
      <c r="A30" t="s">
        <v>2278</v>
      </c>
      <c r="B30" t="s">
        <v>1749</v>
      </c>
      <c r="C30" t="s">
        <v>1750</v>
      </c>
      <c r="D30">
        <v>6</v>
      </c>
      <c r="E30" t="s">
        <v>1447</v>
      </c>
      <c r="F30" t="s">
        <v>1753</v>
      </c>
      <c r="G30" t="s">
        <v>1741</v>
      </c>
      <c r="H30" t="s">
        <v>1422</v>
      </c>
      <c r="I30" t="s">
        <v>2277</v>
      </c>
      <c r="J30" t="s">
        <v>2277</v>
      </c>
      <c r="K30" t="s">
        <v>2277</v>
      </c>
      <c r="L30" t="s">
        <v>2277</v>
      </c>
      <c r="M30" t="s">
        <v>2277</v>
      </c>
      <c r="N30" t="s">
        <v>2277</v>
      </c>
      <c r="O30" s="190" t="str">
        <f t="shared" si="0"/>
        <v>[S02_CompetentAuthority][6][CAType]</v>
      </c>
    </row>
    <row r="31" spans="1:15" x14ac:dyDescent="0.3">
      <c r="A31" t="s">
        <v>2278</v>
      </c>
      <c r="B31" t="s">
        <v>1749</v>
      </c>
      <c r="C31" t="s">
        <v>1750</v>
      </c>
      <c r="D31">
        <v>7</v>
      </c>
      <c r="E31" t="s">
        <v>1447</v>
      </c>
      <c r="F31" t="s">
        <v>1753</v>
      </c>
      <c r="G31" t="s">
        <v>1741</v>
      </c>
      <c r="H31" t="s">
        <v>1450</v>
      </c>
      <c r="I31" t="s">
        <v>2277</v>
      </c>
      <c r="J31" t="s">
        <v>2277</v>
      </c>
      <c r="K31" t="s">
        <v>2277</v>
      </c>
      <c r="L31" t="s">
        <v>2277</v>
      </c>
      <c r="M31" t="s">
        <v>2277</v>
      </c>
      <c r="N31" t="s">
        <v>2277</v>
      </c>
      <c r="O31" s="190" t="str">
        <f t="shared" si="0"/>
        <v>[S02_CompetentAuthority][7][CAType]</v>
      </c>
    </row>
    <row r="32" spans="1:15" x14ac:dyDescent="0.3">
      <c r="A32" t="s">
        <v>2278</v>
      </c>
      <c r="B32" t="s">
        <v>1749</v>
      </c>
      <c r="C32" t="s">
        <v>1750</v>
      </c>
      <c r="D32">
        <v>8</v>
      </c>
      <c r="E32" t="s">
        <v>1447</v>
      </c>
      <c r="F32" t="s">
        <v>1753</v>
      </c>
      <c r="G32" t="s">
        <v>1741</v>
      </c>
      <c r="H32" t="s">
        <v>1479</v>
      </c>
      <c r="I32" t="s">
        <v>2277</v>
      </c>
      <c r="J32" t="s">
        <v>2277</v>
      </c>
      <c r="K32" t="s">
        <v>2277</v>
      </c>
      <c r="L32" t="s">
        <v>2277</v>
      </c>
      <c r="M32" t="s">
        <v>2277</v>
      </c>
      <c r="N32" t="s">
        <v>2277</v>
      </c>
      <c r="O32" s="190" t="str">
        <f t="shared" si="0"/>
        <v>[S02_CompetentAuthority][8][CAType]</v>
      </c>
    </row>
    <row r="33" spans="1:15" x14ac:dyDescent="0.3">
      <c r="A33" t="s">
        <v>2278</v>
      </c>
      <c r="B33" t="s">
        <v>1749</v>
      </c>
      <c r="C33" t="s">
        <v>1750</v>
      </c>
      <c r="D33">
        <v>1</v>
      </c>
      <c r="E33" t="s">
        <v>1447</v>
      </c>
      <c r="F33" t="s">
        <v>1754</v>
      </c>
      <c r="G33" t="s">
        <v>1741</v>
      </c>
      <c r="H33" t="s">
        <v>2560</v>
      </c>
      <c r="I33" t="s">
        <v>2277</v>
      </c>
      <c r="J33" t="s">
        <v>2277</v>
      </c>
      <c r="K33" t="s">
        <v>2277</v>
      </c>
      <c r="L33" t="s">
        <v>2277</v>
      </c>
      <c r="M33" t="s">
        <v>2277</v>
      </c>
      <c r="N33" t="s">
        <v>2277</v>
      </c>
      <c r="O33" s="190" t="str">
        <f t="shared" si="0"/>
        <v>[S02_CompetentAuthority][1][CANumber]</v>
      </c>
    </row>
    <row r="34" spans="1:15" x14ac:dyDescent="0.3">
      <c r="A34" t="s">
        <v>2278</v>
      </c>
      <c r="B34" t="s">
        <v>1749</v>
      </c>
      <c r="C34" t="s">
        <v>1750</v>
      </c>
      <c r="D34">
        <v>2</v>
      </c>
      <c r="E34" t="s">
        <v>1447</v>
      </c>
      <c r="F34" t="s">
        <v>1754</v>
      </c>
      <c r="G34" t="s">
        <v>1741</v>
      </c>
      <c r="H34" t="s">
        <v>2560</v>
      </c>
      <c r="I34" t="s">
        <v>2277</v>
      </c>
      <c r="J34" t="s">
        <v>2277</v>
      </c>
      <c r="K34" t="s">
        <v>2277</v>
      </c>
      <c r="L34" t="s">
        <v>2277</v>
      </c>
      <c r="M34" t="s">
        <v>2277</v>
      </c>
      <c r="N34" t="s">
        <v>2277</v>
      </c>
      <c r="O34" s="190" t="str">
        <f t="shared" si="0"/>
        <v>[S02_CompetentAuthority][2][CANumber]</v>
      </c>
    </row>
    <row r="35" spans="1:15" x14ac:dyDescent="0.3">
      <c r="A35" t="s">
        <v>2278</v>
      </c>
      <c r="B35" t="s">
        <v>1749</v>
      </c>
      <c r="C35" t="s">
        <v>1750</v>
      </c>
      <c r="D35">
        <v>3</v>
      </c>
      <c r="E35" t="s">
        <v>1447</v>
      </c>
      <c r="F35" t="s">
        <v>1754</v>
      </c>
      <c r="G35" t="s">
        <v>1741</v>
      </c>
      <c r="H35" t="s">
        <v>2560</v>
      </c>
      <c r="I35" t="s">
        <v>2277</v>
      </c>
      <c r="J35" t="s">
        <v>2277</v>
      </c>
      <c r="K35" t="s">
        <v>2277</v>
      </c>
      <c r="L35" t="s">
        <v>2277</v>
      </c>
      <c r="M35" t="s">
        <v>2277</v>
      </c>
      <c r="N35" t="s">
        <v>2277</v>
      </c>
      <c r="O35" s="190" t="str">
        <f t="shared" si="0"/>
        <v>[S02_CompetentAuthority][3][CANumber]</v>
      </c>
    </row>
    <row r="36" spans="1:15" x14ac:dyDescent="0.3">
      <c r="A36" t="s">
        <v>2278</v>
      </c>
      <c r="B36" t="s">
        <v>1749</v>
      </c>
      <c r="C36" t="s">
        <v>1750</v>
      </c>
      <c r="D36">
        <v>4</v>
      </c>
      <c r="E36" t="s">
        <v>1447</v>
      </c>
      <c r="F36" t="s">
        <v>1754</v>
      </c>
      <c r="G36" t="s">
        <v>1741</v>
      </c>
      <c r="H36" t="s">
        <v>2559</v>
      </c>
      <c r="I36" t="s">
        <v>2277</v>
      </c>
      <c r="J36" t="s">
        <v>2277</v>
      </c>
      <c r="K36" t="s">
        <v>2277</v>
      </c>
      <c r="L36" t="s">
        <v>2277</v>
      </c>
      <c r="M36" t="s">
        <v>2277</v>
      </c>
      <c r="N36" t="s">
        <v>2277</v>
      </c>
      <c r="O36" s="190" t="str">
        <f t="shared" si="0"/>
        <v>[S02_CompetentAuthority][4][CANumber]</v>
      </c>
    </row>
    <row r="37" spans="1:15" x14ac:dyDescent="0.3">
      <c r="A37" t="s">
        <v>2278</v>
      </c>
      <c r="B37" t="s">
        <v>1749</v>
      </c>
      <c r="C37" t="s">
        <v>1750</v>
      </c>
      <c r="D37">
        <v>5</v>
      </c>
      <c r="E37" t="s">
        <v>1447</v>
      </c>
      <c r="F37" t="s">
        <v>1754</v>
      </c>
      <c r="G37" t="s">
        <v>1741</v>
      </c>
      <c r="H37" t="s">
        <v>2559</v>
      </c>
      <c r="I37" t="s">
        <v>2277</v>
      </c>
      <c r="J37" t="s">
        <v>2277</v>
      </c>
      <c r="K37" t="s">
        <v>2277</v>
      </c>
      <c r="L37" t="s">
        <v>2277</v>
      </c>
      <c r="M37" t="s">
        <v>2277</v>
      </c>
      <c r="N37" t="s">
        <v>2277</v>
      </c>
      <c r="O37" s="190" t="str">
        <f t="shared" si="0"/>
        <v>[S02_CompetentAuthority][5][CANumber]</v>
      </c>
    </row>
    <row r="38" spans="1:15" x14ac:dyDescent="0.3">
      <c r="A38" t="s">
        <v>2278</v>
      </c>
      <c r="B38" t="s">
        <v>1749</v>
      </c>
      <c r="C38" t="s">
        <v>1750</v>
      </c>
      <c r="D38">
        <v>6</v>
      </c>
      <c r="E38" t="s">
        <v>1447</v>
      </c>
      <c r="F38" t="s">
        <v>1754</v>
      </c>
      <c r="G38" t="s">
        <v>1741</v>
      </c>
      <c r="H38" t="s">
        <v>2560</v>
      </c>
      <c r="I38" t="s">
        <v>2277</v>
      </c>
      <c r="J38" t="s">
        <v>2277</v>
      </c>
      <c r="K38" t="s">
        <v>2277</v>
      </c>
      <c r="L38" t="s">
        <v>2277</v>
      </c>
      <c r="M38" t="s">
        <v>2277</v>
      </c>
      <c r="N38" t="s">
        <v>2277</v>
      </c>
      <c r="O38" s="190" t="str">
        <f t="shared" si="0"/>
        <v>[S02_CompetentAuthority][6][CANumber]</v>
      </c>
    </row>
    <row r="39" spans="1:15" x14ac:dyDescent="0.3">
      <c r="A39" t="s">
        <v>2278</v>
      </c>
      <c r="B39" t="s">
        <v>1749</v>
      </c>
      <c r="C39" t="s">
        <v>1750</v>
      </c>
      <c r="D39">
        <v>7</v>
      </c>
      <c r="E39" t="s">
        <v>1447</v>
      </c>
      <c r="F39" t="s">
        <v>1754</v>
      </c>
      <c r="G39" t="s">
        <v>1741</v>
      </c>
      <c r="H39" t="s">
        <v>2559</v>
      </c>
      <c r="I39" t="s">
        <v>2277</v>
      </c>
      <c r="J39" t="s">
        <v>2277</v>
      </c>
      <c r="K39" t="s">
        <v>2277</v>
      </c>
      <c r="L39" t="s">
        <v>2277</v>
      </c>
      <c r="M39" t="s">
        <v>2277</v>
      </c>
      <c r="N39" t="s">
        <v>2277</v>
      </c>
      <c r="O39" s="190" t="str">
        <f t="shared" si="0"/>
        <v>[S02_CompetentAuthority][7][CANumber]</v>
      </c>
    </row>
    <row r="40" spans="1:15" x14ac:dyDescent="0.3">
      <c r="A40" t="s">
        <v>2278</v>
      </c>
      <c r="B40" t="s">
        <v>1749</v>
      </c>
      <c r="C40" t="s">
        <v>1750</v>
      </c>
      <c r="D40">
        <v>8</v>
      </c>
      <c r="E40" t="s">
        <v>1447</v>
      </c>
      <c r="F40" t="s">
        <v>1754</v>
      </c>
      <c r="G40" t="s">
        <v>1741</v>
      </c>
      <c r="H40" t="s">
        <v>2558</v>
      </c>
      <c r="I40" t="s">
        <v>2277</v>
      </c>
      <c r="J40" t="s">
        <v>2277</v>
      </c>
      <c r="K40" t="s">
        <v>2277</v>
      </c>
      <c r="L40" t="s">
        <v>2277</v>
      </c>
      <c r="M40" t="s">
        <v>2277</v>
      </c>
      <c r="N40" t="s">
        <v>2277</v>
      </c>
      <c r="O40" s="190" t="str">
        <f t="shared" si="0"/>
        <v>[S02_CompetentAuthority][8][CANumber]</v>
      </c>
    </row>
    <row r="41" spans="1:15" x14ac:dyDescent="0.3">
      <c r="A41" t="s">
        <v>2278</v>
      </c>
      <c r="B41" t="s">
        <v>1749</v>
      </c>
      <c r="C41" t="s">
        <v>1750</v>
      </c>
      <c r="D41">
        <v>1</v>
      </c>
      <c r="E41" t="s">
        <v>1447</v>
      </c>
      <c r="F41" t="s">
        <v>1755</v>
      </c>
      <c r="G41" t="s">
        <v>1741</v>
      </c>
      <c r="H41" t="s">
        <v>2557</v>
      </c>
      <c r="I41" t="s">
        <v>2277</v>
      </c>
      <c r="J41" t="s">
        <v>2277</v>
      </c>
      <c r="K41" t="s">
        <v>2277</v>
      </c>
      <c r="L41" t="s">
        <v>2277</v>
      </c>
      <c r="M41" t="s">
        <v>2277</v>
      </c>
      <c r="N41" t="s">
        <v>2277</v>
      </c>
      <c r="O41" s="190" t="str">
        <f t="shared" si="0"/>
        <v>[S02_CompetentAuthority][1][CATelephone]</v>
      </c>
    </row>
    <row r="42" spans="1:15" x14ac:dyDescent="0.3">
      <c r="A42" t="s">
        <v>2278</v>
      </c>
      <c r="B42" t="s">
        <v>1749</v>
      </c>
      <c r="C42" t="s">
        <v>1750</v>
      </c>
      <c r="D42">
        <v>2</v>
      </c>
      <c r="E42" t="s">
        <v>1447</v>
      </c>
      <c r="F42" t="s">
        <v>1755</v>
      </c>
      <c r="G42" t="s">
        <v>1741</v>
      </c>
      <c r="H42" t="s">
        <v>2540</v>
      </c>
      <c r="I42" t="s">
        <v>2277</v>
      </c>
      <c r="J42" t="s">
        <v>2277</v>
      </c>
      <c r="K42" t="s">
        <v>2277</v>
      </c>
      <c r="L42" t="s">
        <v>2277</v>
      </c>
      <c r="M42" t="s">
        <v>2277</v>
      </c>
      <c r="N42" t="s">
        <v>2277</v>
      </c>
      <c r="O42" s="190" t="str">
        <f t="shared" si="0"/>
        <v>[S02_CompetentAuthority][2][CATelephone]</v>
      </c>
    </row>
    <row r="43" spans="1:15" x14ac:dyDescent="0.3">
      <c r="A43" t="s">
        <v>2278</v>
      </c>
      <c r="B43" t="s">
        <v>1749</v>
      </c>
      <c r="C43" t="s">
        <v>1750</v>
      </c>
      <c r="D43">
        <v>3</v>
      </c>
      <c r="E43" t="s">
        <v>1447</v>
      </c>
      <c r="F43" t="s">
        <v>1755</v>
      </c>
      <c r="G43" t="s">
        <v>1741</v>
      </c>
      <c r="H43" t="s">
        <v>2556</v>
      </c>
      <c r="I43" t="s">
        <v>2277</v>
      </c>
      <c r="J43" t="s">
        <v>2277</v>
      </c>
      <c r="K43" t="s">
        <v>2277</v>
      </c>
      <c r="L43" t="s">
        <v>2277</v>
      </c>
      <c r="M43" t="s">
        <v>2277</v>
      </c>
      <c r="N43" t="s">
        <v>2277</v>
      </c>
      <c r="O43" s="190" t="str">
        <f t="shared" si="0"/>
        <v>[S02_CompetentAuthority][3][CATelephone]</v>
      </c>
    </row>
    <row r="44" spans="1:15" x14ac:dyDescent="0.3">
      <c r="A44" t="s">
        <v>2278</v>
      </c>
      <c r="B44" t="s">
        <v>1749</v>
      </c>
      <c r="C44" t="s">
        <v>1750</v>
      </c>
      <c r="D44">
        <v>6</v>
      </c>
      <c r="E44" t="s">
        <v>1447</v>
      </c>
      <c r="F44" t="s">
        <v>1755</v>
      </c>
      <c r="G44" t="s">
        <v>1741</v>
      </c>
      <c r="H44" t="s">
        <v>2555</v>
      </c>
      <c r="I44" t="s">
        <v>2277</v>
      </c>
      <c r="J44" t="s">
        <v>2277</v>
      </c>
      <c r="K44" t="s">
        <v>2277</v>
      </c>
      <c r="L44" t="s">
        <v>2277</v>
      </c>
      <c r="M44" t="s">
        <v>2277</v>
      </c>
      <c r="N44" t="s">
        <v>2277</v>
      </c>
      <c r="O44" s="190" t="str">
        <f t="shared" si="0"/>
        <v>[S02_CompetentAuthority][6][CATelephone]</v>
      </c>
    </row>
    <row r="45" spans="1:15" x14ac:dyDescent="0.3">
      <c r="A45" t="s">
        <v>2278</v>
      </c>
      <c r="B45" t="s">
        <v>1749</v>
      </c>
      <c r="C45" t="s">
        <v>1750</v>
      </c>
      <c r="D45">
        <v>1</v>
      </c>
      <c r="E45" t="s">
        <v>1447</v>
      </c>
      <c r="F45" t="s">
        <v>1756</v>
      </c>
      <c r="G45" t="s">
        <v>1741</v>
      </c>
      <c r="H45" t="s">
        <v>2554</v>
      </c>
      <c r="I45" t="s">
        <v>2277</v>
      </c>
      <c r="J45" t="s">
        <v>2277</v>
      </c>
      <c r="K45" t="s">
        <v>2277</v>
      </c>
      <c r="L45" t="s">
        <v>2277</v>
      </c>
      <c r="M45" t="s">
        <v>2277</v>
      </c>
      <c r="N45" t="s">
        <v>2277</v>
      </c>
      <c r="O45" s="190" t="str">
        <f t="shared" si="0"/>
        <v>[S02_CompetentAuthority][1][CAEmail]</v>
      </c>
    </row>
    <row r="46" spans="1:15" x14ac:dyDescent="0.3">
      <c r="A46" t="s">
        <v>2278</v>
      </c>
      <c r="B46" t="s">
        <v>1749</v>
      </c>
      <c r="C46" t="s">
        <v>1750</v>
      </c>
      <c r="D46">
        <v>2</v>
      </c>
      <c r="E46" t="s">
        <v>1447</v>
      </c>
      <c r="F46" t="s">
        <v>1756</v>
      </c>
      <c r="G46" t="s">
        <v>1741</v>
      </c>
      <c r="H46" t="s">
        <v>2539</v>
      </c>
      <c r="I46" t="s">
        <v>2277</v>
      </c>
      <c r="J46" t="s">
        <v>2277</v>
      </c>
      <c r="K46" t="s">
        <v>2277</v>
      </c>
      <c r="L46" t="s">
        <v>2277</v>
      </c>
      <c r="M46" t="s">
        <v>2277</v>
      </c>
      <c r="N46" t="s">
        <v>2277</v>
      </c>
      <c r="O46" s="190" t="str">
        <f t="shared" si="0"/>
        <v>[S02_CompetentAuthority][2][CAEmail]</v>
      </c>
    </row>
    <row r="47" spans="1:15" x14ac:dyDescent="0.3">
      <c r="A47" t="s">
        <v>2278</v>
      </c>
      <c r="B47" t="s">
        <v>1749</v>
      </c>
      <c r="C47" t="s">
        <v>1750</v>
      </c>
      <c r="D47">
        <v>3</v>
      </c>
      <c r="E47" t="s">
        <v>1447</v>
      </c>
      <c r="F47" t="s">
        <v>1756</v>
      </c>
      <c r="G47" t="s">
        <v>1741</v>
      </c>
      <c r="H47" t="s">
        <v>2553</v>
      </c>
      <c r="I47" t="s">
        <v>2277</v>
      </c>
      <c r="J47" t="s">
        <v>2277</v>
      </c>
      <c r="K47" t="s">
        <v>2277</v>
      </c>
      <c r="L47" t="s">
        <v>2277</v>
      </c>
      <c r="M47" t="s">
        <v>2277</v>
      </c>
      <c r="N47" t="s">
        <v>2277</v>
      </c>
      <c r="O47" s="190" t="str">
        <f t="shared" si="0"/>
        <v>[S02_CompetentAuthority][3][CAEmail]</v>
      </c>
    </row>
    <row r="48" spans="1:15" x14ac:dyDescent="0.3">
      <c r="A48" t="s">
        <v>2278</v>
      </c>
      <c r="B48" t="s">
        <v>1749</v>
      </c>
      <c r="C48" t="s">
        <v>1750</v>
      </c>
      <c r="D48">
        <v>6</v>
      </c>
      <c r="E48" t="s">
        <v>1447</v>
      </c>
      <c r="F48" t="s">
        <v>1756</v>
      </c>
      <c r="G48" t="s">
        <v>1741</v>
      </c>
      <c r="H48" t="s">
        <v>2552</v>
      </c>
      <c r="I48" t="s">
        <v>2277</v>
      </c>
      <c r="J48" t="s">
        <v>2277</v>
      </c>
      <c r="K48" t="s">
        <v>2277</v>
      </c>
      <c r="L48" t="s">
        <v>2277</v>
      </c>
      <c r="M48" t="s">
        <v>2277</v>
      </c>
      <c r="N48" t="s">
        <v>2277</v>
      </c>
      <c r="O48" s="190" t="str">
        <f t="shared" si="0"/>
        <v>[S02_CompetentAuthority][6][CAEmail]</v>
      </c>
    </row>
    <row r="49" spans="1:15" x14ac:dyDescent="0.3">
      <c r="A49" t="s">
        <v>2278</v>
      </c>
      <c r="B49" t="s">
        <v>1749</v>
      </c>
      <c r="C49" t="s">
        <v>1750</v>
      </c>
      <c r="D49">
        <v>1</v>
      </c>
      <c r="E49" t="s">
        <v>1447</v>
      </c>
      <c r="F49" t="s">
        <v>1757</v>
      </c>
      <c r="G49" t="s">
        <v>1741</v>
      </c>
      <c r="H49" t="s">
        <v>2551</v>
      </c>
      <c r="I49" t="s">
        <v>2277</v>
      </c>
      <c r="J49" t="s">
        <v>2277</v>
      </c>
      <c r="K49" t="s">
        <v>2277</v>
      </c>
      <c r="L49" t="s">
        <v>2277</v>
      </c>
      <c r="M49" t="s">
        <v>2277</v>
      </c>
      <c r="N49" t="s">
        <v>2277</v>
      </c>
      <c r="O49" s="190" t="str">
        <f t="shared" si="0"/>
        <v>[S02_CompetentAuthority][1][CAWebsite]</v>
      </c>
    </row>
    <row r="50" spans="1:15" x14ac:dyDescent="0.3">
      <c r="A50" t="s">
        <v>2278</v>
      </c>
      <c r="B50" t="s">
        <v>1749</v>
      </c>
      <c r="C50" t="s">
        <v>1750</v>
      </c>
      <c r="D50">
        <v>2</v>
      </c>
      <c r="E50" t="s">
        <v>1447</v>
      </c>
      <c r="F50" t="s">
        <v>1757</v>
      </c>
      <c r="G50" t="s">
        <v>1741</v>
      </c>
      <c r="H50" t="s">
        <v>2538</v>
      </c>
      <c r="I50" t="s">
        <v>2277</v>
      </c>
      <c r="J50" t="s">
        <v>2277</v>
      </c>
      <c r="K50" t="s">
        <v>2277</v>
      </c>
      <c r="L50" t="s">
        <v>2277</v>
      </c>
      <c r="M50" t="s">
        <v>2277</v>
      </c>
      <c r="N50" t="s">
        <v>2277</v>
      </c>
      <c r="O50" s="190" t="str">
        <f t="shared" si="0"/>
        <v>[S02_CompetentAuthority][2][CAWebsite]</v>
      </c>
    </row>
    <row r="51" spans="1:15" x14ac:dyDescent="0.3">
      <c r="A51" t="s">
        <v>2278</v>
      </c>
      <c r="B51" t="s">
        <v>1749</v>
      </c>
      <c r="C51" t="s">
        <v>1750</v>
      </c>
      <c r="D51">
        <v>3</v>
      </c>
      <c r="E51" t="s">
        <v>1447</v>
      </c>
      <c r="F51" t="s">
        <v>1757</v>
      </c>
      <c r="G51" t="s">
        <v>1741</v>
      </c>
      <c r="H51" t="s">
        <v>2550</v>
      </c>
      <c r="I51" t="s">
        <v>2277</v>
      </c>
      <c r="J51" t="s">
        <v>2277</v>
      </c>
      <c r="K51" t="s">
        <v>2277</v>
      </c>
      <c r="L51" t="s">
        <v>2277</v>
      </c>
      <c r="M51" t="s">
        <v>2277</v>
      </c>
      <c r="N51" t="s">
        <v>2277</v>
      </c>
      <c r="O51" s="190" t="str">
        <f t="shared" si="0"/>
        <v>[S02_CompetentAuthority][3][CAWebsite]</v>
      </c>
    </row>
    <row r="52" spans="1:15" x14ac:dyDescent="0.3">
      <c r="A52" t="s">
        <v>2278</v>
      </c>
      <c r="B52" t="s">
        <v>1749</v>
      </c>
      <c r="C52" t="s">
        <v>1750</v>
      </c>
      <c r="D52">
        <v>4</v>
      </c>
      <c r="E52" t="s">
        <v>1447</v>
      </c>
      <c r="F52" t="s">
        <v>1757</v>
      </c>
      <c r="G52" t="s">
        <v>1741</v>
      </c>
      <c r="H52" t="s">
        <v>2549</v>
      </c>
      <c r="I52" t="s">
        <v>2277</v>
      </c>
      <c r="J52" t="s">
        <v>2277</v>
      </c>
      <c r="K52" t="s">
        <v>2277</v>
      </c>
      <c r="L52" t="s">
        <v>2277</v>
      </c>
      <c r="M52" t="s">
        <v>2277</v>
      </c>
      <c r="N52" t="s">
        <v>2277</v>
      </c>
      <c r="O52" s="190" t="str">
        <f t="shared" si="0"/>
        <v>[S02_CompetentAuthority][4][CAWebsite]</v>
      </c>
    </row>
    <row r="53" spans="1:15" x14ac:dyDescent="0.3">
      <c r="A53" t="s">
        <v>2278</v>
      </c>
      <c r="B53" t="s">
        <v>1749</v>
      </c>
      <c r="C53" t="s">
        <v>1750</v>
      </c>
      <c r="D53">
        <v>5</v>
      </c>
      <c r="E53" t="s">
        <v>1447</v>
      </c>
      <c r="F53" t="s">
        <v>1757</v>
      </c>
      <c r="G53" t="s">
        <v>1741</v>
      </c>
      <c r="H53" t="s">
        <v>2548</v>
      </c>
      <c r="I53" t="s">
        <v>2277</v>
      </c>
      <c r="J53" t="s">
        <v>2277</v>
      </c>
      <c r="K53" t="s">
        <v>2277</v>
      </c>
      <c r="L53" t="s">
        <v>2277</v>
      </c>
      <c r="M53" t="s">
        <v>2277</v>
      </c>
      <c r="N53" t="s">
        <v>2277</v>
      </c>
      <c r="O53" s="190" t="str">
        <f t="shared" si="0"/>
        <v>[S02_CompetentAuthority][5][CAWebsite]</v>
      </c>
    </row>
    <row r="54" spans="1:15" x14ac:dyDescent="0.3">
      <c r="A54" t="s">
        <v>2278</v>
      </c>
      <c r="B54" t="s">
        <v>1749</v>
      </c>
      <c r="C54" t="s">
        <v>1750</v>
      </c>
      <c r="D54">
        <v>6</v>
      </c>
      <c r="E54" t="s">
        <v>1447</v>
      </c>
      <c r="F54" t="s">
        <v>1757</v>
      </c>
      <c r="G54" t="s">
        <v>1741</v>
      </c>
      <c r="H54" t="s">
        <v>2547</v>
      </c>
      <c r="I54" t="s">
        <v>2277</v>
      </c>
      <c r="J54" t="s">
        <v>2277</v>
      </c>
      <c r="K54" t="s">
        <v>2277</v>
      </c>
      <c r="L54" t="s">
        <v>2277</v>
      </c>
      <c r="M54" t="s">
        <v>2277</v>
      </c>
      <c r="N54" t="s">
        <v>2277</v>
      </c>
      <c r="O54" s="190" t="str">
        <f t="shared" si="0"/>
        <v>[S02_CompetentAuthority][6][CAWebsite]</v>
      </c>
    </row>
    <row r="55" spans="1:15" x14ac:dyDescent="0.3">
      <c r="A55" t="s">
        <v>2278</v>
      </c>
      <c r="B55" t="s">
        <v>1749</v>
      </c>
      <c r="C55" t="s">
        <v>1758</v>
      </c>
      <c r="D55">
        <v>0</v>
      </c>
      <c r="E55" t="s">
        <v>1447</v>
      </c>
      <c r="F55" t="s">
        <v>1758</v>
      </c>
      <c r="G55" t="s">
        <v>1759</v>
      </c>
      <c r="H55" t="s">
        <v>2277</v>
      </c>
      <c r="I55" t="s">
        <v>2277</v>
      </c>
      <c r="J55" t="s">
        <v>2277</v>
      </c>
      <c r="K55" t="s">
        <v>2277</v>
      </c>
      <c r="L55" t="s">
        <v>1419</v>
      </c>
      <c r="M55" t="s">
        <v>2277</v>
      </c>
      <c r="N55" t="s">
        <v>2277</v>
      </c>
      <c r="O55" s="190" t="str">
        <f t="shared" si="0"/>
        <v>[S02_AccreditationBodyYesNo][0][S02_AccreditationBodyYesNo]</v>
      </c>
    </row>
    <row r="56" spans="1:15" x14ac:dyDescent="0.3">
      <c r="A56" t="s">
        <v>2278</v>
      </c>
      <c r="B56" t="s">
        <v>1749</v>
      </c>
      <c r="C56" t="s">
        <v>1760</v>
      </c>
      <c r="D56">
        <v>1</v>
      </c>
      <c r="E56" t="s">
        <v>1447</v>
      </c>
      <c r="F56" t="s">
        <v>1761</v>
      </c>
      <c r="G56" t="s">
        <v>1741</v>
      </c>
      <c r="H56" t="s">
        <v>2546</v>
      </c>
      <c r="I56" t="s">
        <v>2277</v>
      </c>
      <c r="J56" t="s">
        <v>2277</v>
      </c>
      <c r="K56" t="s">
        <v>2277</v>
      </c>
      <c r="L56" t="s">
        <v>2277</v>
      </c>
      <c r="M56" t="s">
        <v>2277</v>
      </c>
      <c r="N56" t="s">
        <v>2277</v>
      </c>
      <c r="O56" s="190" t="str">
        <f t="shared" si="0"/>
        <v>[S02_AccreditationBody][1][AccBodyName]</v>
      </c>
    </row>
    <row r="57" spans="1:15" x14ac:dyDescent="0.3">
      <c r="A57" t="s">
        <v>2278</v>
      </c>
      <c r="B57" t="s">
        <v>1749</v>
      </c>
      <c r="C57" t="s">
        <v>1760</v>
      </c>
      <c r="D57">
        <v>1</v>
      </c>
      <c r="E57" t="s">
        <v>1447</v>
      </c>
      <c r="F57" t="s">
        <v>1762</v>
      </c>
      <c r="G57" t="s">
        <v>1741</v>
      </c>
      <c r="H57" t="s">
        <v>2545</v>
      </c>
      <c r="I57" t="s">
        <v>2277</v>
      </c>
      <c r="J57" t="s">
        <v>2277</v>
      </c>
      <c r="K57" t="s">
        <v>2277</v>
      </c>
      <c r="L57" t="s">
        <v>2277</v>
      </c>
      <c r="M57" t="s">
        <v>2277</v>
      </c>
      <c r="N57" t="s">
        <v>2277</v>
      </c>
      <c r="O57" s="190" t="str">
        <f t="shared" si="0"/>
        <v>[S02_AccreditationBody][1][AccBodyAbbreviation]</v>
      </c>
    </row>
    <row r="58" spans="1:15" x14ac:dyDescent="0.3">
      <c r="A58" t="s">
        <v>2278</v>
      </c>
      <c r="B58" t="s">
        <v>1749</v>
      </c>
      <c r="C58" t="s">
        <v>1760</v>
      </c>
      <c r="D58">
        <v>1</v>
      </c>
      <c r="E58" t="s">
        <v>1447</v>
      </c>
      <c r="F58" t="s">
        <v>1763</v>
      </c>
      <c r="G58" t="s">
        <v>1741</v>
      </c>
      <c r="H58" t="s">
        <v>2544</v>
      </c>
      <c r="I58" t="s">
        <v>2277</v>
      </c>
      <c r="J58" t="s">
        <v>2277</v>
      </c>
      <c r="K58" t="s">
        <v>2277</v>
      </c>
      <c r="L58" t="s">
        <v>2277</v>
      </c>
      <c r="M58" t="s">
        <v>2277</v>
      </c>
      <c r="N58" t="s">
        <v>2277</v>
      </c>
      <c r="O58" s="190" t="str">
        <f t="shared" si="0"/>
        <v>[S02_AccreditationBody][1][AccBodyTelephone]</v>
      </c>
    </row>
    <row r="59" spans="1:15" x14ac:dyDescent="0.3">
      <c r="A59" t="s">
        <v>2278</v>
      </c>
      <c r="B59" t="s">
        <v>1749</v>
      </c>
      <c r="C59" t="s">
        <v>1760</v>
      </c>
      <c r="D59">
        <v>1</v>
      </c>
      <c r="E59" t="s">
        <v>1447</v>
      </c>
      <c r="F59" t="s">
        <v>1764</v>
      </c>
      <c r="G59" t="s">
        <v>1741</v>
      </c>
      <c r="H59" t="s">
        <v>2543</v>
      </c>
      <c r="I59" t="s">
        <v>2277</v>
      </c>
      <c r="J59" t="s">
        <v>2277</v>
      </c>
      <c r="K59" t="s">
        <v>2277</v>
      </c>
      <c r="L59" t="s">
        <v>2277</v>
      </c>
      <c r="M59" t="s">
        <v>2277</v>
      </c>
      <c r="N59" t="s">
        <v>2277</v>
      </c>
      <c r="O59" s="190" t="str">
        <f t="shared" si="0"/>
        <v>[S02_AccreditationBody][1][AccBodyEmail]</v>
      </c>
    </row>
    <row r="60" spans="1:15" x14ac:dyDescent="0.3">
      <c r="A60" t="s">
        <v>2278</v>
      </c>
      <c r="B60" t="s">
        <v>1749</v>
      </c>
      <c r="C60" t="s">
        <v>1760</v>
      </c>
      <c r="D60">
        <v>1</v>
      </c>
      <c r="E60" t="s">
        <v>1447</v>
      </c>
      <c r="F60" t="s">
        <v>1765</v>
      </c>
      <c r="G60" t="s">
        <v>1741</v>
      </c>
      <c r="H60" t="s">
        <v>2542</v>
      </c>
      <c r="I60" t="s">
        <v>2277</v>
      </c>
      <c r="J60" t="s">
        <v>2277</v>
      </c>
      <c r="K60" t="s">
        <v>2277</v>
      </c>
      <c r="L60" t="s">
        <v>2277</v>
      </c>
      <c r="M60" t="s">
        <v>2277</v>
      </c>
      <c r="N60" t="s">
        <v>2277</v>
      </c>
      <c r="O60" s="190" t="str">
        <f t="shared" si="0"/>
        <v>[S02_AccreditationBody][1][AccBodyWebsite]</v>
      </c>
    </row>
    <row r="61" spans="1:15" x14ac:dyDescent="0.3">
      <c r="A61" t="s">
        <v>2278</v>
      </c>
      <c r="B61" t="s">
        <v>1749</v>
      </c>
      <c r="C61" t="s">
        <v>1766</v>
      </c>
      <c r="D61">
        <v>0</v>
      </c>
      <c r="E61" t="s">
        <v>1447</v>
      </c>
      <c r="F61" t="s">
        <v>1766</v>
      </c>
      <c r="G61" t="s">
        <v>1759</v>
      </c>
      <c r="H61" t="s">
        <v>2277</v>
      </c>
      <c r="I61" t="s">
        <v>2277</v>
      </c>
      <c r="J61" t="s">
        <v>2277</v>
      </c>
      <c r="K61" t="s">
        <v>2277</v>
      </c>
      <c r="L61" t="s">
        <v>1447</v>
      </c>
      <c r="M61" t="s">
        <v>2277</v>
      </c>
      <c r="N61" t="s">
        <v>2277</v>
      </c>
      <c r="O61" s="190" t="str">
        <f t="shared" si="0"/>
        <v>[CertificationBodySetUp][0][CertificationBodySetUp]</v>
      </c>
    </row>
    <row r="62" spans="1:15" x14ac:dyDescent="0.3">
      <c r="A62" t="s">
        <v>2278</v>
      </c>
      <c r="B62" t="s">
        <v>1749</v>
      </c>
      <c r="C62" t="s">
        <v>1773</v>
      </c>
      <c r="D62">
        <v>1</v>
      </c>
      <c r="E62" t="s">
        <v>1447</v>
      </c>
      <c r="F62" t="s">
        <v>1774</v>
      </c>
      <c r="G62" t="s">
        <v>1741</v>
      </c>
      <c r="H62" t="s">
        <v>2541</v>
      </c>
      <c r="I62" t="s">
        <v>2277</v>
      </c>
      <c r="J62" t="s">
        <v>2277</v>
      </c>
      <c r="K62" t="s">
        <v>2277</v>
      </c>
      <c r="L62" t="s">
        <v>2277</v>
      </c>
      <c r="M62" t="s">
        <v>2277</v>
      </c>
      <c r="N62" t="s">
        <v>2277</v>
      </c>
      <c r="O62" s="190" t="str">
        <f t="shared" si="0"/>
        <v>[S02_RegistryAdministrator][1][RegAdminName]</v>
      </c>
    </row>
    <row r="63" spans="1:15" x14ac:dyDescent="0.3">
      <c r="A63" t="s">
        <v>2278</v>
      </c>
      <c r="B63" t="s">
        <v>1749</v>
      </c>
      <c r="C63" t="s">
        <v>1773</v>
      </c>
      <c r="D63">
        <v>1</v>
      </c>
      <c r="E63" t="s">
        <v>1447</v>
      </c>
      <c r="F63" t="s">
        <v>1775</v>
      </c>
      <c r="G63" t="s">
        <v>1741</v>
      </c>
      <c r="H63" t="s">
        <v>2535</v>
      </c>
      <c r="I63" t="s">
        <v>2277</v>
      </c>
      <c r="J63" t="s">
        <v>2277</v>
      </c>
      <c r="K63" t="s">
        <v>2277</v>
      </c>
      <c r="L63" t="s">
        <v>2277</v>
      </c>
      <c r="M63" t="s">
        <v>2277</v>
      </c>
      <c r="N63" t="s">
        <v>2277</v>
      </c>
      <c r="O63" s="190" t="str">
        <f t="shared" si="0"/>
        <v>[S02_RegistryAdministrator][1][RegAdminAbbreviation]</v>
      </c>
    </row>
    <row r="64" spans="1:15" x14ac:dyDescent="0.3">
      <c r="A64" t="s">
        <v>2278</v>
      </c>
      <c r="B64" t="s">
        <v>1749</v>
      </c>
      <c r="C64" t="s">
        <v>1773</v>
      </c>
      <c r="D64">
        <v>1</v>
      </c>
      <c r="E64" t="s">
        <v>1447</v>
      </c>
      <c r="F64" t="s">
        <v>1776</v>
      </c>
      <c r="G64" t="s">
        <v>1741</v>
      </c>
      <c r="H64" t="s">
        <v>2540</v>
      </c>
      <c r="I64" t="s">
        <v>2277</v>
      </c>
      <c r="J64" t="s">
        <v>2277</v>
      </c>
      <c r="K64" t="s">
        <v>2277</v>
      </c>
      <c r="L64" t="s">
        <v>2277</v>
      </c>
      <c r="M64" t="s">
        <v>2277</v>
      </c>
      <c r="N64" t="s">
        <v>2277</v>
      </c>
      <c r="O64" s="190" t="str">
        <f t="shared" si="0"/>
        <v>[S02_RegistryAdministrator][1][RegAdminTelephone]</v>
      </c>
    </row>
    <row r="65" spans="1:15" x14ac:dyDescent="0.3">
      <c r="A65" t="s">
        <v>2278</v>
      </c>
      <c r="B65" t="s">
        <v>1749</v>
      </c>
      <c r="C65" t="s">
        <v>1773</v>
      </c>
      <c r="D65">
        <v>1</v>
      </c>
      <c r="E65" t="s">
        <v>1447</v>
      </c>
      <c r="F65" t="s">
        <v>1777</v>
      </c>
      <c r="G65" t="s">
        <v>1741</v>
      </c>
      <c r="H65" t="s">
        <v>2539</v>
      </c>
      <c r="I65" t="s">
        <v>2277</v>
      </c>
      <c r="J65" t="s">
        <v>2277</v>
      </c>
      <c r="K65" t="s">
        <v>2277</v>
      </c>
      <c r="L65" t="s">
        <v>2277</v>
      </c>
      <c r="M65" t="s">
        <v>2277</v>
      </c>
      <c r="N65" t="s">
        <v>2277</v>
      </c>
      <c r="O65" s="190" t="str">
        <f t="shared" si="0"/>
        <v>[S02_RegistryAdministrator][1][RegAdminEmail]</v>
      </c>
    </row>
    <row r="66" spans="1:15" x14ac:dyDescent="0.3">
      <c r="A66" t="s">
        <v>2278</v>
      </c>
      <c r="B66" t="s">
        <v>1749</v>
      </c>
      <c r="C66" t="s">
        <v>1773</v>
      </c>
      <c r="D66">
        <v>1</v>
      </c>
      <c r="E66" t="s">
        <v>1447</v>
      </c>
      <c r="F66" t="s">
        <v>1778</v>
      </c>
      <c r="G66" t="s">
        <v>1741</v>
      </c>
      <c r="H66" t="s">
        <v>2538</v>
      </c>
      <c r="I66" t="s">
        <v>2277</v>
      </c>
      <c r="J66" t="s">
        <v>2277</v>
      </c>
      <c r="K66" t="s">
        <v>2277</v>
      </c>
      <c r="L66" t="s">
        <v>2277</v>
      </c>
      <c r="M66" t="s">
        <v>2277</v>
      </c>
      <c r="N66" t="s">
        <v>2277</v>
      </c>
      <c r="O66" s="190" t="str">
        <f t="shared" ref="O66:O129" si="1">"["&amp;$C66&amp;"]["&amp;$D66&amp;"]["&amp;$F66&amp;"]"</f>
        <v>[S02_RegistryAdministrator][1][RegAdminWebsite]</v>
      </c>
    </row>
    <row r="67" spans="1:15" x14ac:dyDescent="0.3">
      <c r="A67" t="s">
        <v>2278</v>
      </c>
      <c r="B67" t="s">
        <v>1779</v>
      </c>
      <c r="C67" t="s">
        <v>1780</v>
      </c>
      <c r="D67">
        <v>1</v>
      </c>
      <c r="E67" t="s">
        <v>1447</v>
      </c>
      <c r="F67" t="s">
        <v>1781</v>
      </c>
      <c r="G67" t="s">
        <v>1741</v>
      </c>
      <c r="H67" t="s">
        <v>2537</v>
      </c>
      <c r="I67" t="s">
        <v>2277</v>
      </c>
      <c r="J67" t="s">
        <v>2277</v>
      </c>
      <c r="K67" t="s">
        <v>2277</v>
      </c>
      <c r="L67" t="s">
        <v>2277</v>
      </c>
      <c r="M67" t="s">
        <v>2277</v>
      </c>
      <c r="N67" t="s">
        <v>2277</v>
      </c>
      <c r="O67" s="190" t="str">
        <f t="shared" si="1"/>
        <v>[S02_CompetentAuthorityRoles][1][CAForInstallationTask]</v>
      </c>
    </row>
    <row r="68" spans="1:15" x14ac:dyDescent="0.3">
      <c r="A68" t="s">
        <v>2278</v>
      </c>
      <c r="B68" t="s">
        <v>1779</v>
      </c>
      <c r="C68" t="s">
        <v>1780</v>
      </c>
      <c r="D68">
        <v>2</v>
      </c>
      <c r="E68" t="s">
        <v>1447</v>
      </c>
      <c r="F68" t="s">
        <v>1781</v>
      </c>
      <c r="G68" t="s">
        <v>1741</v>
      </c>
      <c r="H68" t="s">
        <v>2537</v>
      </c>
      <c r="I68" t="s">
        <v>2277</v>
      </c>
      <c r="J68" t="s">
        <v>2277</v>
      </c>
      <c r="K68" t="s">
        <v>2277</v>
      </c>
      <c r="L68" t="s">
        <v>2277</v>
      </c>
      <c r="M68" t="s">
        <v>2277</v>
      </c>
      <c r="N68" t="s">
        <v>2277</v>
      </c>
      <c r="O68" s="190" t="str">
        <f t="shared" si="1"/>
        <v>[S02_CompetentAuthorityRoles][2][CAForInstallationTask]</v>
      </c>
    </row>
    <row r="69" spans="1:15" x14ac:dyDescent="0.3">
      <c r="A69" t="s">
        <v>2278</v>
      </c>
      <c r="B69" t="s">
        <v>1779</v>
      </c>
      <c r="C69" t="s">
        <v>1780</v>
      </c>
      <c r="D69">
        <v>3</v>
      </c>
      <c r="E69" t="s">
        <v>1447</v>
      </c>
      <c r="F69" t="s">
        <v>1781</v>
      </c>
      <c r="G69" t="s">
        <v>1741</v>
      </c>
      <c r="H69" t="s">
        <v>2532</v>
      </c>
      <c r="I69" t="s">
        <v>2277</v>
      </c>
      <c r="J69" t="s">
        <v>2277</v>
      </c>
      <c r="K69" t="s">
        <v>2277</v>
      </c>
      <c r="L69" t="s">
        <v>2277</v>
      </c>
      <c r="M69" t="s">
        <v>2277</v>
      </c>
      <c r="N69" t="s">
        <v>2277</v>
      </c>
      <c r="O69" s="190" t="str">
        <f t="shared" si="1"/>
        <v>[S02_CompetentAuthorityRoles][3][CAForInstallationTask]</v>
      </c>
    </row>
    <row r="70" spans="1:15" x14ac:dyDescent="0.3">
      <c r="A70" t="s">
        <v>2278</v>
      </c>
      <c r="B70" t="s">
        <v>1779</v>
      </c>
      <c r="C70" t="s">
        <v>1780</v>
      </c>
      <c r="D70">
        <v>4</v>
      </c>
      <c r="E70" t="s">
        <v>1447</v>
      </c>
      <c r="F70" t="s">
        <v>1781</v>
      </c>
      <c r="G70" t="s">
        <v>1741</v>
      </c>
      <c r="H70" t="s">
        <v>2535</v>
      </c>
      <c r="I70" t="s">
        <v>2277</v>
      </c>
      <c r="J70" t="s">
        <v>2277</v>
      </c>
      <c r="K70" t="s">
        <v>2277</v>
      </c>
      <c r="L70" t="s">
        <v>2277</v>
      </c>
      <c r="M70" t="s">
        <v>2277</v>
      </c>
      <c r="N70" t="s">
        <v>2277</v>
      </c>
      <c r="O70" s="190" t="str">
        <f t="shared" si="1"/>
        <v>[S02_CompetentAuthorityRoles][4][CAForInstallationTask]</v>
      </c>
    </row>
    <row r="71" spans="1:15" x14ac:dyDescent="0.3">
      <c r="A71" t="s">
        <v>2278</v>
      </c>
      <c r="B71" t="s">
        <v>1779</v>
      </c>
      <c r="C71" t="s">
        <v>1780</v>
      </c>
      <c r="D71">
        <v>6</v>
      </c>
      <c r="E71" t="s">
        <v>1447</v>
      </c>
      <c r="F71" t="s">
        <v>1781</v>
      </c>
      <c r="G71" t="s">
        <v>1741</v>
      </c>
      <c r="H71" t="s">
        <v>2535</v>
      </c>
      <c r="I71" t="s">
        <v>2277</v>
      </c>
      <c r="J71" t="s">
        <v>2277</v>
      </c>
      <c r="K71" t="s">
        <v>2277</v>
      </c>
      <c r="L71" t="s">
        <v>2277</v>
      </c>
      <c r="M71" t="s">
        <v>2277</v>
      </c>
      <c r="N71" t="s">
        <v>2277</v>
      </c>
      <c r="O71" s="190" t="str">
        <f t="shared" si="1"/>
        <v>[S02_CompetentAuthorityRoles][6][CAForInstallationTask]</v>
      </c>
    </row>
    <row r="72" spans="1:15" x14ac:dyDescent="0.3">
      <c r="A72" t="s">
        <v>2278</v>
      </c>
      <c r="B72" t="s">
        <v>1779</v>
      </c>
      <c r="C72" t="s">
        <v>1780</v>
      </c>
      <c r="D72">
        <v>7</v>
      </c>
      <c r="E72" t="s">
        <v>1447</v>
      </c>
      <c r="F72" t="s">
        <v>1781</v>
      </c>
      <c r="G72" t="s">
        <v>1741</v>
      </c>
      <c r="H72" t="s">
        <v>2535</v>
      </c>
      <c r="I72" t="s">
        <v>2277</v>
      </c>
      <c r="J72" t="s">
        <v>2277</v>
      </c>
      <c r="K72" t="s">
        <v>2277</v>
      </c>
      <c r="L72" t="s">
        <v>2277</v>
      </c>
      <c r="M72" t="s">
        <v>2277</v>
      </c>
      <c r="N72" t="s">
        <v>2277</v>
      </c>
      <c r="O72" s="190" t="str">
        <f t="shared" si="1"/>
        <v>[S02_CompetentAuthorityRoles][7][CAForInstallationTask]</v>
      </c>
    </row>
    <row r="73" spans="1:15" x14ac:dyDescent="0.3">
      <c r="A73" t="s">
        <v>2278</v>
      </c>
      <c r="B73" t="s">
        <v>1779</v>
      </c>
      <c r="C73" t="s">
        <v>1780</v>
      </c>
      <c r="D73">
        <v>8</v>
      </c>
      <c r="E73" t="s">
        <v>1447</v>
      </c>
      <c r="F73" t="s">
        <v>1781</v>
      </c>
      <c r="G73" t="s">
        <v>1741</v>
      </c>
      <c r="H73" t="s">
        <v>2537</v>
      </c>
      <c r="I73" t="s">
        <v>2277</v>
      </c>
      <c r="J73" t="s">
        <v>2277</v>
      </c>
      <c r="K73" t="s">
        <v>2277</v>
      </c>
      <c r="L73" t="s">
        <v>2277</v>
      </c>
      <c r="M73" t="s">
        <v>2277</v>
      </c>
      <c r="N73" t="s">
        <v>2277</v>
      </c>
      <c r="O73" s="190" t="str">
        <f t="shared" si="1"/>
        <v>[S02_CompetentAuthorityRoles][8][CAForInstallationTask]</v>
      </c>
    </row>
    <row r="74" spans="1:15" x14ac:dyDescent="0.3">
      <c r="A74" t="s">
        <v>2278</v>
      </c>
      <c r="B74" t="s">
        <v>1779</v>
      </c>
      <c r="C74" t="s">
        <v>1780</v>
      </c>
      <c r="D74">
        <v>9</v>
      </c>
      <c r="E74" t="s">
        <v>1447</v>
      </c>
      <c r="F74" t="s">
        <v>1781</v>
      </c>
      <c r="G74" t="s">
        <v>1741</v>
      </c>
      <c r="H74" t="s">
        <v>2535</v>
      </c>
      <c r="I74" t="s">
        <v>2277</v>
      </c>
      <c r="J74" t="s">
        <v>2277</v>
      </c>
      <c r="K74" t="s">
        <v>2277</v>
      </c>
      <c r="L74" t="s">
        <v>2277</v>
      </c>
      <c r="M74" t="s">
        <v>2277</v>
      </c>
      <c r="N74" t="s">
        <v>2277</v>
      </c>
      <c r="O74" s="190" t="str">
        <f t="shared" si="1"/>
        <v>[S02_CompetentAuthorityRoles][9][CAForInstallationTask]</v>
      </c>
    </row>
    <row r="75" spans="1:15" x14ac:dyDescent="0.3">
      <c r="A75" t="s">
        <v>2278</v>
      </c>
      <c r="B75" t="s">
        <v>1779</v>
      </c>
      <c r="C75" t="s">
        <v>1780</v>
      </c>
      <c r="D75">
        <v>10</v>
      </c>
      <c r="E75" t="s">
        <v>1447</v>
      </c>
      <c r="F75" t="s">
        <v>1781</v>
      </c>
      <c r="G75" t="s">
        <v>1741</v>
      </c>
      <c r="H75" t="s">
        <v>2537</v>
      </c>
      <c r="I75" t="s">
        <v>2277</v>
      </c>
      <c r="J75" t="s">
        <v>2277</v>
      </c>
      <c r="K75" t="s">
        <v>2277</v>
      </c>
      <c r="L75" t="s">
        <v>2277</v>
      </c>
      <c r="M75" t="s">
        <v>2277</v>
      </c>
      <c r="N75" t="s">
        <v>2277</v>
      </c>
      <c r="O75" s="190" t="str">
        <f t="shared" si="1"/>
        <v>[S02_CompetentAuthorityRoles][10][CAForInstallationTask]</v>
      </c>
    </row>
    <row r="76" spans="1:15" x14ac:dyDescent="0.3">
      <c r="A76" t="s">
        <v>2278</v>
      </c>
      <c r="B76" t="s">
        <v>1779</v>
      </c>
      <c r="C76" t="s">
        <v>1780</v>
      </c>
      <c r="D76">
        <v>11</v>
      </c>
      <c r="E76" t="s">
        <v>1447</v>
      </c>
      <c r="F76" t="s">
        <v>1781</v>
      </c>
      <c r="G76" t="s">
        <v>1741</v>
      </c>
      <c r="H76" t="s">
        <v>2536</v>
      </c>
      <c r="I76" t="s">
        <v>2277</v>
      </c>
      <c r="J76" t="s">
        <v>2277</v>
      </c>
      <c r="K76" t="s">
        <v>2277</v>
      </c>
      <c r="L76" t="s">
        <v>2277</v>
      </c>
      <c r="M76" t="s">
        <v>2277</v>
      </c>
      <c r="N76" t="s">
        <v>2277</v>
      </c>
      <c r="O76" s="190" t="str">
        <f t="shared" si="1"/>
        <v>[S02_CompetentAuthorityRoles][11][CAForInstallationTask]</v>
      </c>
    </row>
    <row r="77" spans="1:15" x14ac:dyDescent="0.3">
      <c r="A77" t="s">
        <v>2278</v>
      </c>
      <c r="B77" t="s">
        <v>1779</v>
      </c>
      <c r="C77" t="s">
        <v>1780</v>
      </c>
      <c r="D77">
        <v>5</v>
      </c>
      <c r="E77" t="s">
        <v>1447</v>
      </c>
      <c r="F77" t="s">
        <v>1782</v>
      </c>
      <c r="G77" t="s">
        <v>1741</v>
      </c>
      <c r="H77" t="s">
        <v>2532</v>
      </c>
      <c r="I77" t="s">
        <v>2277</v>
      </c>
      <c r="J77" t="s">
        <v>2277</v>
      </c>
      <c r="K77" t="s">
        <v>2277</v>
      </c>
      <c r="L77" t="s">
        <v>2277</v>
      </c>
      <c r="M77" t="s">
        <v>2277</v>
      </c>
      <c r="N77" t="s">
        <v>2277</v>
      </c>
      <c r="O77" s="190" t="str">
        <f t="shared" si="1"/>
        <v>[S02_CompetentAuthorityRoles][5][CAForAviationTask]</v>
      </c>
    </row>
    <row r="78" spans="1:15" x14ac:dyDescent="0.3">
      <c r="A78" t="s">
        <v>2278</v>
      </c>
      <c r="B78" t="s">
        <v>1779</v>
      </c>
      <c r="C78" t="s">
        <v>1780</v>
      </c>
      <c r="D78">
        <v>6</v>
      </c>
      <c r="E78" t="s">
        <v>1447</v>
      </c>
      <c r="F78" t="s">
        <v>1782</v>
      </c>
      <c r="G78" t="s">
        <v>1741</v>
      </c>
      <c r="H78" t="s">
        <v>2535</v>
      </c>
      <c r="I78" t="s">
        <v>2277</v>
      </c>
      <c r="J78" t="s">
        <v>2277</v>
      </c>
      <c r="K78" t="s">
        <v>2277</v>
      </c>
      <c r="L78" t="s">
        <v>2277</v>
      </c>
      <c r="M78" t="s">
        <v>2277</v>
      </c>
      <c r="N78" t="s">
        <v>2277</v>
      </c>
      <c r="O78" s="190" t="str">
        <f t="shared" si="1"/>
        <v>[S02_CompetentAuthorityRoles][6][CAForAviationTask]</v>
      </c>
    </row>
    <row r="79" spans="1:15" x14ac:dyDescent="0.3">
      <c r="A79" t="s">
        <v>2278</v>
      </c>
      <c r="B79" t="s">
        <v>1779</v>
      </c>
      <c r="C79" t="s">
        <v>1780</v>
      </c>
      <c r="D79">
        <v>7</v>
      </c>
      <c r="E79" t="s">
        <v>1447</v>
      </c>
      <c r="F79" t="s">
        <v>1782</v>
      </c>
      <c r="G79" t="s">
        <v>1741</v>
      </c>
      <c r="H79" t="s">
        <v>2535</v>
      </c>
      <c r="I79" t="s">
        <v>2277</v>
      </c>
      <c r="J79" t="s">
        <v>2277</v>
      </c>
      <c r="K79" t="s">
        <v>2277</v>
      </c>
      <c r="L79" t="s">
        <v>2277</v>
      </c>
      <c r="M79" t="s">
        <v>2277</v>
      </c>
      <c r="N79" t="s">
        <v>2277</v>
      </c>
      <c r="O79" s="190" t="str">
        <f t="shared" si="1"/>
        <v>[S02_CompetentAuthorityRoles][7][CAForAviationTask]</v>
      </c>
    </row>
    <row r="80" spans="1:15" x14ac:dyDescent="0.3">
      <c r="A80" t="s">
        <v>2278</v>
      </c>
      <c r="B80" t="s">
        <v>1779</v>
      </c>
      <c r="C80" t="s">
        <v>1780</v>
      </c>
      <c r="D80">
        <v>8</v>
      </c>
      <c r="E80" t="s">
        <v>1447</v>
      </c>
      <c r="F80" t="s">
        <v>1782</v>
      </c>
      <c r="G80" t="s">
        <v>1741</v>
      </c>
      <c r="H80" t="s">
        <v>2532</v>
      </c>
      <c r="I80" t="s">
        <v>2277</v>
      </c>
      <c r="J80" t="s">
        <v>2277</v>
      </c>
      <c r="K80" t="s">
        <v>2277</v>
      </c>
      <c r="L80" t="s">
        <v>2277</v>
      </c>
      <c r="M80" t="s">
        <v>2277</v>
      </c>
      <c r="N80" t="s">
        <v>2277</v>
      </c>
      <c r="O80" s="190" t="str">
        <f t="shared" si="1"/>
        <v>[S02_CompetentAuthorityRoles][8][CAForAviationTask]</v>
      </c>
    </row>
    <row r="81" spans="1:15" x14ac:dyDescent="0.3">
      <c r="A81" t="s">
        <v>2278</v>
      </c>
      <c r="B81" t="s">
        <v>1779</v>
      </c>
      <c r="C81" t="s">
        <v>1780</v>
      </c>
      <c r="D81">
        <v>9</v>
      </c>
      <c r="E81" t="s">
        <v>1447</v>
      </c>
      <c r="F81" t="s">
        <v>1782</v>
      </c>
      <c r="G81" t="s">
        <v>1741</v>
      </c>
      <c r="H81" t="s">
        <v>2535</v>
      </c>
      <c r="I81" t="s">
        <v>2277</v>
      </c>
      <c r="J81" t="s">
        <v>2277</v>
      </c>
      <c r="K81" t="s">
        <v>2277</v>
      </c>
      <c r="L81" t="s">
        <v>2277</v>
      </c>
      <c r="M81" t="s">
        <v>2277</v>
      </c>
      <c r="N81" t="s">
        <v>2277</v>
      </c>
      <c r="O81" s="190" t="str">
        <f t="shared" si="1"/>
        <v>[S02_CompetentAuthorityRoles][9][CAForAviationTask]</v>
      </c>
    </row>
    <row r="82" spans="1:15" x14ac:dyDescent="0.3">
      <c r="A82" t="s">
        <v>2278</v>
      </c>
      <c r="B82" t="s">
        <v>1779</v>
      </c>
      <c r="C82" t="s">
        <v>1780</v>
      </c>
      <c r="D82">
        <v>10</v>
      </c>
      <c r="E82" t="s">
        <v>1447</v>
      </c>
      <c r="F82" t="s">
        <v>1782</v>
      </c>
      <c r="G82" t="s">
        <v>1741</v>
      </c>
      <c r="H82" t="s">
        <v>2532</v>
      </c>
      <c r="I82" t="s">
        <v>2277</v>
      </c>
      <c r="J82" t="s">
        <v>2277</v>
      </c>
      <c r="K82" t="s">
        <v>2277</v>
      </c>
      <c r="L82" t="s">
        <v>2277</v>
      </c>
      <c r="M82" t="s">
        <v>2277</v>
      </c>
      <c r="N82" t="s">
        <v>2277</v>
      </c>
      <c r="O82" s="190" t="str">
        <f t="shared" si="1"/>
        <v>[S02_CompetentAuthorityRoles][10][CAForAviationTask]</v>
      </c>
    </row>
    <row r="83" spans="1:15" x14ac:dyDescent="0.3">
      <c r="A83" t="s">
        <v>2278</v>
      </c>
      <c r="B83" t="s">
        <v>1779</v>
      </c>
      <c r="C83" t="s">
        <v>1780</v>
      </c>
      <c r="D83">
        <v>11</v>
      </c>
      <c r="E83" t="s">
        <v>1447</v>
      </c>
      <c r="F83" t="s">
        <v>1782</v>
      </c>
      <c r="G83" t="s">
        <v>1741</v>
      </c>
      <c r="H83" t="s">
        <v>2534</v>
      </c>
      <c r="I83" t="s">
        <v>2277</v>
      </c>
      <c r="J83" t="s">
        <v>2277</v>
      </c>
      <c r="K83" t="s">
        <v>2277</v>
      </c>
      <c r="L83" t="s">
        <v>2277</v>
      </c>
      <c r="M83" t="s">
        <v>2277</v>
      </c>
      <c r="N83" t="s">
        <v>2277</v>
      </c>
      <c r="O83" s="190" t="str">
        <f t="shared" si="1"/>
        <v>[S02_CompetentAuthorityRoles][11][CAForAviationTask]</v>
      </c>
    </row>
    <row r="84" spans="1:15" x14ac:dyDescent="0.3">
      <c r="A84" t="s">
        <v>2278</v>
      </c>
      <c r="B84" t="s">
        <v>1784</v>
      </c>
      <c r="C84" t="s">
        <v>1785</v>
      </c>
      <c r="D84">
        <v>0</v>
      </c>
      <c r="E84" t="s">
        <v>1447</v>
      </c>
      <c r="F84" t="s">
        <v>1786</v>
      </c>
      <c r="G84" t="s">
        <v>1741</v>
      </c>
      <c r="H84" t="s">
        <v>2533</v>
      </c>
      <c r="I84" t="s">
        <v>2277</v>
      </c>
      <c r="J84" t="s">
        <v>2277</v>
      </c>
      <c r="K84" t="s">
        <v>2277</v>
      </c>
      <c r="L84" t="s">
        <v>2277</v>
      </c>
      <c r="M84" t="s">
        <v>2277</v>
      </c>
      <c r="N84" t="s">
        <v>2277</v>
      </c>
      <c r="O84" s="190" t="str">
        <f t="shared" si="1"/>
        <v>[S02_CAFocalPoint][0][CAArt70]</v>
      </c>
    </row>
    <row r="85" spans="1:15" x14ac:dyDescent="0.3">
      <c r="A85" t="s">
        <v>2278</v>
      </c>
      <c r="B85" t="s">
        <v>1784</v>
      </c>
      <c r="C85" t="s">
        <v>1785</v>
      </c>
      <c r="D85">
        <v>0</v>
      </c>
      <c r="E85" t="s">
        <v>1447</v>
      </c>
      <c r="F85" t="s">
        <v>1787</v>
      </c>
      <c r="G85" t="s">
        <v>1741</v>
      </c>
      <c r="H85" t="s">
        <v>2532</v>
      </c>
      <c r="I85" t="s">
        <v>2277</v>
      </c>
      <c r="J85" t="s">
        <v>2277</v>
      </c>
      <c r="K85" t="s">
        <v>2277</v>
      </c>
      <c r="L85" t="s">
        <v>2277</v>
      </c>
      <c r="M85" t="s">
        <v>2277</v>
      </c>
      <c r="N85" t="s">
        <v>2277</v>
      </c>
      <c r="O85" s="190" t="str">
        <f t="shared" si="1"/>
        <v>[S02_CAFocalPoint][0][CAArt70Abbrev]</v>
      </c>
    </row>
    <row r="86" spans="1:15" x14ac:dyDescent="0.3">
      <c r="A86" t="s">
        <v>2278</v>
      </c>
      <c r="B86" t="s">
        <v>1784</v>
      </c>
      <c r="C86" t="s">
        <v>1788</v>
      </c>
      <c r="D86">
        <v>1</v>
      </c>
      <c r="E86" t="s">
        <v>1447</v>
      </c>
      <c r="F86" t="s">
        <v>1789</v>
      </c>
      <c r="G86" t="s">
        <v>1759</v>
      </c>
      <c r="H86" t="s">
        <v>2277</v>
      </c>
      <c r="I86" t="s">
        <v>2277</v>
      </c>
      <c r="J86" t="s">
        <v>2277</v>
      </c>
      <c r="K86" t="s">
        <v>2277</v>
      </c>
      <c r="L86" t="s">
        <v>1419</v>
      </c>
      <c r="M86" t="s">
        <v>2277</v>
      </c>
      <c r="N86" t="s">
        <v>2277</v>
      </c>
      <c r="O86" s="190" t="str">
        <f t="shared" si="1"/>
        <v>[S02_CompetentAuthorityCoordination][1][CACoordinationYesNo]</v>
      </c>
    </row>
    <row r="87" spans="1:15" x14ac:dyDescent="0.3">
      <c r="A87" t="s">
        <v>2278</v>
      </c>
      <c r="B87" t="s">
        <v>1784</v>
      </c>
      <c r="C87" t="s">
        <v>1788</v>
      </c>
      <c r="D87">
        <v>2</v>
      </c>
      <c r="E87" t="s">
        <v>1447</v>
      </c>
      <c r="F87" t="s">
        <v>1789</v>
      </c>
      <c r="G87" t="s">
        <v>1759</v>
      </c>
      <c r="H87" t="s">
        <v>2277</v>
      </c>
      <c r="I87" t="s">
        <v>2277</v>
      </c>
      <c r="J87" t="s">
        <v>2277</v>
      </c>
      <c r="K87" t="s">
        <v>2277</v>
      </c>
      <c r="L87" t="s">
        <v>1419</v>
      </c>
      <c r="M87" t="s">
        <v>2277</v>
      </c>
      <c r="N87" t="s">
        <v>2277</v>
      </c>
      <c r="O87" s="190" t="str">
        <f t="shared" si="1"/>
        <v>[S02_CompetentAuthorityCoordination][2][CACoordinationYesNo]</v>
      </c>
    </row>
    <row r="88" spans="1:15" x14ac:dyDescent="0.3">
      <c r="A88" t="s">
        <v>2278</v>
      </c>
      <c r="B88" t="s">
        <v>1784</v>
      </c>
      <c r="C88" t="s">
        <v>1788</v>
      </c>
      <c r="D88">
        <v>3</v>
      </c>
      <c r="E88" t="s">
        <v>1447</v>
      </c>
      <c r="F88" t="s">
        <v>1789</v>
      </c>
      <c r="G88" t="s">
        <v>1759</v>
      </c>
      <c r="H88" t="s">
        <v>2277</v>
      </c>
      <c r="I88" t="s">
        <v>2277</v>
      </c>
      <c r="J88" t="s">
        <v>2277</v>
      </c>
      <c r="K88" t="s">
        <v>2277</v>
      </c>
      <c r="L88" t="s">
        <v>1447</v>
      </c>
      <c r="M88" t="s">
        <v>2277</v>
      </c>
      <c r="N88" t="s">
        <v>2277</v>
      </c>
      <c r="O88" s="190" t="str">
        <f t="shared" si="1"/>
        <v>[S02_CompetentAuthorityCoordination][3][CACoordinationYesNo]</v>
      </c>
    </row>
    <row r="89" spans="1:15" x14ac:dyDescent="0.3">
      <c r="A89" t="s">
        <v>2278</v>
      </c>
      <c r="B89" t="s">
        <v>1784</v>
      </c>
      <c r="C89" t="s">
        <v>1788</v>
      </c>
      <c r="D89">
        <v>4</v>
      </c>
      <c r="E89" t="s">
        <v>1447</v>
      </c>
      <c r="F89" t="s">
        <v>1789</v>
      </c>
      <c r="G89" t="s">
        <v>1759</v>
      </c>
      <c r="H89" t="s">
        <v>2277</v>
      </c>
      <c r="I89" t="s">
        <v>2277</v>
      </c>
      <c r="J89" t="s">
        <v>2277</v>
      </c>
      <c r="K89" t="s">
        <v>2277</v>
      </c>
      <c r="L89" t="s">
        <v>1447</v>
      </c>
      <c r="M89" t="s">
        <v>2277</v>
      </c>
      <c r="N89" t="s">
        <v>2277</v>
      </c>
      <c r="O89" s="190" t="str">
        <f t="shared" si="1"/>
        <v>[S02_CompetentAuthorityCoordination][4][CACoordinationYesNo]</v>
      </c>
    </row>
    <row r="90" spans="1:15" x14ac:dyDescent="0.3">
      <c r="A90" t="s">
        <v>2278</v>
      </c>
      <c r="B90" t="s">
        <v>1784</v>
      </c>
      <c r="C90" t="s">
        <v>1788</v>
      </c>
      <c r="D90">
        <v>5</v>
      </c>
      <c r="E90" t="s">
        <v>1447</v>
      </c>
      <c r="F90" t="s">
        <v>1789</v>
      </c>
      <c r="G90" t="s">
        <v>1759</v>
      </c>
      <c r="H90" t="s">
        <v>2277</v>
      </c>
      <c r="I90" t="s">
        <v>2277</v>
      </c>
      <c r="J90" t="s">
        <v>2277</v>
      </c>
      <c r="K90" t="s">
        <v>2277</v>
      </c>
      <c r="L90" t="s">
        <v>1447</v>
      </c>
      <c r="M90" t="s">
        <v>2277</v>
      </c>
      <c r="N90" t="s">
        <v>2277</v>
      </c>
      <c r="O90" s="190" t="str">
        <f t="shared" si="1"/>
        <v>[S02_CompetentAuthorityCoordination][5][CACoordinationYesNo]</v>
      </c>
    </row>
    <row r="91" spans="1:15" x14ac:dyDescent="0.3">
      <c r="A91" t="s">
        <v>2278</v>
      </c>
      <c r="B91" t="s">
        <v>1784</v>
      </c>
      <c r="C91" t="s">
        <v>1788</v>
      </c>
      <c r="D91">
        <v>6</v>
      </c>
      <c r="E91" t="s">
        <v>1447</v>
      </c>
      <c r="F91" t="s">
        <v>1789</v>
      </c>
      <c r="G91" t="s">
        <v>1759</v>
      </c>
      <c r="H91" t="s">
        <v>2277</v>
      </c>
      <c r="I91" t="s">
        <v>2277</v>
      </c>
      <c r="J91" t="s">
        <v>2277</v>
      </c>
      <c r="K91" t="s">
        <v>2277</v>
      </c>
      <c r="L91" t="s">
        <v>1447</v>
      </c>
      <c r="M91" t="s">
        <v>2277</v>
      </c>
      <c r="N91" t="s">
        <v>2277</v>
      </c>
      <c r="O91" s="190" t="str">
        <f t="shared" si="1"/>
        <v>[S02_CompetentAuthorityCoordination][6][CACoordinationYesNo]</v>
      </c>
    </row>
    <row r="92" spans="1:15" x14ac:dyDescent="0.3">
      <c r="A92" t="s">
        <v>2278</v>
      </c>
      <c r="B92" t="s">
        <v>1792</v>
      </c>
      <c r="C92" t="s">
        <v>1793</v>
      </c>
      <c r="D92">
        <v>1</v>
      </c>
      <c r="E92" t="s">
        <v>1447</v>
      </c>
      <c r="F92" t="s">
        <v>1794</v>
      </c>
      <c r="G92" t="s">
        <v>1759</v>
      </c>
      <c r="H92" t="s">
        <v>2277</v>
      </c>
      <c r="I92" t="s">
        <v>2277</v>
      </c>
      <c r="J92" t="s">
        <v>2277</v>
      </c>
      <c r="K92" t="s">
        <v>2277</v>
      </c>
      <c r="L92" t="s">
        <v>1447</v>
      </c>
      <c r="M92" t="s">
        <v>2277</v>
      </c>
      <c r="N92" t="s">
        <v>2277</v>
      </c>
      <c r="O92" s="190" t="str">
        <f t="shared" si="1"/>
        <v>[S02_InformationExchangeAccBodyAndCA][1][InfoExchangeYesNo]</v>
      </c>
    </row>
    <row r="93" spans="1:15" x14ac:dyDescent="0.3">
      <c r="A93" t="s">
        <v>2278</v>
      </c>
      <c r="B93" t="s">
        <v>1792</v>
      </c>
      <c r="C93" t="s">
        <v>1793</v>
      </c>
      <c r="D93">
        <v>2</v>
      </c>
      <c r="E93" t="s">
        <v>1447</v>
      </c>
      <c r="F93" t="s">
        <v>1794</v>
      </c>
      <c r="G93" t="s">
        <v>1759</v>
      </c>
      <c r="H93" t="s">
        <v>2277</v>
      </c>
      <c r="I93" t="s">
        <v>2277</v>
      </c>
      <c r="J93" t="s">
        <v>2277</v>
      </c>
      <c r="K93" t="s">
        <v>2277</v>
      </c>
      <c r="L93" t="s">
        <v>1447</v>
      </c>
      <c r="M93" t="s">
        <v>2277</v>
      </c>
      <c r="N93" t="s">
        <v>2277</v>
      </c>
      <c r="O93" s="190" t="str">
        <f t="shared" si="1"/>
        <v>[S02_InformationExchangeAccBodyAndCA][2][InfoExchangeYesNo]</v>
      </c>
    </row>
    <row r="94" spans="1:15" x14ac:dyDescent="0.3">
      <c r="A94" t="s">
        <v>2278</v>
      </c>
      <c r="B94" t="s">
        <v>1792</v>
      </c>
      <c r="C94" t="s">
        <v>1793</v>
      </c>
      <c r="D94">
        <v>3</v>
      </c>
      <c r="E94" t="s">
        <v>1447</v>
      </c>
      <c r="F94" t="s">
        <v>1794</v>
      </c>
      <c r="G94" t="s">
        <v>1759</v>
      </c>
      <c r="H94" t="s">
        <v>2277</v>
      </c>
      <c r="I94" t="s">
        <v>2277</v>
      </c>
      <c r="J94" t="s">
        <v>2277</v>
      </c>
      <c r="K94" t="s">
        <v>2277</v>
      </c>
      <c r="L94" t="s">
        <v>1419</v>
      </c>
      <c r="M94" t="s">
        <v>2277</v>
      </c>
      <c r="N94" t="s">
        <v>2277</v>
      </c>
      <c r="O94" s="190" t="str">
        <f t="shared" si="1"/>
        <v>[S02_InformationExchangeAccBodyAndCA][3][InfoExchangeYesNo]</v>
      </c>
    </row>
    <row r="95" spans="1:15" x14ac:dyDescent="0.3">
      <c r="A95" t="s">
        <v>2278</v>
      </c>
      <c r="B95" t="s">
        <v>1792</v>
      </c>
      <c r="C95" t="s">
        <v>1793</v>
      </c>
      <c r="D95">
        <v>4</v>
      </c>
      <c r="E95" t="s">
        <v>1447</v>
      </c>
      <c r="F95" t="s">
        <v>1783</v>
      </c>
      <c r="G95" t="s">
        <v>1741</v>
      </c>
      <c r="H95" t="s">
        <v>2531</v>
      </c>
      <c r="I95" t="s">
        <v>2277</v>
      </c>
      <c r="J95" t="s">
        <v>2277</v>
      </c>
      <c r="K95" t="s">
        <v>2277</v>
      </c>
      <c r="L95" t="s">
        <v>2277</v>
      </c>
      <c r="M95" t="s">
        <v>2277</v>
      </c>
      <c r="N95" t="s">
        <v>2277</v>
      </c>
      <c r="O95" s="190" t="str">
        <f t="shared" si="1"/>
        <v>[S02_InformationExchangeAccBodyAndCA][4][OtherDescription]</v>
      </c>
    </row>
    <row r="96" spans="1:15" x14ac:dyDescent="0.3">
      <c r="A96" t="s">
        <v>2278</v>
      </c>
      <c r="B96" t="s">
        <v>1792</v>
      </c>
      <c r="C96" t="s">
        <v>1793</v>
      </c>
      <c r="D96">
        <v>5</v>
      </c>
      <c r="E96" t="s">
        <v>1447</v>
      </c>
      <c r="F96" t="s">
        <v>1783</v>
      </c>
      <c r="G96" t="s">
        <v>1741</v>
      </c>
      <c r="H96" t="s">
        <v>2530</v>
      </c>
      <c r="I96" t="s">
        <v>2277</v>
      </c>
      <c r="J96" t="s">
        <v>2277</v>
      </c>
      <c r="K96" t="s">
        <v>2277</v>
      </c>
      <c r="L96" t="s">
        <v>2277</v>
      </c>
      <c r="M96" t="s">
        <v>2277</v>
      </c>
      <c r="N96" t="s">
        <v>2277</v>
      </c>
      <c r="O96" s="190" t="str">
        <f t="shared" si="1"/>
        <v>[S02_InformationExchangeAccBodyAndCA][5][OtherDescription]</v>
      </c>
    </row>
    <row r="97" spans="1:15" x14ac:dyDescent="0.3">
      <c r="A97" t="s">
        <v>2278</v>
      </c>
      <c r="B97" t="s">
        <v>1792</v>
      </c>
      <c r="C97" t="s">
        <v>1793</v>
      </c>
      <c r="D97">
        <v>3</v>
      </c>
      <c r="E97" t="s">
        <v>1447</v>
      </c>
      <c r="F97" t="s">
        <v>1795</v>
      </c>
      <c r="G97" t="s">
        <v>1791</v>
      </c>
      <c r="H97" t="s">
        <v>2277</v>
      </c>
      <c r="I97" t="s">
        <v>2277</v>
      </c>
      <c r="J97" t="s">
        <v>2277</v>
      </c>
      <c r="K97" t="s">
        <v>2529</v>
      </c>
      <c r="L97" t="s">
        <v>2277</v>
      </c>
      <c r="M97" t="s">
        <v>2277</v>
      </c>
      <c r="N97" t="s">
        <v>2277</v>
      </c>
      <c r="O97" s="190" t="str">
        <f t="shared" si="1"/>
        <v>[S02_InformationExchangeAccBodyAndCA][3][InfoExchangeComment]</v>
      </c>
    </row>
    <row r="98" spans="1:15" x14ac:dyDescent="0.3">
      <c r="A98" t="s">
        <v>2278</v>
      </c>
      <c r="B98" t="s">
        <v>1796</v>
      </c>
      <c r="C98" t="s">
        <v>1797</v>
      </c>
      <c r="D98">
        <v>1</v>
      </c>
      <c r="E98" t="s">
        <v>1447</v>
      </c>
      <c r="F98" t="s">
        <v>1798</v>
      </c>
      <c r="G98" t="s">
        <v>1748</v>
      </c>
      <c r="H98" t="s">
        <v>2277</v>
      </c>
      <c r="I98">
        <v>602</v>
      </c>
      <c r="J98" t="s">
        <v>2277</v>
      </c>
      <c r="K98" t="s">
        <v>2277</v>
      </c>
      <c r="L98" t="s">
        <v>2277</v>
      </c>
      <c r="M98" t="s">
        <v>2277</v>
      </c>
      <c r="N98" t="s">
        <v>2277</v>
      </c>
      <c r="O98" s="190" t="str">
        <f t="shared" si="1"/>
        <v>[S03_EmittingInstallations][1][NumberOfInstallations]</v>
      </c>
    </row>
    <row r="99" spans="1:15" x14ac:dyDescent="0.3">
      <c r="A99" t="s">
        <v>2278</v>
      </c>
      <c r="B99" t="s">
        <v>1796</v>
      </c>
      <c r="C99" t="s">
        <v>1797</v>
      </c>
      <c r="D99">
        <v>2</v>
      </c>
      <c r="E99" t="s">
        <v>1447</v>
      </c>
      <c r="F99" t="s">
        <v>1798</v>
      </c>
      <c r="G99" t="s">
        <v>1748</v>
      </c>
      <c r="H99" t="s">
        <v>2277</v>
      </c>
      <c r="I99">
        <v>363</v>
      </c>
      <c r="J99" t="s">
        <v>2277</v>
      </c>
      <c r="K99" t="s">
        <v>2277</v>
      </c>
      <c r="L99" t="s">
        <v>2277</v>
      </c>
      <c r="M99" t="s">
        <v>2277</v>
      </c>
      <c r="N99" t="s">
        <v>2277</v>
      </c>
      <c r="O99" s="190" t="str">
        <f t="shared" si="1"/>
        <v>[S03_EmittingInstallations][2][NumberOfInstallations]</v>
      </c>
    </row>
    <row r="100" spans="1:15" x14ac:dyDescent="0.3">
      <c r="A100" t="s">
        <v>2278</v>
      </c>
      <c r="B100" t="s">
        <v>1796</v>
      </c>
      <c r="C100" t="s">
        <v>1797</v>
      </c>
      <c r="D100">
        <v>3</v>
      </c>
      <c r="E100" t="s">
        <v>1447</v>
      </c>
      <c r="F100" t="s">
        <v>1798</v>
      </c>
      <c r="G100" t="s">
        <v>1748</v>
      </c>
      <c r="H100" t="s">
        <v>2277</v>
      </c>
      <c r="I100">
        <v>170</v>
      </c>
      <c r="J100" t="s">
        <v>2277</v>
      </c>
      <c r="K100" t="s">
        <v>2277</v>
      </c>
      <c r="L100" t="s">
        <v>2277</v>
      </c>
      <c r="M100" t="s">
        <v>2277</v>
      </c>
      <c r="N100" t="s">
        <v>2277</v>
      </c>
      <c r="O100" s="190" t="str">
        <f t="shared" si="1"/>
        <v>[S03_EmittingInstallations][3][NumberOfInstallations]</v>
      </c>
    </row>
    <row r="101" spans="1:15" x14ac:dyDescent="0.3">
      <c r="A101" t="s">
        <v>2278</v>
      </c>
      <c r="B101" t="s">
        <v>1796</v>
      </c>
      <c r="C101" t="s">
        <v>1797</v>
      </c>
      <c r="D101">
        <v>4</v>
      </c>
      <c r="E101" t="s">
        <v>1447</v>
      </c>
      <c r="F101" t="s">
        <v>1798</v>
      </c>
      <c r="G101" t="s">
        <v>1748</v>
      </c>
      <c r="H101" t="s">
        <v>2277</v>
      </c>
      <c r="I101">
        <v>69</v>
      </c>
      <c r="J101" t="s">
        <v>2277</v>
      </c>
      <c r="K101" t="s">
        <v>2277</v>
      </c>
      <c r="L101" t="s">
        <v>2277</v>
      </c>
      <c r="M101" t="s">
        <v>2277</v>
      </c>
      <c r="N101" t="s">
        <v>2277</v>
      </c>
      <c r="O101" s="190" t="str">
        <f t="shared" si="1"/>
        <v>[S03_EmittingInstallations][4][NumberOfInstallations]</v>
      </c>
    </row>
    <row r="102" spans="1:15" x14ac:dyDescent="0.3">
      <c r="A102" t="s">
        <v>2278</v>
      </c>
      <c r="B102" t="s">
        <v>1796</v>
      </c>
      <c r="C102" t="s">
        <v>1797</v>
      </c>
      <c r="D102">
        <v>5</v>
      </c>
      <c r="E102" t="s">
        <v>1447</v>
      </c>
      <c r="F102" t="s">
        <v>1798</v>
      </c>
      <c r="G102" t="s">
        <v>1748</v>
      </c>
      <c r="H102" t="s">
        <v>2277</v>
      </c>
      <c r="I102">
        <v>199</v>
      </c>
      <c r="J102" t="s">
        <v>2277</v>
      </c>
      <c r="K102" t="s">
        <v>2277</v>
      </c>
      <c r="L102" t="s">
        <v>2277</v>
      </c>
      <c r="M102" t="s">
        <v>2277</v>
      </c>
      <c r="N102" t="s">
        <v>2277</v>
      </c>
      <c r="O102" s="190" t="str">
        <f t="shared" si="1"/>
        <v>[S03_EmittingInstallations][5][NumberOfInstallations]</v>
      </c>
    </row>
    <row r="103" spans="1:15" x14ac:dyDescent="0.3">
      <c r="A103" t="s">
        <v>2278</v>
      </c>
      <c r="B103" t="s">
        <v>1796</v>
      </c>
      <c r="C103" t="s">
        <v>1799</v>
      </c>
      <c r="D103">
        <v>1</v>
      </c>
      <c r="E103" t="s">
        <v>1447</v>
      </c>
      <c r="F103" t="s">
        <v>1800</v>
      </c>
      <c r="G103" t="s">
        <v>1759</v>
      </c>
      <c r="H103" t="s">
        <v>2277</v>
      </c>
      <c r="I103" t="s">
        <v>2277</v>
      </c>
      <c r="J103" t="s">
        <v>2277</v>
      </c>
      <c r="K103" t="s">
        <v>2277</v>
      </c>
      <c r="L103" t="s">
        <v>1419</v>
      </c>
      <c r="M103" t="s">
        <v>2277</v>
      </c>
      <c r="N103" t="s">
        <v>2277</v>
      </c>
      <c r="O103" s="190" t="str">
        <f t="shared" si="1"/>
        <v>[S03_ActivityPermits][1][ActivityPermitsIssued]</v>
      </c>
    </row>
    <row r="104" spans="1:15" x14ac:dyDescent="0.3">
      <c r="A104" t="s">
        <v>2278</v>
      </c>
      <c r="B104" t="s">
        <v>1796</v>
      </c>
      <c r="C104" t="s">
        <v>1799</v>
      </c>
      <c r="D104">
        <v>2</v>
      </c>
      <c r="E104" t="s">
        <v>1447</v>
      </c>
      <c r="F104" t="s">
        <v>1800</v>
      </c>
      <c r="G104" t="s">
        <v>1759</v>
      </c>
      <c r="H104" t="s">
        <v>2277</v>
      </c>
      <c r="I104" t="s">
        <v>2277</v>
      </c>
      <c r="J104" t="s">
        <v>2277</v>
      </c>
      <c r="K104" t="s">
        <v>2277</v>
      </c>
      <c r="L104" t="s">
        <v>1419</v>
      </c>
      <c r="M104" t="s">
        <v>2277</v>
      </c>
      <c r="N104" t="s">
        <v>2277</v>
      </c>
      <c r="O104" s="190" t="str">
        <f t="shared" si="1"/>
        <v>[S03_ActivityPermits][2][ActivityPermitsIssued]</v>
      </c>
    </row>
    <row r="105" spans="1:15" x14ac:dyDescent="0.3">
      <c r="A105" t="s">
        <v>2278</v>
      </c>
      <c r="B105" t="s">
        <v>1796</v>
      </c>
      <c r="C105" t="s">
        <v>1799</v>
      </c>
      <c r="D105">
        <v>3</v>
      </c>
      <c r="E105" t="s">
        <v>1447</v>
      </c>
      <c r="F105" t="s">
        <v>1800</v>
      </c>
      <c r="G105" t="s">
        <v>1759</v>
      </c>
      <c r="H105" t="s">
        <v>2277</v>
      </c>
      <c r="I105" t="s">
        <v>2277</v>
      </c>
      <c r="J105" t="s">
        <v>2277</v>
      </c>
      <c r="K105" t="s">
        <v>2277</v>
      </c>
      <c r="L105" t="s">
        <v>1419</v>
      </c>
      <c r="M105" t="s">
        <v>2277</v>
      </c>
      <c r="N105" t="s">
        <v>2277</v>
      </c>
      <c r="O105" s="190" t="str">
        <f t="shared" si="1"/>
        <v>[S03_ActivityPermits][3][ActivityPermitsIssued]</v>
      </c>
    </row>
    <row r="106" spans="1:15" x14ac:dyDescent="0.3">
      <c r="A106" t="s">
        <v>2278</v>
      </c>
      <c r="B106" t="s">
        <v>1796</v>
      </c>
      <c r="C106" t="s">
        <v>1799</v>
      </c>
      <c r="D106">
        <v>4</v>
      </c>
      <c r="E106" t="s">
        <v>1447</v>
      </c>
      <c r="F106" t="s">
        <v>1800</v>
      </c>
      <c r="G106" t="s">
        <v>1759</v>
      </c>
      <c r="H106" t="s">
        <v>2277</v>
      </c>
      <c r="I106" t="s">
        <v>2277</v>
      </c>
      <c r="J106" t="s">
        <v>2277</v>
      </c>
      <c r="K106" t="s">
        <v>2277</v>
      </c>
      <c r="L106" t="s">
        <v>1419</v>
      </c>
      <c r="M106" t="s">
        <v>2277</v>
      </c>
      <c r="N106" t="s">
        <v>2277</v>
      </c>
      <c r="O106" s="190" t="str">
        <f t="shared" si="1"/>
        <v>[S03_ActivityPermits][4][ActivityPermitsIssued]</v>
      </c>
    </row>
    <row r="107" spans="1:15" x14ac:dyDescent="0.3">
      <c r="A107" t="s">
        <v>2278</v>
      </c>
      <c r="B107" t="s">
        <v>1796</v>
      </c>
      <c r="C107" t="s">
        <v>1799</v>
      </c>
      <c r="D107">
        <v>5</v>
      </c>
      <c r="E107" t="s">
        <v>1447</v>
      </c>
      <c r="F107" t="s">
        <v>1800</v>
      </c>
      <c r="G107" t="s">
        <v>1759</v>
      </c>
      <c r="H107" t="s">
        <v>2277</v>
      </c>
      <c r="I107" t="s">
        <v>2277</v>
      </c>
      <c r="J107" t="s">
        <v>2277</v>
      </c>
      <c r="K107" t="s">
        <v>2277</v>
      </c>
      <c r="L107" t="s">
        <v>1419</v>
      </c>
      <c r="M107" t="s">
        <v>2277</v>
      </c>
      <c r="N107" t="s">
        <v>2277</v>
      </c>
      <c r="O107" s="190" t="str">
        <f t="shared" si="1"/>
        <v>[S03_ActivityPermits][5][ActivityPermitsIssued]</v>
      </c>
    </row>
    <row r="108" spans="1:15" x14ac:dyDescent="0.3">
      <c r="A108" t="s">
        <v>2278</v>
      </c>
      <c r="B108" t="s">
        <v>1796</v>
      </c>
      <c r="C108" t="s">
        <v>1799</v>
      </c>
      <c r="D108">
        <v>6</v>
      </c>
      <c r="E108" t="s">
        <v>1447</v>
      </c>
      <c r="F108" t="s">
        <v>1800</v>
      </c>
      <c r="G108" t="s">
        <v>1759</v>
      </c>
      <c r="H108" t="s">
        <v>2277</v>
      </c>
      <c r="I108" t="s">
        <v>2277</v>
      </c>
      <c r="J108" t="s">
        <v>2277</v>
      </c>
      <c r="K108" t="s">
        <v>2277</v>
      </c>
      <c r="L108" t="s">
        <v>1419</v>
      </c>
      <c r="M108" t="s">
        <v>2277</v>
      </c>
      <c r="N108" t="s">
        <v>2277</v>
      </c>
      <c r="O108" s="190" t="str">
        <f t="shared" si="1"/>
        <v>[S03_ActivityPermits][6][ActivityPermitsIssued]</v>
      </c>
    </row>
    <row r="109" spans="1:15" x14ac:dyDescent="0.3">
      <c r="A109" t="s">
        <v>2278</v>
      </c>
      <c r="B109" t="s">
        <v>1796</v>
      </c>
      <c r="C109" t="s">
        <v>1799</v>
      </c>
      <c r="D109">
        <v>7</v>
      </c>
      <c r="E109" t="s">
        <v>1447</v>
      </c>
      <c r="F109" t="s">
        <v>1800</v>
      </c>
      <c r="G109" t="s">
        <v>1759</v>
      </c>
      <c r="H109" t="s">
        <v>2277</v>
      </c>
      <c r="I109" t="s">
        <v>2277</v>
      </c>
      <c r="J109" t="s">
        <v>2277</v>
      </c>
      <c r="K109" t="s">
        <v>2277</v>
      </c>
      <c r="L109" t="s">
        <v>1447</v>
      </c>
      <c r="M109" t="s">
        <v>2277</v>
      </c>
      <c r="N109" t="s">
        <v>2277</v>
      </c>
      <c r="O109" s="190" t="str">
        <f t="shared" si="1"/>
        <v>[S03_ActivityPermits][7][ActivityPermitsIssued]</v>
      </c>
    </row>
    <row r="110" spans="1:15" x14ac:dyDescent="0.3">
      <c r="A110" t="s">
        <v>2278</v>
      </c>
      <c r="B110" t="s">
        <v>1796</v>
      </c>
      <c r="C110" t="s">
        <v>1799</v>
      </c>
      <c r="D110">
        <v>8</v>
      </c>
      <c r="E110" t="s">
        <v>1447</v>
      </c>
      <c r="F110" t="s">
        <v>1800</v>
      </c>
      <c r="G110" t="s">
        <v>1759</v>
      </c>
      <c r="H110" t="s">
        <v>2277</v>
      </c>
      <c r="I110" t="s">
        <v>2277</v>
      </c>
      <c r="J110" t="s">
        <v>2277</v>
      </c>
      <c r="K110" t="s">
        <v>2277</v>
      </c>
      <c r="L110" t="s">
        <v>1447</v>
      </c>
      <c r="M110" t="s">
        <v>2277</v>
      </c>
      <c r="N110" t="s">
        <v>2277</v>
      </c>
      <c r="O110" s="190" t="str">
        <f t="shared" si="1"/>
        <v>[S03_ActivityPermits][8][ActivityPermitsIssued]</v>
      </c>
    </row>
    <row r="111" spans="1:15" x14ac:dyDescent="0.3">
      <c r="A111" t="s">
        <v>2278</v>
      </c>
      <c r="B111" t="s">
        <v>1796</v>
      </c>
      <c r="C111" t="s">
        <v>1799</v>
      </c>
      <c r="D111">
        <v>9</v>
      </c>
      <c r="E111" t="s">
        <v>1447</v>
      </c>
      <c r="F111" t="s">
        <v>1800</v>
      </c>
      <c r="G111" t="s">
        <v>1759</v>
      </c>
      <c r="H111" t="s">
        <v>2277</v>
      </c>
      <c r="I111" t="s">
        <v>2277</v>
      </c>
      <c r="J111" t="s">
        <v>2277</v>
      </c>
      <c r="K111" t="s">
        <v>2277</v>
      </c>
      <c r="L111" t="s">
        <v>1419</v>
      </c>
      <c r="M111" t="s">
        <v>2277</v>
      </c>
      <c r="N111" t="s">
        <v>2277</v>
      </c>
      <c r="O111" s="190" t="str">
        <f t="shared" si="1"/>
        <v>[S03_ActivityPermits][9][ActivityPermitsIssued]</v>
      </c>
    </row>
    <row r="112" spans="1:15" x14ac:dyDescent="0.3">
      <c r="A112" t="s">
        <v>2278</v>
      </c>
      <c r="B112" t="s">
        <v>1796</v>
      </c>
      <c r="C112" t="s">
        <v>1799</v>
      </c>
      <c r="D112">
        <v>10</v>
      </c>
      <c r="E112" t="s">
        <v>1447</v>
      </c>
      <c r="F112" t="s">
        <v>1800</v>
      </c>
      <c r="G112" t="s">
        <v>1759</v>
      </c>
      <c r="H112" t="s">
        <v>2277</v>
      </c>
      <c r="I112" t="s">
        <v>2277</v>
      </c>
      <c r="J112" t="s">
        <v>2277</v>
      </c>
      <c r="K112" t="s">
        <v>2277</v>
      </c>
      <c r="L112" t="s">
        <v>1419</v>
      </c>
      <c r="M112" t="s">
        <v>2277</v>
      </c>
      <c r="N112" t="s">
        <v>2277</v>
      </c>
      <c r="O112" s="190" t="str">
        <f t="shared" si="1"/>
        <v>[S03_ActivityPermits][10][ActivityPermitsIssued]</v>
      </c>
    </row>
    <row r="113" spans="1:15" x14ac:dyDescent="0.3">
      <c r="A113" t="s">
        <v>2278</v>
      </c>
      <c r="B113" t="s">
        <v>1796</v>
      </c>
      <c r="C113" t="s">
        <v>1799</v>
      </c>
      <c r="D113">
        <v>11</v>
      </c>
      <c r="E113" t="s">
        <v>1447</v>
      </c>
      <c r="F113" t="s">
        <v>1800</v>
      </c>
      <c r="G113" t="s">
        <v>1759</v>
      </c>
      <c r="H113" t="s">
        <v>2277</v>
      </c>
      <c r="I113" t="s">
        <v>2277</v>
      </c>
      <c r="J113" t="s">
        <v>2277</v>
      </c>
      <c r="K113" t="s">
        <v>2277</v>
      </c>
      <c r="L113" t="s">
        <v>1419</v>
      </c>
      <c r="M113" t="s">
        <v>2277</v>
      </c>
      <c r="N113" t="s">
        <v>2277</v>
      </c>
      <c r="O113" s="190" t="str">
        <f t="shared" si="1"/>
        <v>[S03_ActivityPermits][11][ActivityPermitsIssued]</v>
      </c>
    </row>
    <row r="114" spans="1:15" x14ac:dyDescent="0.3">
      <c r="A114" t="s">
        <v>2278</v>
      </c>
      <c r="B114" t="s">
        <v>1796</v>
      </c>
      <c r="C114" t="s">
        <v>1799</v>
      </c>
      <c r="D114">
        <v>12</v>
      </c>
      <c r="E114" t="s">
        <v>1447</v>
      </c>
      <c r="F114" t="s">
        <v>1800</v>
      </c>
      <c r="G114" t="s">
        <v>1759</v>
      </c>
      <c r="H114" t="s">
        <v>2277</v>
      </c>
      <c r="I114" t="s">
        <v>2277</v>
      </c>
      <c r="J114" t="s">
        <v>2277</v>
      </c>
      <c r="K114" t="s">
        <v>2277</v>
      </c>
      <c r="L114" t="s">
        <v>1419</v>
      </c>
      <c r="M114" t="s">
        <v>2277</v>
      </c>
      <c r="N114" t="s">
        <v>2277</v>
      </c>
      <c r="O114" s="190" t="str">
        <f t="shared" si="1"/>
        <v>[S03_ActivityPermits][12][ActivityPermitsIssued]</v>
      </c>
    </row>
    <row r="115" spans="1:15" x14ac:dyDescent="0.3">
      <c r="A115" t="s">
        <v>2278</v>
      </c>
      <c r="B115" t="s">
        <v>1796</v>
      </c>
      <c r="C115" t="s">
        <v>1799</v>
      </c>
      <c r="D115">
        <v>13</v>
      </c>
      <c r="E115" t="s">
        <v>1447</v>
      </c>
      <c r="F115" t="s">
        <v>1800</v>
      </c>
      <c r="G115" t="s">
        <v>1759</v>
      </c>
      <c r="H115" t="s">
        <v>2277</v>
      </c>
      <c r="I115" t="s">
        <v>2277</v>
      </c>
      <c r="J115" t="s">
        <v>2277</v>
      </c>
      <c r="K115" t="s">
        <v>2277</v>
      </c>
      <c r="L115" t="s">
        <v>1419</v>
      </c>
      <c r="M115" t="s">
        <v>2277</v>
      </c>
      <c r="N115" t="s">
        <v>2277</v>
      </c>
      <c r="O115" s="190" t="str">
        <f t="shared" si="1"/>
        <v>[S03_ActivityPermits][13][ActivityPermitsIssued]</v>
      </c>
    </row>
    <row r="116" spans="1:15" x14ac:dyDescent="0.3">
      <c r="A116" t="s">
        <v>2278</v>
      </c>
      <c r="B116" t="s">
        <v>1796</v>
      </c>
      <c r="C116" t="s">
        <v>1799</v>
      </c>
      <c r="D116">
        <v>14</v>
      </c>
      <c r="E116" t="s">
        <v>1447</v>
      </c>
      <c r="F116" t="s">
        <v>1800</v>
      </c>
      <c r="G116" t="s">
        <v>1759</v>
      </c>
      <c r="H116" t="s">
        <v>2277</v>
      </c>
      <c r="I116" t="s">
        <v>2277</v>
      </c>
      <c r="J116" t="s">
        <v>2277</v>
      </c>
      <c r="K116" t="s">
        <v>2277</v>
      </c>
      <c r="L116" t="s">
        <v>1419</v>
      </c>
      <c r="M116" t="s">
        <v>2277</v>
      </c>
      <c r="N116" t="s">
        <v>2277</v>
      </c>
      <c r="O116" s="190" t="str">
        <f t="shared" si="1"/>
        <v>[S03_ActivityPermits][14][ActivityPermitsIssued]</v>
      </c>
    </row>
    <row r="117" spans="1:15" x14ac:dyDescent="0.3">
      <c r="A117" t="s">
        <v>2278</v>
      </c>
      <c r="B117" t="s">
        <v>1796</v>
      </c>
      <c r="C117" t="s">
        <v>1799</v>
      </c>
      <c r="D117">
        <v>15</v>
      </c>
      <c r="E117" t="s">
        <v>1447</v>
      </c>
      <c r="F117" t="s">
        <v>1800</v>
      </c>
      <c r="G117" t="s">
        <v>1759</v>
      </c>
      <c r="H117" t="s">
        <v>2277</v>
      </c>
      <c r="I117" t="s">
        <v>2277</v>
      </c>
      <c r="J117" t="s">
        <v>2277</v>
      </c>
      <c r="K117" t="s">
        <v>2277</v>
      </c>
      <c r="L117" t="s">
        <v>1419</v>
      </c>
      <c r="M117" t="s">
        <v>2277</v>
      </c>
      <c r="N117" t="s">
        <v>2277</v>
      </c>
      <c r="O117" s="190" t="str">
        <f t="shared" si="1"/>
        <v>[S03_ActivityPermits][15][ActivityPermitsIssued]</v>
      </c>
    </row>
    <row r="118" spans="1:15" x14ac:dyDescent="0.3">
      <c r="A118" t="s">
        <v>2278</v>
      </c>
      <c r="B118" t="s">
        <v>1796</v>
      </c>
      <c r="C118" t="s">
        <v>1799</v>
      </c>
      <c r="D118">
        <v>16</v>
      </c>
      <c r="E118" t="s">
        <v>1447</v>
      </c>
      <c r="F118" t="s">
        <v>1800</v>
      </c>
      <c r="G118" t="s">
        <v>1759</v>
      </c>
      <c r="H118" t="s">
        <v>2277</v>
      </c>
      <c r="I118" t="s">
        <v>2277</v>
      </c>
      <c r="J118" t="s">
        <v>2277</v>
      </c>
      <c r="K118" t="s">
        <v>2277</v>
      </c>
      <c r="L118" t="s">
        <v>1419</v>
      </c>
      <c r="M118" t="s">
        <v>2277</v>
      </c>
      <c r="N118" t="s">
        <v>2277</v>
      </c>
      <c r="O118" s="190" t="str">
        <f t="shared" si="1"/>
        <v>[S03_ActivityPermits][16][ActivityPermitsIssued]</v>
      </c>
    </row>
    <row r="119" spans="1:15" x14ac:dyDescent="0.3">
      <c r="A119" t="s">
        <v>2278</v>
      </c>
      <c r="B119" t="s">
        <v>1796</v>
      </c>
      <c r="C119" t="s">
        <v>1799</v>
      </c>
      <c r="D119">
        <v>17</v>
      </c>
      <c r="E119" t="s">
        <v>1447</v>
      </c>
      <c r="F119" t="s">
        <v>1800</v>
      </c>
      <c r="G119" t="s">
        <v>1759</v>
      </c>
      <c r="H119" t="s">
        <v>2277</v>
      </c>
      <c r="I119" t="s">
        <v>2277</v>
      </c>
      <c r="J119" t="s">
        <v>2277</v>
      </c>
      <c r="K119" t="s">
        <v>2277</v>
      </c>
      <c r="L119" t="s">
        <v>1419</v>
      </c>
      <c r="M119" t="s">
        <v>2277</v>
      </c>
      <c r="N119" t="s">
        <v>2277</v>
      </c>
      <c r="O119" s="190" t="str">
        <f t="shared" si="1"/>
        <v>[S03_ActivityPermits][17][ActivityPermitsIssued]</v>
      </c>
    </row>
    <row r="120" spans="1:15" x14ac:dyDescent="0.3">
      <c r="A120" t="s">
        <v>2278</v>
      </c>
      <c r="B120" t="s">
        <v>1796</v>
      </c>
      <c r="C120" t="s">
        <v>1799</v>
      </c>
      <c r="D120">
        <v>18</v>
      </c>
      <c r="E120" t="s">
        <v>1447</v>
      </c>
      <c r="F120" t="s">
        <v>1800</v>
      </c>
      <c r="G120" t="s">
        <v>1759</v>
      </c>
      <c r="H120" t="s">
        <v>2277</v>
      </c>
      <c r="I120" t="s">
        <v>2277</v>
      </c>
      <c r="J120" t="s">
        <v>2277</v>
      </c>
      <c r="K120" t="s">
        <v>2277</v>
      </c>
      <c r="L120" t="s">
        <v>1419</v>
      </c>
      <c r="M120" t="s">
        <v>2277</v>
      </c>
      <c r="N120" t="s">
        <v>2277</v>
      </c>
      <c r="O120" s="190" t="str">
        <f t="shared" si="1"/>
        <v>[S03_ActivityPermits][18][ActivityPermitsIssued]</v>
      </c>
    </row>
    <row r="121" spans="1:15" x14ac:dyDescent="0.3">
      <c r="A121" t="s">
        <v>2278</v>
      </c>
      <c r="B121" t="s">
        <v>1796</v>
      </c>
      <c r="C121" t="s">
        <v>1799</v>
      </c>
      <c r="D121">
        <v>19</v>
      </c>
      <c r="E121" t="s">
        <v>1447</v>
      </c>
      <c r="F121" t="s">
        <v>1800</v>
      </c>
      <c r="G121" t="s">
        <v>1759</v>
      </c>
      <c r="H121" t="s">
        <v>2277</v>
      </c>
      <c r="I121" t="s">
        <v>2277</v>
      </c>
      <c r="J121" t="s">
        <v>2277</v>
      </c>
      <c r="K121" t="s">
        <v>2277</v>
      </c>
      <c r="L121" t="s">
        <v>1419</v>
      </c>
      <c r="M121" t="s">
        <v>2277</v>
      </c>
      <c r="N121" t="s">
        <v>2277</v>
      </c>
      <c r="O121" s="190" t="str">
        <f t="shared" si="1"/>
        <v>[S03_ActivityPermits][19][ActivityPermitsIssued]</v>
      </c>
    </row>
    <row r="122" spans="1:15" x14ac:dyDescent="0.3">
      <c r="A122" t="s">
        <v>2278</v>
      </c>
      <c r="B122" t="s">
        <v>1796</v>
      </c>
      <c r="C122" t="s">
        <v>1799</v>
      </c>
      <c r="D122">
        <v>20</v>
      </c>
      <c r="E122" t="s">
        <v>1447</v>
      </c>
      <c r="F122" t="s">
        <v>1800</v>
      </c>
      <c r="G122" t="s">
        <v>1759</v>
      </c>
      <c r="H122" t="s">
        <v>2277</v>
      </c>
      <c r="I122" t="s">
        <v>2277</v>
      </c>
      <c r="J122" t="s">
        <v>2277</v>
      </c>
      <c r="K122" t="s">
        <v>2277</v>
      </c>
      <c r="L122" t="s">
        <v>1447</v>
      </c>
      <c r="M122" t="s">
        <v>2277</v>
      </c>
      <c r="N122" t="s">
        <v>2277</v>
      </c>
      <c r="O122" s="190" t="str">
        <f t="shared" si="1"/>
        <v>[S03_ActivityPermits][20][ActivityPermitsIssued]</v>
      </c>
    </row>
    <row r="123" spans="1:15" x14ac:dyDescent="0.3">
      <c r="A123" t="s">
        <v>2278</v>
      </c>
      <c r="B123" t="s">
        <v>1796</v>
      </c>
      <c r="C123" t="s">
        <v>1799</v>
      </c>
      <c r="D123">
        <v>21</v>
      </c>
      <c r="E123" t="s">
        <v>1447</v>
      </c>
      <c r="F123" t="s">
        <v>1800</v>
      </c>
      <c r="G123" t="s">
        <v>1759</v>
      </c>
      <c r="H123" t="s">
        <v>2277</v>
      </c>
      <c r="I123" t="s">
        <v>2277</v>
      </c>
      <c r="J123" t="s">
        <v>2277</v>
      </c>
      <c r="K123" t="s">
        <v>2277</v>
      </c>
      <c r="L123" t="s">
        <v>1447</v>
      </c>
      <c r="M123" t="s">
        <v>2277</v>
      </c>
      <c r="N123" t="s">
        <v>2277</v>
      </c>
      <c r="O123" s="190" t="str">
        <f t="shared" si="1"/>
        <v>[S03_ActivityPermits][21][ActivityPermitsIssued]</v>
      </c>
    </row>
    <row r="124" spans="1:15" x14ac:dyDescent="0.3">
      <c r="A124" t="s">
        <v>2278</v>
      </c>
      <c r="B124" t="s">
        <v>1796</v>
      </c>
      <c r="C124" t="s">
        <v>1799</v>
      </c>
      <c r="D124">
        <v>22</v>
      </c>
      <c r="E124" t="s">
        <v>1447</v>
      </c>
      <c r="F124" t="s">
        <v>1800</v>
      </c>
      <c r="G124" t="s">
        <v>1759</v>
      </c>
      <c r="H124" t="s">
        <v>2277</v>
      </c>
      <c r="I124" t="s">
        <v>2277</v>
      </c>
      <c r="J124" t="s">
        <v>2277</v>
      </c>
      <c r="K124" t="s">
        <v>2277</v>
      </c>
      <c r="L124" t="s">
        <v>1419</v>
      </c>
      <c r="M124" t="s">
        <v>2277</v>
      </c>
      <c r="N124" t="s">
        <v>2277</v>
      </c>
      <c r="O124" s="190" t="str">
        <f t="shared" si="1"/>
        <v>[S03_ActivityPermits][22][ActivityPermitsIssued]</v>
      </c>
    </row>
    <row r="125" spans="1:15" x14ac:dyDescent="0.3">
      <c r="A125" t="s">
        <v>2278</v>
      </c>
      <c r="B125" t="s">
        <v>1796</v>
      </c>
      <c r="C125" t="s">
        <v>1799</v>
      </c>
      <c r="D125">
        <v>23</v>
      </c>
      <c r="E125" t="s">
        <v>1447</v>
      </c>
      <c r="F125" t="s">
        <v>1800</v>
      </c>
      <c r="G125" t="s">
        <v>1759</v>
      </c>
      <c r="H125" t="s">
        <v>2277</v>
      </c>
      <c r="I125" t="s">
        <v>2277</v>
      </c>
      <c r="J125" t="s">
        <v>2277</v>
      </c>
      <c r="K125" t="s">
        <v>2277</v>
      </c>
      <c r="L125" t="s">
        <v>1419</v>
      </c>
      <c r="M125" t="s">
        <v>2277</v>
      </c>
      <c r="N125" t="s">
        <v>2277</v>
      </c>
      <c r="O125" s="190" t="str">
        <f t="shared" si="1"/>
        <v>[S03_ActivityPermits][23][ActivityPermitsIssued]</v>
      </c>
    </row>
    <row r="126" spans="1:15" x14ac:dyDescent="0.3">
      <c r="A126" t="s">
        <v>2278</v>
      </c>
      <c r="B126" t="s">
        <v>1796</v>
      </c>
      <c r="C126" t="s">
        <v>1799</v>
      </c>
      <c r="D126">
        <v>24</v>
      </c>
      <c r="E126" t="s">
        <v>1447</v>
      </c>
      <c r="F126" t="s">
        <v>1800</v>
      </c>
      <c r="G126" t="s">
        <v>1759</v>
      </c>
      <c r="H126" t="s">
        <v>2277</v>
      </c>
      <c r="I126" t="s">
        <v>2277</v>
      </c>
      <c r="J126" t="s">
        <v>2277</v>
      </c>
      <c r="K126" t="s">
        <v>2277</v>
      </c>
      <c r="L126" t="s">
        <v>1419</v>
      </c>
      <c r="M126" t="s">
        <v>2277</v>
      </c>
      <c r="N126" t="s">
        <v>2277</v>
      </c>
      <c r="O126" s="190" t="str">
        <f t="shared" si="1"/>
        <v>[S03_ActivityPermits][24][ActivityPermitsIssued]</v>
      </c>
    </row>
    <row r="127" spans="1:15" x14ac:dyDescent="0.3">
      <c r="A127" t="s">
        <v>2278</v>
      </c>
      <c r="B127" t="s">
        <v>1796</v>
      </c>
      <c r="C127" t="s">
        <v>1799</v>
      </c>
      <c r="D127">
        <v>25</v>
      </c>
      <c r="E127" t="s">
        <v>1447</v>
      </c>
      <c r="F127" t="s">
        <v>1800</v>
      </c>
      <c r="G127" t="s">
        <v>1759</v>
      </c>
      <c r="H127" t="s">
        <v>2277</v>
      </c>
      <c r="I127" t="s">
        <v>2277</v>
      </c>
      <c r="J127" t="s">
        <v>2277</v>
      </c>
      <c r="K127" t="s">
        <v>2277</v>
      </c>
      <c r="L127" t="s">
        <v>1419</v>
      </c>
      <c r="M127" t="s">
        <v>2277</v>
      </c>
      <c r="N127" t="s">
        <v>2277</v>
      </c>
      <c r="O127" s="190" t="str">
        <f t="shared" si="1"/>
        <v>[S03_ActivityPermits][25][ActivityPermitsIssued]</v>
      </c>
    </row>
    <row r="128" spans="1:15" x14ac:dyDescent="0.3">
      <c r="A128" t="s">
        <v>2278</v>
      </c>
      <c r="B128" t="s">
        <v>1796</v>
      </c>
      <c r="C128" t="s">
        <v>1799</v>
      </c>
      <c r="D128">
        <v>26</v>
      </c>
      <c r="E128" t="s">
        <v>1447</v>
      </c>
      <c r="F128" t="s">
        <v>1800</v>
      </c>
      <c r="G128" t="s">
        <v>1759</v>
      </c>
      <c r="H128" t="s">
        <v>2277</v>
      </c>
      <c r="I128" t="s">
        <v>2277</v>
      </c>
      <c r="J128" t="s">
        <v>2277</v>
      </c>
      <c r="K128" t="s">
        <v>2277</v>
      </c>
      <c r="L128" t="s">
        <v>1447</v>
      </c>
      <c r="M128" t="s">
        <v>2277</v>
      </c>
      <c r="N128" t="s">
        <v>2277</v>
      </c>
      <c r="O128" s="190" t="str">
        <f t="shared" si="1"/>
        <v>[S03_ActivityPermits][26][ActivityPermitsIssued]</v>
      </c>
    </row>
    <row r="129" spans="1:15" x14ac:dyDescent="0.3">
      <c r="A129" t="s">
        <v>2278</v>
      </c>
      <c r="B129" t="s">
        <v>1796</v>
      </c>
      <c r="C129" t="s">
        <v>1799</v>
      </c>
      <c r="D129">
        <v>27</v>
      </c>
      <c r="E129" t="s">
        <v>1447</v>
      </c>
      <c r="F129" t="s">
        <v>1800</v>
      </c>
      <c r="G129" t="s">
        <v>1759</v>
      </c>
      <c r="H129" t="s">
        <v>2277</v>
      </c>
      <c r="I129" t="s">
        <v>2277</v>
      </c>
      <c r="J129" t="s">
        <v>2277</v>
      </c>
      <c r="K129" t="s">
        <v>2277</v>
      </c>
      <c r="L129" t="s">
        <v>1447</v>
      </c>
      <c r="M129" t="s">
        <v>2277</v>
      </c>
      <c r="N129" t="s">
        <v>2277</v>
      </c>
      <c r="O129" s="190" t="str">
        <f t="shared" si="1"/>
        <v>[S03_ActivityPermits][27][ActivityPermitsIssued]</v>
      </c>
    </row>
    <row r="130" spans="1:15" x14ac:dyDescent="0.3">
      <c r="A130" t="s">
        <v>2278</v>
      </c>
      <c r="B130" t="s">
        <v>1796</v>
      </c>
      <c r="C130" t="s">
        <v>1799</v>
      </c>
      <c r="D130">
        <v>28</v>
      </c>
      <c r="E130" t="s">
        <v>1447</v>
      </c>
      <c r="F130" t="s">
        <v>1800</v>
      </c>
      <c r="G130" t="s">
        <v>1759</v>
      </c>
      <c r="H130" t="s">
        <v>2277</v>
      </c>
      <c r="I130" t="s">
        <v>2277</v>
      </c>
      <c r="J130" t="s">
        <v>2277</v>
      </c>
      <c r="K130" t="s">
        <v>2277</v>
      </c>
      <c r="L130" t="s">
        <v>1447</v>
      </c>
      <c r="M130" t="s">
        <v>2277</v>
      </c>
      <c r="N130" t="s">
        <v>2277</v>
      </c>
      <c r="O130" s="190" t="str">
        <f t="shared" ref="O130:O193" si="2">"["&amp;$C130&amp;"]["&amp;$D130&amp;"]["&amp;$F130&amp;"]"</f>
        <v>[S03_ActivityPermits][28][ActivityPermitsIssued]</v>
      </c>
    </row>
    <row r="131" spans="1:15" x14ac:dyDescent="0.3">
      <c r="A131" t="s">
        <v>2278</v>
      </c>
      <c r="B131" t="s">
        <v>1801</v>
      </c>
      <c r="C131" t="s">
        <v>1802</v>
      </c>
      <c r="D131">
        <v>0</v>
      </c>
      <c r="E131" t="s">
        <v>1447</v>
      </c>
      <c r="F131" t="s">
        <v>1802</v>
      </c>
      <c r="G131" t="s">
        <v>1759</v>
      </c>
      <c r="H131" t="s">
        <v>2277</v>
      </c>
      <c r="I131" t="s">
        <v>2277</v>
      </c>
      <c r="J131" t="s">
        <v>2277</v>
      </c>
      <c r="K131" t="s">
        <v>2277</v>
      </c>
      <c r="L131" t="s">
        <v>1447</v>
      </c>
      <c r="M131" t="s">
        <v>2277</v>
      </c>
      <c r="N131" t="s">
        <v>2277</v>
      </c>
      <c r="O131" s="190" t="str">
        <f t="shared" si="2"/>
        <v>[InstallationsExcludedArt27][0][InstallationsExcludedArt27]</v>
      </c>
    </row>
    <row r="132" spans="1:15" x14ac:dyDescent="0.3">
      <c r="A132" t="s">
        <v>2278</v>
      </c>
      <c r="B132" t="s">
        <v>1811</v>
      </c>
      <c r="C132" t="s">
        <v>1812</v>
      </c>
      <c r="D132">
        <v>1</v>
      </c>
      <c r="E132" t="s">
        <v>1447</v>
      </c>
      <c r="F132" t="s">
        <v>1813</v>
      </c>
      <c r="G132" t="s">
        <v>1748</v>
      </c>
      <c r="H132" t="s">
        <v>2277</v>
      </c>
      <c r="I132">
        <v>5</v>
      </c>
      <c r="J132" t="s">
        <v>2277</v>
      </c>
      <c r="K132" t="s">
        <v>2277</v>
      </c>
      <c r="L132" t="s">
        <v>2277</v>
      </c>
      <c r="M132" t="s">
        <v>2277</v>
      </c>
      <c r="N132" t="s">
        <v>2277</v>
      </c>
      <c r="O132" s="190" t="str">
        <f t="shared" si="2"/>
        <v>[S03_AircraftAnnex1Activities][1][NumberCommercialOperators]</v>
      </c>
    </row>
    <row r="133" spans="1:15" x14ac:dyDescent="0.3">
      <c r="A133" t="s">
        <v>2278</v>
      </c>
      <c r="B133" t="s">
        <v>1811</v>
      </c>
      <c r="C133" t="s">
        <v>1812</v>
      </c>
      <c r="D133">
        <v>2</v>
      </c>
      <c r="E133" t="s">
        <v>1447</v>
      </c>
      <c r="F133" t="s">
        <v>1813</v>
      </c>
      <c r="G133" t="s">
        <v>1748</v>
      </c>
      <c r="H133" t="s">
        <v>2277</v>
      </c>
      <c r="I133">
        <v>2</v>
      </c>
      <c r="J133" t="s">
        <v>2277</v>
      </c>
      <c r="K133" t="s">
        <v>2277</v>
      </c>
      <c r="L133" t="s">
        <v>2277</v>
      </c>
      <c r="M133" t="s">
        <v>2277</v>
      </c>
      <c r="N133" t="s">
        <v>2277</v>
      </c>
      <c r="O133" s="190" t="str">
        <f t="shared" si="2"/>
        <v>[S03_AircraftAnnex1Activities][2][NumberCommercialOperators]</v>
      </c>
    </row>
    <row r="134" spans="1:15" x14ac:dyDescent="0.3">
      <c r="A134" t="s">
        <v>2278</v>
      </c>
      <c r="B134" t="s">
        <v>1811</v>
      </c>
      <c r="C134" t="s">
        <v>1812</v>
      </c>
      <c r="D134">
        <v>3</v>
      </c>
      <c r="E134" t="s">
        <v>1447</v>
      </c>
      <c r="F134" t="s">
        <v>1813</v>
      </c>
      <c r="G134" t="s">
        <v>1748</v>
      </c>
      <c r="H134" t="s">
        <v>2277</v>
      </c>
      <c r="I134">
        <v>7</v>
      </c>
      <c r="J134" t="s">
        <v>2277</v>
      </c>
      <c r="K134" t="s">
        <v>2277</v>
      </c>
      <c r="L134" t="s">
        <v>2277</v>
      </c>
      <c r="M134" t="s">
        <v>2277</v>
      </c>
      <c r="N134" t="s">
        <v>2277</v>
      </c>
      <c r="O134" s="190" t="str">
        <f t="shared" si="2"/>
        <v>[S03_AircraftAnnex1Activities][3][NumberCommercialOperators]</v>
      </c>
    </row>
    <row r="135" spans="1:15" x14ac:dyDescent="0.3">
      <c r="A135" t="s">
        <v>2278</v>
      </c>
      <c r="B135" t="s">
        <v>1811</v>
      </c>
      <c r="C135" t="s">
        <v>1812</v>
      </c>
      <c r="D135">
        <v>1</v>
      </c>
      <c r="E135" t="s">
        <v>1447</v>
      </c>
      <c r="F135" t="s">
        <v>1814</v>
      </c>
      <c r="G135" t="s">
        <v>1748</v>
      </c>
      <c r="H135" t="s">
        <v>2277</v>
      </c>
      <c r="I135">
        <v>0</v>
      </c>
      <c r="J135" t="s">
        <v>2277</v>
      </c>
      <c r="K135" t="s">
        <v>2277</v>
      </c>
      <c r="L135" t="s">
        <v>2277</v>
      </c>
      <c r="M135" t="s">
        <v>2277</v>
      </c>
      <c r="N135" t="s">
        <v>2277</v>
      </c>
      <c r="O135" s="190" t="str">
        <f t="shared" si="2"/>
        <v>[S03_AircraftAnnex1Activities][1][NumberNonCommercialOperators]</v>
      </c>
    </row>
    <row r="136" spans="1:15" x14ac:dyDescent="0.3">
      <c r="A136" t="s">
        <v>2278</v>
      </c>
      <c r="B136" t="s">
        <v>1811</v>
      </c>
      <c r="C136" t="s">
        <v>1812</v>
      </c>
      <c r="D136">
        <v>2</v>
      </c>
      <c r="E136" t="s">
        <v>1447</v>
      </c>
      <c r="F136" t="s">
        <v>1814</v>
      </c>
      <c r="G136" t="s">
        <v>1748</v>
      </c>
      <c r="H136" t="s">
        <v>2277</v>
      </c>
      <c r="I136">
        <v>0</v>
      </c>
      <c r="J136" t="s">
        <v>2277</v>
      </c>
      <c r="K136" t="s">
        <v>2277</v>
      </c>
      <c r="L136" t="s">
        <v>2277</v>
      </c>
      <c r="M136" t="s">
        <v>2277</v>
      </c>
      <c r="N136" t="s">
        <v>2277</v>
      </c>
      <c r="O136" s="190" t="str">
        <f t="shared" si="2"/>
        <v>[S03_AircraftAnnex1Activities][2][NumberNonCommercialOperators]</v>
      </c>
    </row>
    <row r="137" spans="1:15" x14ac:dyDescent="0.3">
      <c r="A137" t="s">
        <v>2278</v>
      </c>
      <c r="B137" t="s">
        <v>1811</v>
      </c>
      <c r="C137" t="s">
        <v>1812</v>
      </c>
      <c r="D137">
        <v>3</v>
      </c>
      <c r="E137" t="s">
        <v>1447</v>
      </c>
      <c r="F137" t="s">
        <v>1814</v>
      </c>
      <c r="G137" t="s">
        <v>1748</v>
      </c>
      <c r="H137" t="s">
        <v>2277</v>
      </c>
      <c r="I137">
        <v>0</v>
      </c>
      <c r="J137" t="s">
        <v>2277</v>
      </c>
      <c r="K137" t="s">
        <v>2277</v>
      </c>
      <c r="L137" t="s">
        <v>2277</v>
      </c>
      <c r="M137" t="s">
        <v>2277</v>
      </c>
      <c r="N137" t="s">
        <v>2277</v>
      </c>
      <c r="O137" s="190" t="str">
        <f t="shared" si="2"/>
        <v>[S03_AircraftAnnex1Activities][3][NumberNonCommercialOperators]</v>
      </c>
    </row>
    <row r="138" spans="1:15" x14ac:dyDescent="0.3">
      <c r="A138" t="s">
        <v>2278</v>
      </c>
      <c r="B138" t="s">
        <v>1811</v>
      </c>
      <c r="C138" t="s">
        <v>1812</v>
      </c>
      <c r="D138">
        <v>1</v>
      </c>
      <c r="E138" t="s">
        <v>1447</v>
      </c>
      <c r="F138" t="s">
        <v>1815</v>
      </c>
      <c r="G138" t="s">
        <v>1748</v>
      </c>
      <c r="H138" t="s">
        <v>2277</v>
      </c>
      <c r="I138">
        <v>5</v>
      </c>
      <c r="J138" t="s">
        <v>2277</v>
      </c>
      <c r="K138" t="s">
        <v>2277</v>
      </c>
      <c r="L138" t="s">
        <v>2277</v>
      </c>
      <c r="M138" t="s">
        <v>2277</v>
      </c>
      <c r="N138" t="s">
        <v>2277</v>
      </c>
      <c r="O138" s="190" t="str">
        <f t="shared" si="2"/>
        <v>[S03_AircraftAnnex1Activities][1][NumberTotalOperators]</v>
      </c>
    </row>
    <row r="139" spans="1:15" x14ac:dyDescent="0.3">
      <c r="A139" t="s">
        <v>2278</v>
      </c>
      <c r="B139" t="s">
        <v>1811</v>
      </c>
      <c r="C139" t="s">
        <v>1812</v>
      </c>
      <c r="D139">
        <v>2</v>
      </c>
      <c r="E139" t="s">
        <v>1447</v>
      </c>
      <c r="F139" t="s">
        <v>1815</v>
      </c>
      <c r="G139" t="s">
        <v>1748</v>
      </c>
      <c r="H139" t="s">
        <v>2277</v>
      </c>
      <c r="I139">
        <v>2</v>
      </c>
      <c r="J139" t="s">
        <v>2277</v>
      </c>
      <c r="K139" t="s">
        <v>2277</v>
      </c>
      <c r="L139" t="s">
        <v>2277</v>
      </c>
      <c r="M139" t="s">
        <v>2277</v>
      </c>
      <c r="N139" t="s">
        <v>2277</v>
      </c>
      <c r="O139" s="190" t="str">
        <f t="shared" si="2"/>
        <v>[S03_AircraftAnnex1Activities][2][NumberTotalOperators]</v>
      </c>
    </row>
    <row r="140" spans="1:15" x14ac:dyDescent="0.3">
      <c r="A140" t="s">
        <v>2278</v>
      </c>
      <c r="B140" t="s">
        <v>1811</v>
      </c>
      <c r="C140" t="s">
        <v>1812</v>
      </c>
      <c r="D140">
        <v>3</v>
      </c>
      <c r="E140" t="s">
        <v>1447</v>
      </c>
      <c r="F140" t="s">
        <v>1815</v>
      </c>
      <c r="G140" t="s">
        <v>1748</v>
      </c>
      <c r="H140" t="s">
        <v>2277</v>
      </c>
      <c r="I140">
        <v>7</v>
      </c>
      <c r="J140" t="s">
        <v>2277</v>
      </c>
      <c r="K140" t="s">
        <v>2277</v>
      </c>
      <c r="L140" t="s">
        <v>2277</v>
      </c>
      <c r="M140" t="s">
        <v>2277</v>
      </c>
      <c r="N140" t="s">
        <v>2277</v>
      </c>
      <c r="O140" s="190" t="str">
        <f t="shared" si="2"/>
        <v>[S03_AircraftAnnex1Activities][3][NumberTotalOperators]</v>
      </c>
    </row>
    <row r="141" spans="1:15" x14ac:dyDescent="0.3">
      <c r="A141" t="s">
        <v>2278</v>
      </c>
      <c r="B141" t="s">
        <v>1816</v>
      </c>
      <c r="C141" t="s">
        <v>1817</v>
      </c>
      <c r="D141">
        <v>1</v>
      </c>
      <c r="E141" t="s">
        <v>1447</v>
      </c>
      <c r="F141" t="s">
        <v>1818</v>
      </c>
      <c r="G141" t="s">
        <v>1737</v>
      </c>
      <c r="H141" t="s">
        <v>2277</v>
      </c>
      <c r="I141" t="s">
        <v>2277</v>
      </c>
      <c r="J141" t="s">
        <v>2277</v>
      </c>
      <c r="K141" t="s">
        <v>2277</v>
      </c>
      <c r="L141" t="s">
        <v>1447</v>
      </c>
      <c r="M141" t="s">
        <v>2277</v>
      </c>
      <c r="N141" t="s">
        <v>2277</v>
      </c>
      <c r="O141" s="190" t="str">
        <f t="shared" si="2"/>
        <v>[S04_IEDProcedureRequirementsIntegratedYes][1][IntegrationYesNo]</v>
      </c>
    </row>
    <row r="142" spans="1:15" x14ac:dyDescent="0.3">
      <c r="A142" t="s">
        <v>2278</v>
      </c>
      <c r="B142" t="s">
        <v>1816</v>
      </c>
      <c r="C142" t="s">
        <v>1817</v>
      </c>
      <c r="D142">
        <v>2</v>
      </c>
      <c r="E142" t="s">
        <v>1447</v>
      </c>
      <c r="F142" t="s">
        <v>1818</v>
      </c>
      <c r="G142" t="s">
        <v>1737</v>
      </c>
      <c r="H142" t="s">
        <v>2277</v>
      </c>
      <c r="I142" t="s">
        <v>2277</v>
      </c>
      <c r="J142" t="s">
        <v>2277</v>
      </c>
      <c r="K142" t="s">
        <v>2277</v>
      </c>
      <c r="L142" t="s">
        <v>1447</v>
      </c>
      <c r="M142" t="s">
        <v>2277</v>
      </c>
      <c r="N142" t="s">
        <v>2277</v>
      </c>
      <c r="O142" s="190" t="str">
        <f t="shared" si="2"/>
        <v>[S04_IEDProcedureRequirementsIntegratedYes][2][IntegrationYesNo]</v>
      </c>
    </row>
    <row r="143" spans="1:15" x14ac:dyDescent="0.3">
      <c r="A143" t="s">
        <v>2278</v>
      </c>
      <c r="B143" t="s">
        <v>1816</v>
      </c>
      <c r="C143" t="s">
        <v>1817</v>
      </c>
      <c r="D143">
        <v>3</v>
      </c>
      <c r="E143" t="s">
        <v>1447</v>
      </c>
      <c r="F143" t="s">
        <v>1818</v>
      </c>
      <c r="G143" t="s">
        <v>1737</v>
      </c>
      <c r="H143" t="s">
        <v>2277</v>
      </c>
      <c r="I143" t="s">
        <v>2277</v>
      </c>
      <c r="J143" t="s">
        <v>2277</v>
      </c>
      <c r="K143" t="s">
        <v>2277</v>
      </c>
      <c r="L143" t="s">
        <v>1419</v>
      </c>
      <c r="M143" t="s">
        <v>2277</v>
      </c>
      <c r="N143" t="s">
        <v>2277</v>
      </c>
      <c r="O143" s="190" t="str">
        <f t="shared" si="2"/>
        <v>[S04_IEDProcedureRequirementsIntegratedYes][3][IntegrationYesNo]</v>
      </c>
    </row>
    <row r="144" spans="1:15" x14ac:dyDescent="0.3">
      <c r="A144" t="s">
        <v>2278</v>
      </c>
      <c r="B144" t="s">
        <v>1816</v>
      </c>
      <c r="C144" t="s">
        <v>1817</v>
      </c>
      <c r="D144">
        <v>4</v>
      </c>
      <c r="E144" t="s">
        <v>1447</v>
      </c>
      <c r="F144" t="s">
        <v>1818</v>
      </c>
      <c r="G144" t="s">
        <v>1737</v>
      </c>
      <c r="H144" t="s">
        <v>2277</v>
      </c>
      <c r="I144" t="s">
        <v>2277</v>
      </c>
      <c r="J144" t="s">
        <v>2277</v>
      </c>
      <c r="K144" t="s">
        <v>2277</v>
      </c>
      <c r="L144" t="s">
        <v>1447</v>
      </c>
      <c r="M144" t="s">
        <v>2277</v>
      </c>
      <c r="N144" t="s">
        <v>2277</v>
      </c>
      <c r="O144" s="190" t="str">
        <f t="shared" si="2"/>
        <v>[S04_IEDProcedureRequirementsIntegratedYes][4][IntegrationYesNo]</v>
      </c>
    </row>
    <row r="145" spans="1:15" x14ac:dyDescent="0.3">
      <c r="A145" t="s">
        <v>2278</v>
      </c>
      <c r="B145" t="s">
        <v>1816</v>
      </c>
      <c r="C145" t="s">
        <v>1817</v>
      </c>
      <c r="D145">
        <v>5</v>
      </c>
      <c r="E145" t="s">
        <v>1447</v>
      </c>
      <c r="F145" t="s">
        <v>1818</v>
      </c>
      <c r="G145" t="s">
        <v>1737</v>
      </c>
      <c r="H145" t="s">
        <v>2277</v>
      </c>
      <c r="I145" t="s">
        <v>2277</v>
      </c>
      <c r="J145" t="s">
        <v>2277</v>
      </c>
      <c r="K145" t="s">
        <v>2277</v>
      </c>
      <c r="L145" t="s">
        <v>1447</v>
      </c>
      <c r="M145" t="s">
        <v>2277</v>
      </c>
      <c r="N145" t="s">
        <v>2277</v>
      </c>
      <c r="O145" s="190" t="str">
        <f t="shared" si="2"/>
        <v>[S04_IEDProcedureRequirementsIntegratedYes][5][IntegrationYesNo]</v>
      </c>
    </row>
    <row r="146" spans="1:15" x14ac:dyDescent="0.3">
      <c r="A146" t="s">
        <v>2278</v>
      </c>
      <c r="B146" t="s">
        <v>1816</v>
      </c>
      <c r="C146" t="s">
        <v>1817</v>
      </c>
      <c r="D146">
        <v>6</v>
      </c>
      <c r="E146" t="s">
        <v>1447</v>
      </c>
      <c r="F146" t="s">
        <v>1818</v>
      </c>
      <c r="G146" t="s">
        <v>1737</v>
      </c>
      <c r="H146" t="s">
        <v>2277</v>
      </c>
      <c r="I146" t="s">
        <v>2277</v>
      </c>
      <c r="J146" t="s">
        <v>2277</v>
      </c>
      <c r="K146" t="s">
        <v>2277</v>
      </c>
      <c r="L146" t="s">
        <v>1447</v>
      </c>
      <c r="M146" t="s">
        <v>2277</v>
      </c>
      <c r="N146" t="s">
        <v>2277</v>
      </c>
      <c r="O146" s="190" t="str">
        <f t="shared" si="2"/>
        <v>[S04_IEDProcedureRequirementsIntegratedYes][6][IntegrationYesNo]</v>
      </c>
    </row>
    <row r="147" spans="1:15" x14ac:dyDescent="0.3">
      <c r="A147" t="s">
        <v>2278</v>
      </c>
      <c r="B147" t="s">
        <v>1816</v>
      </c>
      <c r="C147" t="s">
        <v>1817</v>
      </c>
      <c r="D147">
        <v>8</v>
      </c>
      <c r="E147" t="s">
        <v>1447</v>
      </c>
      <c r="F147" t="s">
        <v>1818</v>
      </c>
      <c r="G147" t="s">
        <v>1737</v>
      </c>
      <c r="H147" t="s">
        <v>2277</v>
      </c>
      <c r="I147" t="s">
        <v>2277</v>
      </c>
      <c r="J147" t="s">
        <v>2277</v>
      </c>
      <c r="K147" t="s">
        <v>2277</v>
      </c>
      <c r="L147" t="s">
        <v>1419</v>
      </c>
      <c r="M147" t="s">
        <v>2277</v>
      </c>
      <c r="N147" t="s">
        <v>2277</v>
      </c>
      <c r="O147" s="190" t="str">
        <f t="shared" si="2"/>
        <v>[S04_IEDProcedureRequirementsIntegratedYes][8][IntegrationYesNo]</v>
      </c>
    </row>
    <row r="148" spans="1:15" x14ac:dyDescent="0.3">
      <c r="A148" t="s">
        <v>2278</v>
      </c>
      <c r="B148" t="s">
        <v>1816</v>
      </c>
      <c r="C148" t="s">
        <v>1817</v>
      </c>
      <c r="D148">
        <v>8</v>
      </c>
      <c r="E148" t="s">
        <v>1447</v>
      </c>
      <c r="F148" t="s">
        <v>1819</v>
      </c>
      <c r="G148" t="s">
        <v>1791</v>
      </c>
      <c r="H148" t="s">
        <v>2277</v>
      </c>
      <c r="I148" t="s">
        <v>2277</v>
      </c>
      <c r="J148" t="s">
        <v>2277</v>
      </c>
      <c r="K148" t="s">
        <v>2528</v>
      </c>
      <c r="L148" t="s">
        <v>2277</v>
      </c>
      <c r="M148" t="s">
        <v>2277</v>
      </c>
      <c r="N148" t="s">
        <v>2277</v>
      </c>
      <c r="O148" s="190" t="str">
        <f t="shared" si="2"/>
        <v>[S04_IEDProcedureRequirementsIntegratedYes][8][IntegrationComments]</v>
      </c>
    </row>
    <row r="149" spans="1:15" x14ac:dyDescent="0.3">
      <c r="A149" t="s">
        <v>2278</v>
      </c>
      <c r="B149" t="s">
        <v>1820</v>
      </c>
      <c r="C149" t="s">
        <v>1821</v>
      </c>
      <c r="D149">
        <v>1</v>
      </c>
      <c r="E149" t="s">
        <v>1447</v>
      </c>
      <c r="F149" t="s">
        <v>1822</v>
      </c>
      <c r="G149" t="s">
        <v>1741</v>
      </c>
      <c r="H149" t="s">
        <v>2527</v>
      </c>
      <c r="I149" t="s">
        <v>2277</v>
      </c>
      <c r="J149" t="s">
        <v>2277</v>
      </c>
      <c r="K149" t="s">
        <v>2277</v>
      </c>
      <c r="L149" t="s">
        <v>2277</v>
      </c>
      <c r="M149" t="s">
        <v>2277</v>
      </c>
      <c r="N149" t="s">
        <v>2277</v>
      </c>
      <c r="O149" s="190" t="str">
        <f t="shared" si="2"/>
        <v>[S04_NationalLawPermitUpdate][1][PermitUpdateNationalLawDetail]</v>
      </c>
    </row>
    <row r="150" spans="1:15" x14ac:dyDescent="0.3">
      <c r="A150" t="s">
        <v>2278</v>
      </c>
      <c r="B150" t="s">
        <v>1820</v>
      </c>
      <c r="C150" t="s">
        <v>1821</v>
      </c>
      <c r="D150">
        <v>2</v>
      </c>
      <c r="E150" t="s">
        <v>1447</v>
      </c>
      <c r="F150" t="s">
        <v>1822</v>
      </c>
      <c r="G150" t="s">
        <v>1741</v>
      </c>
      <c r="H150" t="s">
        <v>2526</v>
      </c>
      <c r="I150" t="s">
        <v>2277</v>
      </c>
      <c r="J150" t="s">
        <v>2277</v>
      </c>
      <c r="K150" t="s">
        <v>2277</v>
      </c>
      <c r="L150" t="s">
        <v>2277</v>
      </c>
      <c r="M150" t="s">
        <v>2277</v>
      </c>
      <c r="N150" t="s">
        <v>2277</v>
      </c>
      <c r="O150" s="190" t="str">
        <f t="shared" si="2"/>
        <v>[S04_NationalLawPermitUpdate][2][PermitUpdateNationalLawDetail]</v>
      </c>
    </row>
    <row r="151" spans="1:15" x14ac:dyDescent="0.3">
      <c r="A151" t="s">
        <v>2278</v>
      </c>
      <c r="B151" t="s">
        <v>1820</v>
      </c>
      <c r="C151" t="s">
        <v>1821</v>
      </c>
      <c r="D151">
        <v>3</v>
      </c>
      <c r="E151" t="s">
        <v>1447</v>
      </c>
      <c r="F151" t="s">
        <v>1822</v>
      </c>
      <c r="G151" t="s">
        <v>1741</v>
      </c>
      <c r="H151" t="s">
        <v>2525</v>
      </c>
      <c r="I151" t="s">
        <v>2277</v>
      </c>
      <c r="J151" t="s">
        <v>2277</v>
      </c>
      <c r="K151" t="s">
        <v>2277</v>
      </c>
      <c r="L151" t="s">
        <v>2277</v>
      </c>
      <c r="M151" t="s">
        <v>2277</v>
      </c>
      <c r="N151" t="s">
        <v>2277</v>
      </c>
      <c r="O151" s="190" t="str">
        <f t="shared" si="2"/>
        <v>[S04_NationalLawPermitUpdate][3][PermitUpdateNationalLawDetail]</v>
      </c>
    </row>
    <row r="152" spans="1:15" x14ac:dyDescent="0.3">
      <c r="A152" t="s">
        <v>2278</v>
      </c>
      <c r="B152" t="s">
        <v>1820</v>
      </c>
      <c r="C152" t="s">
        <v>1821</v>
      </c>
      <c r="D152">
        <v>4</v>
      </c>
      <c r="E152" t="s">
        <v>1447</v>
      </c>
      <c r="F152" t="s">
        <v>1822</v>
      </c>
      <c r="G152" t="s">
        <v>1741</v>
      </c>
      <c r="H152" t="s">
        <v>2524</v>
      </c>
      <c r="I152" t="s">
        <v>2277</v>
      </c>
      <c r="J152" t="s">
        <v>2277</v>
      </c>
      <c r="K152" t="s">
        <v>2277</v>
      </c>
      <c r="L152" t="s">
        <v>2277</v>
      </c>
      <c r="M152" t="s">
        <v>2277</v>
      </c>
      <c r="N152" t="s">
        <v>2277</v>
      </c>
      <c r="O152" s="190" t="str">
        <f t="shared" si="2"/>
        <v>[S04_NationalLawPermitUpdate][4][PermitUpdateNationalLawDetail]</v>
      </c>
    </row>
    <row r="153" spans="1:15" x14ac:dyDescent="0.3">
      <c r="A153" t="s">
        <v>2278</v>
      </c>
      <c r="B153" t="s">
        <v>1820</v>
      </c>
      <c r="C153" t="s">
        <v>1821</v>
      </c>
      <c r="D153">
        <v>5</v>
      </c>
      <c r="E153" t="s">
        <v>1447</v>
      </c>
      <c r="F153" t="s">
        <v>1822</v>
      </c>
      <c r="G153" t="s">
        <v>1741</v>
      </c>
      <c r="H153" t="s">
        <v>2523</v>
      </c>
      <c r="I153" t="s">
        <v>2277</v>
      </c>
      <c r="J153" t="s">
        <v>2277</v>
      </c>
      <c r="K153" t="s">
        <v>2277</v>
      </c>
      <c r="L153" t="s">
        <v>2277</v>
      </c>
      <c r="M153" t="s">
        <v>2277</v>
      </c>
      <c r="N153" t="s">
        <v>2277</v>
      </c>
      <c r="O153" s="190" t="str">
        <f t="shared" si="2"/>
        <v>[S04_NationalLawPermitUpdate][5][PermitUpdateNationalLawDetail]</v>
      </c>
    </row>
    <row r="154" spans="1:15" x14ac:dyDescent="0.3">
      <c r="A154" t="s">
        <v>2278</v>
      </c>
      <c r="B154" t="s">
        <v>1820</v>
      </c>
      <c r="C154" t="s">
        <v>1821</v>
      </c>
      <c r="D154">
        <v>6</v>
      </c>
      <c r="E154" t="s">
        <v>1447</v>
      </c>
      <c r="F154" t="s">
        <v>1822</v>
      </c>
      <c r="G154" t="s">
        <v>1741</v>
      </c>
      <c r="H154" t="s">
        <v>2522</v>
      </c>
      <c r="I154" t="s">
        <v>2277</v>
      </c>
      <c r="J154" t="s">
        <v>2277</v>
      </c>
      <c r="K154" t="s">
        <v>2277</v>
      </c>
      <c r="L154" t="s">
        <v>2277</v>
      </c>
      <c r="M154" t="s">
        <v>2277</v>
      </c>
      <c r="N154" t="s">
        <v>2277</v>
      </c>
      <c r="O154" s="190" t="str">
        <f t="shared" si="2"/>
        <v>[S04_NationalLawPermitUpdate][6][PermitUpdateNationalLawDetail]</v>
      </c>
    </row>
    <row r="155" spans="1:15" x14ac:dyDescent="0.3">
      <c r="A155" t="s">
        <v>2278</v>
      </c>
      <c r="B155" t="s">
        <v>1820</v>
      </c>
      <c r="C155" t="s">
        <v>1823</v>
      </c>
      <c r="D155">
        <v>0</v>
      </c>
      <c r="E155" t="s">
        <v>1447</v>
      </c>
      <c r="F155" t="s">
        <v>1823</v>
      </c>
      <c r="G155" t="s">
        <v>1748</v>
      </c>
      <c r="H155" t="s">
        <v>2277</v>
      </c>
      <c r="I155">
        <v>545</v>
      </c>
      <c r="J155" t="s">
        <v>2277</v>
      </c>
      <c r="K155" t="s">
        <v>2277</v>
      </c>
      <c r="L155" t="s">
        <v>2277</v>
      </c>
      <c r="M155" t="s">
        <v>2277</v>
      </c>
      <c r="N155" t="s">
        <v>2277</v>
      </c>
      <c r="O155" s="190" t="str">
        <f t="shared" si="2"/>
        <v>[PermitUpdateTotalNumber][0][PermitUpdateTotalNumber]</v>
      </c>
    </row>
    <row r="156" spans="1:15" x14ac:dyDescent="0.3">
      <c r="A156" t="s">
        <v>2278</v>
      </c>
      <c r="B156" t="s">
        <v>1824</v>
      </c>
      <c r="C156" t="s">
        <v>1825</v>
      </c>
      <c r="D156">
        <v>0</v>
      </c>
      <c r="E156" t="s">
        <v>1447</v>
      </c>
      <c r="F156" t="s">
        <v>1825</v>
      </c>
      <c r="G156" t="s">
        <v>1759</v>
      </c>
      <c r="H156" t="s">
        <v>2277</v>
      </c>
      <c r="I156" t="s">
        <v>2277</v>
      </c>
      <c r="J156" t="s">
        <v>2277</v>
      </c>
      <c r="K156" t="s">
        <v>2277</v>
      </c>
      <c r="L156" t="s">
        <v>1419</v>
      </c>
      <c r="M156" t="s">
        <v>2277</v>
      </c>
      <c r="N156" t="s">
        <v>2277</v>
      </c>
      <c r="O156" s="190" t="str">
        <f t="shared" si="2"/>
        <v>[AdditionalNationalLegislation][0][AdditionalNationalLegislation]</v>
      </c>
    </row>
    <row r="157" spans="1:15" x14ac:dyDescent="0.3">
      <c r="A157" t="s">
        <v>2278</v>
      </c>
      <c r="B157" t="s">
        <v>1824</v>
      </c>
      <c r="C157" t="s">
        <v>1826</v>
      </c>
      <c r="D157">
        <v>0</v>
      </c>
      <c r="E157" t="s">
        <v>1447</v>
      </c>
      <c r="F157" t="s">
        <v>1826</v>
      </c>
      <c r="G157" t="s">
        <v>1741</v>
      </c>
      <c r="H157" t="s">
        <v>2521</v>
      </c>
      <c r="I157" t="s">
        <v>2277</v>
      </c>
      <c r="J157" t="s">
        <v>2277</v>
      </c>
      <c r="K157" t="s">
        <v>2277</v>
      </c>
      <c r="L157" t="s">
        <v>2277</v>
      </c>
      <c r="M157" t="s">
        <v>2277</v>
      </c>
      <c r="N157" t="s">
        <v>2277</v>
      </c>
      <c r="O157" s="190" t="str">
        <f t="shared" si="2"/>
        <v>[AdditionalNationalLegislationDetail][0][AdditionalNationalLegislationDetail]</v>
      </c>
    </row>
    <row r="158" spans="1:15" x14ac:dyDescent="0.3">
      <c r="A158" t="s">
        <v>2278</v>
      </c>
      <c r="B158" t="s">
        <v>1824</v>
      </c>
      <c r="C158" t="s">
        <v>1827</v>
      </c>
      <c r="D158">
        <v>0</v>
      </c>
      <c r="E158" t="s">
        <v>1447</v>
      </c>
      <c r="F158" t="s">
        <v>1827</v>
      </c>
      <c r="G158" t="s">
        <v>1759</v>
      </c>
      <c r="H158" t="s">
        <v>2277</v>
      </c>
      <c r="I158" t="s">
        <v>2277</v>
      </c>
      <c r="J158" t="s">
        <v>2277</v>
      </c>
      <c r="K158" t="s">
        <v>2277</v>
      </c>
      <c r="L158" t="s">
        <v>1447</v>
      </c>
      <c r="M158" t="s">
        <v>2277</v>
      </c>
      <c r="N158" t="s">
        <v>2277</v>
      </c>
      <c r="O158" s="190" t="str">
        <f t="shared" si="2"/>
        <v>[AdditionalNationalGuidance][0][AdditionalNationalGuidance]</v>
      </c>
    </row>
    <row r="159" spans="1:15" x14ac:dyDescent="0.3">
      <c r="A159" t="s">
        <v>2278</v>
      </c>
      <c r="B159" t="s">
        <v>1829</v>
      </c>
      <c r="C159" t="s">
        <v>1830</v>
      </c>
      <c r="D159">
        <v>1</v>
      </c>
      <c r="E159" t="s">
        <v>1447</v>
      </c>
      <c r="F159" t="s">
        <v>1831</v>
      </c>
      <c r="G159" t="s">
        <v>1759</v>
      </c>
      <c r="H159" t="s">
        <v>2277</v>
      </c>
      <c r="I159" t="s">
        <v>2277</v>
      </c>
      <c r="J159" t="s">
        <v>2277</v>
      </c>
      <c r="K159" t="s">
        <v>2277</v>
      </c>
      <c r="L159" t="s">
        <v>1419</v>
      </c>
      <c r="M159" t="s">
        <v>2277</v>
      </c>
      <c r="N159" t="s">
        <v>2277</v>
      </c>
      <c r="O159" s="190" t="str">
        <f t="shared" si="2"/>
        <v>[MeasuresStreamline][1][MeasuresStreamlineYesNo]</v>
      </c>
    </row>
    <row r="160" spans="1:15" x14ac:dyDescent="0.3">
      <c r="A160" t="s">
        <v>2278</v>
      </c>
      <c r="B160" t="s">
        <v>1829</v>
      </c>
      <c r="C160" t="s">
        <v>1830</v>
      </c>
      <c r="D160">
        <v>2</v>
      </c>
      <c r="E160" t="s">
        <v>1447</v>
      </c>
      <c r="F160" t="s">
        <v>1831</v>
      </c>
      <c r="G160" t="s">
        <v>1759</v>
      </c>
      <c r="H160" t="s">
        <v>2277</v>
      </c>
      <c r="I160" t="s">
        <v>2277</v>
      </c>
      <c r="J160" t="s">
        <v>2277</v>
      </c>
      <c r="K160" t="s">
        <v>2277</v>
      </c>
      <c r="L160" t="s">
        <v>1447</v>
      </c>
      <c r="M160" t="s">
        <v>2277</v>
      </c>
      <c r="N160" t="s">
        <v>2277</v>
      </c>
      <c r="O160" s="190" t="str">
        <f t="shared" si="2"/>
        <v>[MeasuresStreamline][2][MeasuresStreamlineYesNo]</v>
      </c>
    </row>
    <row r="161" spans="1:15" x14ac:dyDescent="0.3">
      <c r="A161" t="s">
        <v>2278</v>
      </c>
      <c r="B161" t="s">
        <v>1829</v>
      </c>
      <c r="C161" t="s">
        <v>1830</v>
      </c>
      <c r="D161">
        <v>3</v>
      </c>
      <c r="E161" t="s">
        <v>1447</v>
      </c>
      <c r="F161" t="s">
        <v>1831</v>
      </c>
      <c r="G161" t="s">
        <v>1759</v>
      </c>
      <c r="H161" t="s">
        <v>2277</v>
      </c>
      <c r="I161" t="s">
        <v>2277</v>
      </c>
      <c r="J161" t="s">
        <v>2277</v>
      </c>
      <c r="K161" t="s">
        <v>2277</v>
      </c>
      <c r="L161" t="s">
        <v>1447</v>
      </c>
      <c r="M161" t="s">
        <v>2277</v>
      </c>
      <c r="N161" t="s">
        <v>2277</v>
      </c>
      <c r="O161" s="190" t="str">
        <f t="shared" si="2"/>
        <v>[MeasuresStreamline][3][MeasuresStreamlineYesNo]</v>
      </c>
    </row>
    <row r="162" spans="1:15" x14ac:dyDescent="0.3">
      <c r="A162" t="s">
        <v>2278</v>
      </c>
      <c r="B162" t="s">
        <v>1829</v>
      </c>
      <c r="C162" t="s">
        <v>1830</v>
      </c>
      <c r="D162">
        <v>4</v>
      </c>
      <c r="E162" t="s">
        <v>1447</v>
      </c>
      <c r="F162" t="s">
        <v>1831</v>
      </c>
      <c r="G162" t="s">
        <v>1759</v>
      </c>
      <c r="H162" t="s">
        <v>2277</v>
      </c>
      <c r="I162" t="s">
        <v>2277</v>
      </c>
      <c r="J162" t="s">
        <v>2277</v>
      </c>
      <c r="K162" t="s">
        <v>2277</v>
      </c>
      <c r="L162" t="s">
        <v>1447</v>
      </c>
      <c r="M162" t="s">
        <v>2277</v>
      </c>
      <c r="N162" t="s">
        <v>2277</v>
      </c>
      <c r="O162" s="190" t="str">
        <f t="shared" si="2"/>
        <v>[MeasuresStreamline][4][MeasuresStreamlineYesNo]</v>
      </c>
    </row>
    <row r="163" spans="1:15" x14ac:dyDescent="0.3">
      <c r="A163" t="s">
        <v>2278</v>
      </c>
      <c r="B163" t="s">
        <v>1829</v>
      </c>
      <c r="C163" t="s">
        <v>1830</v>
      </c>
      <c r="D163">
        <v>5</v>
      </c>
      <c r="E163" t="s">
        <v>1447</v>
      </c>
      <c r="F163" t="s">
        <v>1831</v>
      </c>
      <c r="G163" t="s">
        <v>1759</v>
      </c>
      <c r="H163" t="s">
        <v>2277</v>
      </c>
      <c r="I163" t="s">
        <v>2277</v>
      </c>
      <c r="J163" t="s">
        <v>2277</v>
      </c>
      <c r="K163" t="s">
        <v>2277</v>
      </c>
      <c r="L163" t="s">
        <v>1447</v>
      </c>
      <c r="M163" t="s">
        <v>2277</v>
      </c>
      <c r="N163" t="s">
        <v>2277</v>
      </c>
      <c r="O163" s="190" t="str">
        <f t="shared" si="2"/>
        <v>[MeasuresStreamline][5][MeasuresStreamlineYesNo]</v>
      </c>
    </row>
    <row r="164" spans="1:15" x14ac:dyDescent="0.3">
      <c r="A164" t="s">
        <v>2278</v>
      </c>
      <c r="B164" t="s">
        <v>1829</v>
      </c>
      <c r="C164" t="s">
        <v>1830</v>
      </c>
      <c r="D164">
        <v>6</v>
      </c>
      <c r="E164" t="s">
        <v>1447</v>
      </c>
      <c r="F164" t="s">
        <v>1831</v>
      </c>
      <c r="G164" t="s">
        <v>1759</v>
      </c>
      <c r="H164" t="s">
        <v>2277</v>
      </c>
      <c r="I164" t="s">
        <v>2277</v>
      </c>
      <c r="J164" t="s">
        <v>2277</v>
      </c>
      <c r="K164" t="s">
        <v>2277</v>
      </c>
      <c r="L164" t="s">
        <v>1447</v>
      </c>
      <c r="M164" t="s">
        <v>2277</v>
      </c>
      <c r="N164" t="s">
        <v>2277</v>
      </c>
      <c r="O164" s="190" t="str">
        <f t="shared" si="2"/>
        <v>[MeasuresStreamline][6][MeasuresStreamlineYesNo]</v>
      </c>
    </row>
    <row r="165" spans="1:15" x14ac:dyDescent="0.3">
      <c r="A165" t="s">
        <v>2278</v>
      </c>
      <c r="B165" t="s">
        <v>1829</v>
      </c>
      <c r="C165" t="s">
        <v>1830</v>
      </c>
      <c r="D165">
        <v>7</v>
      </c>
      <c r="E165" t="s">
        <v>1447</v>
      </c>
      <c r="F165" t="s">
        <v>1831</v>
      </c>
      <c r="G165" t="s">
        <v>1759</v>
      </c>
      <c r="H165" t="s">
        <v>2277</v>
      </c>
      <c r="I165" t="s">
        <v>2277</v>
      </c>
      <c r="J165" t="s">
        <v>2277</v>
      </c>
      <c r="K165" t="s">
        <v>2277</v>
      </c>
      <c r="L165" t="s">
        <v>1447</v>
      </c>
      <c r="M165" t="s">
        <v>2277</v>
      </c>
      <c r="N165" t="s">
        <v>2277</v>
      </c>
      <c r="O165" s="190" t="str">
        <f t="shared" si="2"/>
        <v>[MeasuresStreamline][7][MeasuresStreamlineYesNo]</v>
      </c>
    </row>
    <row r="166" spans="1:15" x14ac:dyDescent="0.3">
      <c r="A166" t="s">
        <v>2278</v>
      </c>
      <c r="B166" t="s">
        <v>1833</v>
      </c>
      <c r="C166" t="s">
        <v>1834</v>
      </c>
      <c r="D166">
        <v>0</v>
      </c>
      <c r="E166" t="s">
        <v>1447</v>
      </c>
      <c r="F166" t="s">
        <v>1834</v>
      </c>
      <c r="G166" t="s">
        <v>1759</v>
      </c>
      <c r="H166" t="s">
        <v>2277</v>
      </c>
      <c r="I166" t="s">
        <v>2277</v>
      </c>
      <c r="J166" t="s">
        <v>2277</v>
      </c>
      <c r="K166" t="s">
        <v>2277</v>
      </c>
      <c r="L166" t="s">
        <v>1419</v>
      </c>
      <c r="M166" t="s">
        <v>2277</v>
      </c>
      <c r="N166" t="s">
        <v>2277</v>
      </c>
      <c r="O166" s="190" t="str">
        <f t="shared" si="2"/>
        <v>[CommissionTemplatesMRR][0][CommissionTemplatesMRR]</v>
      </c>
    </row>
    <row r="167" spans="1:15" x14ac:dyDescent="0.3">
      <c r="A167" t="s">
        <v>2278</v>
      </c>
      <c r="B167" t="s">
        <v>1833</v>
      </c>
      <c r="C167" t="s">
        <v>1835</v>
      </c>
      <c r="D167">
        <v>2</v>
      </c>
      <c r="E167" t="s">
        <v>1447</v>
      </c>
      <c r="F167" t="s">
        <v>1836</v>
      </c>
      <c r="G167" t="s">
        <v>1737</v>
      </c>
      <c r="H167" t="s">
        <v>2277</v>
      </c>
      <c r="I167" t="s">
        <v>2277</v>
      </c>
      <c r="J167" t="s">
        <v>2277</v>
      </c>
      <c r="K167" t="s">
        <v>2277</v>
      </c>
      <c r="L167" t="s">
        <v>1424</v>
      </c>
      <c r="M167" t="s">
        <v>2277</v>
      </c>
      <c r="N167" t="s">
        <v>2277</v>
      </c>
      <c r="O167" s="190" t="str">
        <f t="shared" si="2"/>
        <v>[S05_MSCustomisedTemplatesMRR1][2][SpecificTemplateOrFileFormat]</v>
      </c>
    </row>
    <row r="168" spans="1:15" x14ac:dyDescent="0.3">
      <c r="A168" t="s">
        <v>2278</v>
      </c>
      <c r="B168" t="s">
        <v>1833</v>
      </c>
      <c r="C168" t="s">
        <v>1835</v>
      </c>
      <c r="D168">
        <v>2</v>
      </c>
      <c r="E168" t="s">
        <v>1447</v>
      </c>
      <c r="F168" t="s">
        <v>1837</v>
      </c>
      <c r="G168" t="s">
        <v>1741</v>
      </c>
      <c r="H168" t="s">
        <v>2520</v>
      </c>
      <c r="I168" t="s">
        <v>2277</v>
      </c>
      <c r="J168" t="s">
        <v>2277</v>
      </c>
      <c r="K168" t="s">
        <v>2277</v>
      </c>
      <c r="L168" t="s">
        <v>2277</v>
      </c>
      <c r="M168" t="s">
        <v>2277</v>
      </c>
      <c r="N168" t="s">
        <v>2277</v>
      </c>
      <c r="O168" s="190" t="str">
        <f t="shared" si="2"/>
        <v>[S05_MSCustomisedTemplatesMRR1][2][HowTemplateSpecific]</v>
      </c>
    </row>
    <row r="169" spans="1:15" x14ac:dyDescent="0.3">
      <c r="A169" t="s">
        <v>2278</v>
      </c>
      <c r="B169" t="s">
        <v>1833</v>
      </c>
      <c r="C169" t="s">
        <v>1839</v>
      </c>
      <c r="D169">
        <v>0</v>
      </c>
      <c r="E169" t="s">
        <v>1447</v>
      </c>
      <c r="F169" t="s">
        <v>1839</v>
      </c>
      <c r="G169" t="s">
        <v>1741</v>
      </c>
      <c r="H169" t="s">
        <v>2519</v>
      </c>
      <c r="I169" t="s">
        <v>2277</v>
      </c>
      <c r="J169" t="s">
        <v>2277</v>
      </c>
      <c r="K169" t="s">
        <v>2277</v>
      </c>
      <c r="L169" t="s">
        <v>2277</v>
      </c>
      <c r="M169" t="s">
        <v>2277</v>
      </c>
      <c r="N169" t="s">
        <v>2277</v>
      </c>
      <c r="O169" s="190" t="str">
        <f t="shared" si="2"/>
        <v>[ComplyMeasuresArt74][0][ComplyMeasuresArt74]</v>
      </c>
    </row>
    <row r="170" spans="1:15" x14ac:dyDescent="0.3">
      <c r="A170" t="s">
        <v>2278</v>
      </c>
      <c r="B170" t="s">
        <v>1840</v>
      </c>
      <c r="C170" t="s">
        <v>1841</v>
      </c>
      <c r="D170">
        <v>0</v>
      </c>
      <c r="E170" t="s">
        <v>1447</v>
      </c>
      <c r="F170" t="s">
        <v>1841</v>
      </c>
      <c r="G170" t="s">
        <v>1759</v>
      </c>
      <c r="H170" t="s">
        <v>2277</v>
      </c>
      <c r="I170" t="s">
        <v>2277</v>
      </c>
      <c r="J170" t="s">
        <v>2277</v>
      </c>
      <c r="K170" t="s">
        <v>2277</v>
      </c>
      <c r="L170" t="s">
        <v>1447</v>
      </c>
      <c r="M170" t="s">
        <v>2277</v>
      </c>
      <c r="N170" t="s">
        <v>2277</v>
      </c>
      <c r="O170" s="190" t="str">
        <f t="shared" si="2"/>
        <v>[AutomatedSystemInformationExchange][0][AutomatedSystemInformationExchange]</v>
      </c>
    </row>
    <row r="171" spans="1:15" x14ac:dyDescent="0.3">
      <c r="A171" t="s">
        <v>2278</v>
      </c>
      <c r="B171" t="s">
        <v>1843</v>
      </c>
      <c r="C171" t="s">
        <v>1844</v>
      </c>
      <c r="D171">
        <v>1</v>
      </c>
      <c r="E171" t="s">
        <v>1447</v>
      </c>
      <c r="F171" t="s">
        <v>1845</v>
      </c>
      <c r="G171" t="s">
        <v>1806</v>
      </c>
      <c r="H171" t="s">
        <v>2277</v>
      </c>
      <c r="I171" t="s">
        <v>2277</v>
      </c>
      <c r="J171">
        <v>988069.11210000003</v>
      </c>
      <c r="K171" t="s">
        <v>2277</v>
      </c>
      <c r="L171" t="s">
        <v>2277</v>
      </c>
      <c r="M171" t="s">
        <v>2277</v>
      </c>
      <c r="N171" t="s">
        <v>2277</v>
      </c>
      <c r="O171" s="190" t="str">
        <f t="shared" si="2"/>
        <v>[S05_InstallationFuelConsEmissions][1][FuelConsumption]</v>
      </c>
    </row>
    <row r="172" spans="1:15" x14ac:dyDescent="0.3">
      <c r="A172" t="s">
        <v>2278</v>
      </c>
      <c r="B172" t="s">
        <v>1843</v>
      </c>
      <c r="C172" t="s">
        <v>1844</v>
      </c>
      <c r="D172">
        <v>2</v>
      </c>
      <c r="E172" t="s">
        <v>1447</v>
      </c>
      <c r="F172" t="s">
        <v>1845</v>
      </c>
      <c r="G172" t="s">
        <v>1806</v>
      </c>
      <c r="H172" t="s">
        <v>2277</v>
      </c>
      <c r="I172" t="s">
        <v>2277</v>
      </c>
      <c r="J172">
        <v>430894.43</v>
      </c>
      <c r="K172" t="s">
        <v>2277</v>
      </c>
      <c r="L172" t="s">
        <v>2277</v>
      </c>
      <c r="M172" t="s">
        <v>2277</v>
      </c>
      <c r="N172" t="s">
        <v>2277</v>
      </c>
      <c r="O172" s="190" t="str">
        <f t="shared" si="2"/>
        <v>[S05_InstallationFuelConsEmissions][2][FuelConsumption]</v>
      </c>
    </row>
    <row r="173" spans="1:15" x14ac:dyDescent="0.3">
      <c r="A173" t="s">
        <v>2278</v>
      </c>
      <c r="B173" t="s">
        <v>1843</v>
      </c>
      <c r="C173" t="s">
        <v>1844</v>
      </c>
      <c r="D173">
        <v>3</v>
      </c>
      <c r="E173" t="s">
        <v>1447</v>
      </c>
      <c r="F173" t="s">
        <v>1845</v>
      </c>
      <c r="G173" t="s">
        <v>1806</v>
      </c>
      <c r="H173" t="s">
        <v>2277</v>
      </c>
      <c r="I173" t="s">
        <v>2277</v>
      </c>
      <c r="J173">
        <v>0</v>
      </c>
      <c r="K173" t="s">
        <v>2277</v>
      </c>
      <c r="L173" t="s">
        <v>2277</v>
      </c>
      <c r="M173" t="s">
        <v>2277</v>
      </c>
      <c r="N173" t="s">
        <v>2277</v>
      </c>
      <c r="O173" s="190" t="str">
        <f t="shared" si="2"/>
        <v>[S05_InstallationFuelConsEmissions][3][FuelConsumption]</v>
      </c>
    </row>
    <row r="174" spans="1:15" x14ac:dyDescent="0.3">
      <c r="A174" t="s">
        <v>2278</v>
      </c>
      <c r="B174" t="s">
        <v>1843</v>
      </c>
      <c r="C174" t="s">
        <v>1844</v>
      </c>
      <c r="D174">
        <v>4</v>
      </c>
      <c r="E174" t="s">
        <v>1447</v>
      </c>
      <c r="F174" t="s">
        <v>1845</v>
      </c>
      <c r="G174" t="s">
        <v>1806</v>
      </c>
      <c r="H174" t="s">
        <v>2277</v>
      </c>
      <c r="I174" t="s">
        <v>2277</v>
      </c>
      <c r="J174">
        <v>58674.527699999999</v>
      </c>
      <c r="K174" t="s">
        <v>2277</v>
      </c>
      <c r="L174" t="s">
        <v>2277</v>
      </c>
      <c r="M174" t="s">
        <v>2277</v>
      </c>
      <c r="N174" t="s">
        <v>2277</v>
      </c>
      <c r="O174" s="190" t="str">
        <f t="shared" si="2"/>
        <v>[S05_InstallationFuelConsEmissions][4][FuelConsumption]</v>
      </c>
    </row>
    <row r="175" spans="1:15" x14ac:dyDescent="0.3">
      <c r="A175" t="s">
        <v>2278</v>
      </c>
      <c r="B175" t="s">
        <v>1843</v>
      </c>
      <c r="C175" t="s">
        <v>1844</v>
      </c>
      <c r="D175">
        <v>5</v>
      </c>
      <c r="E175" t="s">
        <v>1447</v>
      </c>
      <c r="F175" t="s">
        <v>1845</v>
      </c>
      <c r="G175" t="s">
        <v>1806</v>
      </c>
      <c r="H175" t="s">
        <v>2277</v>
      </c>
      <c r="I175" t="s">
        <v>2277</v>
      </c>
      <c r="J175">
        <v>347475.03129346698</v>
      </c>
      <c r="K175" t="s">
        <v>2277</v>
      </c>
      <c r="L175" t="s">
        <v>2277</v>
      </c>
      <c r="M175" t="s">
        <v>2277</v>
      </c>
      <c r="N175" t="s">
        <v>2277</v>
      </c>
      <c r="O175" s="190" t="str">
        <f t="shared" si="2"/>
        <v>[S05_InstallationFuelConsEmissions][5][FuelConsumption]</v>
      </c>
    </row>
    <row r="176" spans="1:15" x14ac:dyDescent="0.3">
      <c r="A176" t="s">
        <v>2278</v>
      </c>
      <c r="B176" t="s">
        <v>1843</v>
      </c>
      <c r="C176" t="s">
        <v>1844</v>
      </c>
      <c r="D176">
        <v>6</v>
      </c>
      <c r="E176" t="s">
        <v>1447</v>
      </c>
      <c r="F176" t="s">
        <v>1845</v>
      </c>
      <c r="G176" t="s">
        <v>1806</v>
      </c>
      <c r="H176" t="s">
        <v>2277</v>
      </c>
      <c r="I176" t="s">
        <v>2277</v>
      </c>
      <c r="J176">
        <v>68854.457947899995</v>
      </c>
      <c r="K176" t="s">
        <v>2277</v>
      </c>
      <c r="L176" t="s">
        <v>2277</v>
      </c>
      <c r="M176" t="s">
        <v>2277</v>
      </c>
      <c r="N176" t="s">
        <v>2277</v>
      </c>
      <c r="O176" s="190" t="str">
        <f t="shared" si="2"/>
        <v>[S05_InstallationFuelConsEmissions][6][FuelConsumption]</v>
      </c>
    </row>
    <row r="177" spans="1:15" x14ac:dyDescent="0.3">
      <c r="A177" t="s">
        <v>2278</v>
      </c>
      <c r="B177" t="s">
        <v>1843</v>
      </c>
      <c r="C177" t="s">
        <v>1844</v>
      </c>
      <c r="D177">
        <v>7</v>
      </c>
      <c r="E177" t="s">
        <v>1447</v>
      </c>
      <c r="F177" t="s">
        <v>1845</v>
      </c>
      <c r="G177" t="s">
        <v>1806</v>
      </c>
      <c r="H177" t="s">
        <v>2277</v>
      </c>
      <c r="I177" t="s">
        <v>2277</v>
      </c>
      <c r="J177">
        <v>13328.718800000001</v>
      </c>
      <c r="K177" t="s">
        <v>2277</v>
      </c>
      <c r="L177" t="s">
        <v>2277</v>
      </c>
      <c r="M177" t="s">
        <v>2277</v>
      </c>
      <c r="N177" t="s">
        <v>2277</v>
      </c>
      <c r="O177" s="190" t="str">
        <f t="shared" si="2"/>
        <v>[S05_InstallationFuelConsEmissions][7][FuelConsumption]</v>
      </c>
    </row>
    <row r="178" spans="1:15" x14ac:dyDescent="0.3">
      <c r="A178" t="s">
        <v>2278</v>
      </c>
      <c r="B178" t="s">
        <v>1843</v>
      </c>
      <c r="C178" t="s">
        <v>1844</v>
      </c>
      <c r="D178">
        <v>8</v>
      </c>
      <c r="E178" t="s">
        <v>1447</v>
      </c>
      <c r="F178" t="s">
        <v>1845</v>
      </c>
      <c r="G178" t="s">
        <v>1806</v>
      </c>
      <c r="H178" t="s">
        <v>2277</v>
      </c>
      <c r="I178" t="s">
        <v>2277</v>
      </c>
      <c r="J178">
        <v>54974.803399999997</v>
      </c>
      <c r="K178" t="s">
        <v>2277</v>
      </c>
      <c r="L178" t="s">
        <v>2277</v>
      </c>
      <c r="M178" t="s">
        <v>2277</v>
      </c>
      <c r="N178" t="s">
        <v>2277</v>
      </c>
      <c r="O178" s="190" t="str">
        <f t="shared" si="2"/>
        <v>[S05_InstallationFuelConsEmissions][8][FuelConsumption]</v>
      </c>
    </row>
    <row r="179" spans="1:15" x14ac:dyDescent="0.3">
      <c r="A179" t="s">
        <v>2278</v>
      </c>
      <c r="B179" t="s">
        <v>1843</v>
      </c>
      <c r="C179" t="s">
        <v>1844</v>
      </c>
      <c r="D179">
        <v>9</v>
      </c>
      <c r="E179" t="s">
        <v>1447</v>
      </c>
      <c r="F179" t="s">
        <v>1845</v>
      </c>
      <c r="G179" t="s">
        <v>1806</v>
      </c>
      <c r="H179" t="s">
        <v>2277</v>
      </c>
      <c r="I179" t="s">
        <v>2277</v>
      </c>
      <c r="J179">
        <v>41494.952799999999</v>
      </c>
      <c r="K179" t="s">
        <v>2277</v>
      </c>
      <c r="L179" t="s">
        <v>2277</v>
      </c>
      <c r="M179" t="s">
        <v>2277</v>
      </c>
      <c r="N179" t="s">
        <v>2277</v>
      </c>
      <c r="O179" s="190" t="str">
        <f t="shared" si="2"/>
        <v>[S05_InstallationFuelConsEmissions][9][FuelConsumption]</v>
      </c>
    </row>
    <row r="180" spans="1:15" x14ac:dyDescent="0.3">
      <c r="A180" t="s">
        <v>2278</v>
      </c>
      <c r="B180" t="s">
        <v>1843</v>
      </c>
      <c r="C180" t="s">
        <v>1844</v>
      </c>
      <c r="D180">
        <v>10</v>
      </c>
      <c r="E180" t="s">
        <v>1447</v>
      </c>
      <c r="F180" t="s">
        <v>1845</v>
      </c>
      <c r="G180" t="s">
        <v>1806</v>
      </c>
      <c r="H180" t="s">
        <v>2277</v>
      </c>
      <c r="I180" t="s">
        <v>2277</v>
      </c>
      <c r="J180">
        <v>905.10558031999994</v>
      </c>
      <c r="K180" t="s">
        <v>2277</v>
      </c>
      <c r="L180" t="s">
        <v>2277</v>
      </c>
      <c r="M180" t="s">
        <v>2277</v>
      </c>
      <c r="N180" t="s">
        <v>2277</v>
      </c>
      <c r="O180" s="190" t="str">
        <f t="shared" si="2"/>
        <v>[S05_InstallationFuelConsEmissions][10][FuelConsumption]</v>
      </c>
    </row>
    <row r="181" spans="1:15" x14ac:dyDescent="0.3">
      <c r="A181" t="s">
        <v>2278</v>
      </c>
      <c r="B181" t="s">
        <v>1846</v>
      </c>
      <c r="C181" t="s">
        <v>1844</v>
      </c>
      <c r="D181">
        <v>11</v>
      </c>
      <c r="E181" t="s">
        <v>1447</v>
      </c>
      <c r="F181" t="s">
        <v>1845</v>
      </c>
      <c r="G181" t="s">
        <v>1806</v>
      </c>
      <c r="H181" t="s">
        <v>2277</v>
      </c>
      <c r="I181" t="s">
        <v>2277</v>
      </c>
      <c r="J181">
        <v>137.43119999999999</v>
      </c>
      <c r="K181" t="s">
        <v>2277</v>
      </c>
      <c r="L181" t="s">
        <v>2277</v>
      </c>
      <c r="M181" t="s">
        <v>2277</v>
      </c>
      <c r="N181" t="s">
        <v>2277</v>
      </c>
      <c r="O181" s="190" t="str">
        <f t="shared" si="2"/>
        <v>[S05_InstallationFuelConsEmissions][11][FuelConsumption]</v>
      </c>
    </row>
    <row r="182" spans="1:15" x14ac:dyDescent="0.3">
      <c r="A182" t="s">
        <v>2278</v>
      </c>
      <c r="B182" t="s">
        <v>1847</v>
      </c>
      <c r="C182" t="s">
        <v>1844</v>
      </c>
      <c r="D182">
        <v>12</v>
      </c>
      <c r="E182" t="s">
        <v>1447</v>
      </c>
      <c r="F182" t="s">
        <v>1845</v>
      </c>
      <c r="G182" t="s">
        <v>1806</v>
      </c>
      <c r="H182" t="s">
        <v>2277</v>
      </c>
      <c r="I182" t="s">
        <v>2277</v>
      </c>
      <c r="J182">
        <v>40660.803127775704</v>
      </c>
      <c r="K182" t="s">
        <v>2277</v>
      </c>
      <c r="L182" t="s">
        <v>2277</v>
      </c>
      <c r="M182" t="s">
        <v>2277</v>
      </c>
      <c r="N182" t="s">
        <v>2277</v>
      </c>
      <c r="O182" s="190" t="str">
        <f t="shared" si="2"/>
        <v>[S05_InstallationFuelConsEmissions][12][FuelConsumption]</v>
      </c>
    </row>
    <row r="183" spans="1:15" x14ac:dyDescent="0.3">
      <c r="A183" t="s">
        <v>2278</v>
      </c>
      <c r="B183" t="s">
        <v>1843</v>
      </c>
      <c r="C183" t="s">
        <v>1844</v>
      </c>
      <c r="D183">
        <v>1</v>
      </c>
      <c r="E183" t="s">
        <v>1447</v>
      </c>
      <c r="F183" t="s">
        <v>1848</v>
      </c>
      <c r="G183" t="s">
        <v>1806</v>
      </c>
      <c r="H183" t="s">
        <v>2277</v>
      </c>
      <c r="I183" t="s">
        <v>2277</v>
      </c>
      <c r="J183">
        <v>92507722.219899893</v>
      </c>
      <c r="K183" t="s">
        <v>2277</v>
      </c>
      <c r="L183" t="s">
        <v>2277</v>
      </c>
      <c r="M183" t="s">
        <v>2277</v>
      </c>
      <c r="N183" t="s">
        <v>2277</v>
      </c>
      <c r="O183" s="190" t="str">
        <f t="shared" si="2"/>
        <v>[S05_InstallationFuelConsEmissions][1][FuelAnnualEmissions]</v>
      </c>
    </row>
    <row r="184" spans="1:15" x14ac:dyDescent="0.3">
      <c r="A184" t="s">
        <v>2278</v>
      </c>
      <c r="B184" t="s">
        <v>1843</v>
      </c>
      <c r="C184" t="s">
        <v>1844</v>
      </c>
      <c r="D184">
        <v>2</v>
      </c>
      <c r="E184" t="s">
        <v>1447</v>
      </c>
      <c r="F184" t="s">
        <v>1848</v>
      </c>
      <c r="G184" t="s">
        <v>1806</v>
      </c>
      <c r="H184" t="s">
        <v>2277</v>
      </c>
      <c r="I184" t="s">
        <v>2277</v>
      </c>
      <c r="J184">
        <v>47691202.32</v>
      </c>
      <c r="K184" t="s">
        <v>2277</v>
      </c>
      <c r="L184" t="s">
        <v>2277</v>
      </c>
      <c r="M184" t="s">
        <v>2277</v>
      </c>
      <c r="N184" t="s">
        <v>2277</v>
      </c>
      <c r="O184" s="190" t="str">
        <f t="shared" si="2"/>
        <v>[S05_InstallationFuelConsEmissions][2][FuelAnnualEmissions]</v>
      </c>
    </row>
    <row r="185" spans="1:15" x14ac:dyDescent="0.3">
      <c r="A185" t="s">
        <v>2278</v>
      </c>
      <c r="B185" t="s">
        <v>1843</v>
      </c>
      <c r="C185" t="s">
        <v>1844</v>
      </c>
      <c r="D185">
        <v>3</v>
      </c>
      <c r="E185" t="s">
        <v>1447</v>
      </c>
      <c r="F185" t="s">
        <v>1848</v>
      </c>
      <c r="G185" t="s">
        <v>1806</v>
      </c>
      <c r="H185" t="s">
        <v>2277</v>
      </c>
      <c r="I185" t="s">
        <v>2277</v>
      </c>
      <c r="J185">
        <v>0</v>
      </c>
      <c r="K185" t="s">
        <v>2277</v>
      </c>
      <c r="L185" t="s">
        <v>2277</v>
      </c>
      <c r="M185" t="s">
        <v>2277</v>
      </c>
      <c r="N185" t="s">
        <v>2277</v>
      </c>
      <c r="O185" s="190" t="str">
        <f t="shared" si="2"/>
        <v>[S05_InstallationFuelConsEmissions][3][FuelAnnualEmissions]</v>
      </c>
    </row>
    <row r="186" spans="1:15" x14ac:dyDescent="0.3">
      <c r="A186" t="s">
        <v>2278</v>
      </c>
      <c r="B186" t="s">
        <v>1843</v>
      </c>
      <c r="C186" t="s">
        <v>1844</v>
      </c>
      <c r="D186">
        <v>4</v>
      </c>
      <c r="E186" t="s">
        <v>1447</v>
      </c>
      <c r="F186" t="s">
        <v>1848</v>
      </c>
      <c r="G186" t="s">
        <v>1806</v>
      </c>
      <c r="H186" t="s">
        <v>2277</v>
      </c>
      <c r="I186" t="s">
        <v>2277</v>
      </c>
      <c r="J186">
        <v>6318744.2849000003</v>
      </c>
      <c r="K186" t="s">
        <v>2277</v>
      </c>
      <c r="L186" t="s">
        <v>2277</v>
      </c>
      <c r="M186" t="s">
        <v>2277</v>
      </c>
      <c r="N186" t="s">
        <v>2277</v>
      </c>
      <c r="O186" s="190" t="str">
        <f t="shared" si="2"/>
        <v>[S05_InstallationFuelConsEmissions][4][FuelAnnualEmissions]</v>
      </c>
    </row>
    <row r="187" spans="1:15" x14ac:dyDescent="0.3">
      <c r="A187" t="s">
        <v>2278</v>
      </c>
      <c r="B187" t="s">
        <v>1843</v>
      </c>
      <c r="C187" t="s">
        <v>1844</v>
      </c>
      <c r="D187">
        <v>5</v>
      </c>
      <c r="E187" t="s">
        <v>1447</v>
      </c>
      <c r="F187" t="s">
        <v>1848</v>
      </c>
      <c r="G187" t="s">
        <v>1806</v>
      </c>
      <c r="H187" t="s">
        <v>2277</v>
      </c>
      <c r="I187" t="s">
        <v>2277</v>
      </c>
      <c r="J187">
        <v>19221784.232999999</v>
      </c>
      <c r="K187" t="s">
        <v>2277</v>
      </c>
      <c r="L187" t="s">
        <v>2277</v>
      </c>
      <c r="M187" t="s">
        <v>2277</v>
      </c>
      <c r="N187" t="s">
        <v>2277</v>
      </c>
      <c r="O187" s="190" t="str">
        <f t="shared" si="2"/>
        <v>[S05_InstallationFuelConsEmissions][5][FuelAnnualEmissions]</v>
      </c>
    </row>
    <row r="188" spans="1:15" x14ac:dyDescent="0.3">
      <c r="A188" t="s">
        <v>2278</v>
      </c>
      <c r="B188" t="s">
        <v>1843</v>
      </c>
      <c r="C188" t="s">
        <v>1844</v>
      </c>
      <c r="D188">
        <v>6</v>
      </c>
      <c r="E188" t="s">
        <v>1447</v>
      </c>
      <c r="F188" t="s">
        <v>1848</v>
      </c>
      <c r="G188" t="s">
        <v>1806</v>
      </c>
      <c r="H188" t="s">
        <v>2277</v>
      </c>
      <c r="I188" t="s">
        <v>2277</v>
      </c>
      <c r="J188">
        <v>2998184.5</v>
      </c>
      <c r="K188" t="s">
        <v>2277</v>
      </c>
      <c r="L188" t="s">
        <v>2277</v>
      </c>
      <c r="M188" t="s">
        <v>2277</v>
      </c>
      <c r="N188" t="s">
        <v>2277</v>
      </c>
      <c r="O188" s="190" t="str">
        <f t="shared" si="2"/>
        <v>[S05_InstallationFuelConsEmissions][6][FuelAnnualEmissions]</v>
      </c>
    </row>
    <row r="189" spans="1:15" x14ac:dyDescent="0.3">
      <c r="A189" t="s">
        <v>2278</v>
      </c>
      <c r="B189" t="s">
        <v>1843</v>
      </c>
      <c r="C189" t="s">
        <v>1844</v>
      </c>
      <c r="D189">
        <v>7</v>
      </c>
      <c r="E189" t="s">
        <v>1447</v>
      </c>
      <c r="F189" t="s">
        <v>1848</v>
      </c>
      <c r="G189" t="s">
        <v>1806</v>
      </c>
      <c r="H189" t="s">
        <v>2277</v>
      </c>
      <c r="I189" t="s">
        <v>2277</v>
      </c>
      <c r="J189">
        <v>3239508.87</v>
      </c>
      <c r="K189" t="s">
        <v>2277</v>
      </c>
      <c r="L189" t="s">
        <v>2277</v>
      </c>
      <c r="M189" t="s">
        <v>2277</v>
      </c>
      <c r="N189" t="s">
        <v>2277</v>
      </c>
      <c r="O189" s="190" t="str">
        <f t="shared" si="2"/>
        <v>[S05_InstallationFuelConsEmissions][7][FuelAnnualEmissions]</v>
      </c>
    </row>
    <row r="190" spans="1:15" x14ac:dyDescent="0.3">
      <c r="A190" t="s">
        <v>2278</v>
      </c>
      <c r="B190" t="s">
        <v>1843</v>
      </c>
      <c r="C190" t="s">
        <v>1844</v>
      </c>
      <c r="D190">
        <v>8</v>
      </c>
      <c r="E190" t="s">
        <v>1447</v>
      </c>
      <c r="F190" t="s">
        <v>1848</v>
      </c>
      <c r="G190" t="s">
        <v>1806</v>
      </c>
      <c r="H190" t="s">
        <v>2277</v>
      </c>
      <c r="I190" t="s">
        <v>2277</v>
      </c>
      <c r="J190">
        <v>3236131.5194999999</v>
      </c>
      <c r="K190" t="s">
        <v>2277</v>
      </c>
      <c r="L190" t="s">
        <v>2277</v>
      </c>
      <c r="M190" t="s">
        <v>2277</v>
      </c>
      <c r="N190" t="s">
        <v>2277</v>
      </c>
      <c r="O190" s="190" t="str">
        <f t="shared" si="2"/>
        <v>[S05_InstallationFuelConsEmissions][8][FuelAnnualEmissions]</v>
      </c>
    </row>
    <row r="191" spans="1:15" x14ac:dyDescent="0.3">
      <c r="A191" t="s">
        <v>2278</v>
      </c>
      <c r="B191" t="s">
        <v>1843</v>
      </c>
      <c r="C191" t="s">
        <v>1844</v>
      </c>
      <c r="D191">
        <v>9</v>
      </c>
      <c r="E191" t="s">
        <v>1447</v>
      </c>
      <c r="F191" t="s">
        <v>1848</v>
      </c>
      <c r="G191" t="s">
        <v>1806</v>
      </c>
      <c r="H191" t="s">
        <v>2277</v>
      </c>
      <c r="I191" t="s">
        <v>2277</v>
      </c>
      <c r="J191">
        <v>3231371.9290999998</v>
      </c>
      <c r="K191" t="s">
        <v>2277</v>
      </c>
      <c r="L191" t="s">
        <v>2277</v>
      </c>
      <c r="M191" t="s">
        <v>2277</v>
      </c>
      <c r="N191" t="s">
        <v>2277</v>
      </c>
      <c r="O191" s="190" t="str">
        <f t="shared" si="2"/>
        <v>[S05_InstallationFuelConsEmissions][9][FuelAnnualEmissions]</v>
      </c>
    </row>
    <row r="192" spans="1:15" x14ac:dyDescent="0.3">
      <c r="A192" t="s">
        <v>2278</v>
      </c>
      <c r="B192" t="s">
        <v>1843</v>
      </c>
      <c r="C192" t="s">
        <v>1844</v>
      </c>
      <c r="D192">
        <v>10</v>
      </c>
      <c r="E192" t="s">
        <v>1447</v>
      </c>
      <c r="F192" t="s">
        <v>1848</v>
      </c>
      <c r="G192" t="s">
        <v>1806</v>
      </c>
      <c r="H192" t="s">
        <v>2277</v>
      </c>
      <c r="I192" t="s">
        <v>2277</v>
      </c>
      <c r="J192">
        <v>58423.0887</v>
      </c>
      <c r="K192" t="s">
        <v>2277</v>
      </c>
      <c r="L192" t="s">
        <v>2277</v>
      </c>
      <c r="M192" t="s">
        <v>2277</v>
      </c>
      <c r="N192" t="s">
        <v>2277</v>
      </c>
      <c r="O192" s="190" t="str">
        <f t="shared" si="2"/>
        <v>[S05_InstallationFuelConsEmissions][10][FuelAnnualEmissions]</v>
      </c>
    </row>
    <row r="193" spans="1:15" x14ac:dyDescent="0.3">
      <c r="A193" t="s">
        <v>2278</v>
      </c>
      <c r="B193" t="s">
        <v>1843</v>
      </c>
      <c r="C193" t="s">
        <v>1844</v>
      </c>
      <c r="D193">
        <v>11</v>
      </c>
      <c r="E193" t="s">
        <v>1447</v>
      </c>
      <c r="F193" t="s">
        <v>1848</v>
      </c>
      <c r="G193" t="s">
        <v>1806</v>
      </c>
      <c r="H193" t="s">
        <v>2277</v>
      </c>
      <c r="I193" t="s">
        <v>2277</v>
      </c>
      <c r="J193">
        <v>13237.5</v>
      </c>
      <c r="K193" t="s">
        <v>2277</v>
      </c>
      <c r="L193" t="s">
        <v>2277</v>
      </c>
      <c r="M193" t="s">
        <v>2277</v>
      </c>
      <c r="N193" t="s">
        <v>2277</v>
      </c>
      <c r="O193" s="190" t="str">
        <f t="shared" si="2"/>
        <v>[S05_InstallationFuelConsEmissions][11][FuelAnnualEmissions]</v>
      </c>
    </row>
    <row r="194" spans="1:15" x14ac:dyDescent="0.3">
      <c r="A194" t="s">
        <v>2278</v>
      </c>
      <c r="B194" t="s">
        <v>1843</v>
      </c>
      <c r="C194" t="s">
        <v>1844</v>
      </c>
      <c r="D194">
        <v>12</v>
      </c>
      <c r="E194" t="s">
        <v>1447</v>
      </c>
      <c r="F194" t="s">
        <v>1848</v>
      </c>
      <c r="G194" t="s">
        <v>1806</v>
      </c>
      <c r="H194" t="s">
        <v>2277</v>
      </c>
      <c r="I194" t="s">
        <v>2277</v>
      </c>
      <c r="J194">
        <v>2212659.5797000001</v>
      </c>
      <c r="K194" t="s">
        <v>2277</v>
      </c>
      <c r="L194" t="s">
        <v>2277</v>
      </c>
      <c r="M194" t="s">
        <v>2277</v>
      </c>
      <c r="N194" t="s">
        <v>2277</v>
      </c>
      <c r="O194" s="190" t="str">
        <f t="shared" ref="O194:O257" si="3">"["&amp;$C194&amp;"]["&amp;$D194&amp;"]["&amp;$F194&amp;"]"</f>
        <v>[S05_InstallationFuelConsEmissions][12][FuelAnnualEmissions]</v>
      </c>
    </row>
    <row r="195" spans="1:15" x14ac:dyDescent="0.3">
      <c r="A195" t="s">
        <v>2278</v>
      </c>
      <c r="B195" t="s">
        <v>1846</v>
      </c>
      <c r="C195" t="s">
        <v>1849</v>
      </c>
      <c r="D195">
        <v>1</v>
      </c>
      <c r="E195" t="s">
        <v>1447</v>
      </c>
      <c r="F195" t="s">
        <v>1850</v>
      </c>
      <c r="G195" t="s">
        <v>1737</v>
      </c>
      <c r="H195" t="s">
        <v>2277</v>
      </c>
      <c r="I195" t="s">
        <v>2277</v>
      </c>
      <c r="J195" t="s">
        <v>2277</v>
      </c>
      <c r="K195" t="s">
        <v>2277</v>
      </c>
      <c r="L195" t="s">
        <v>1453</v>
      </c>
      <c r="M195" t="s">
        <v>2277</v>
      </c>
      <c r="N195" t="s">
        <v>2277</v>
      </c>
      <c r="O195" s="190" t="str">
        <f t="shared" si="3"/>
        <v>[S05_AggregateTotalEmissionsByCRF][1][CRFCategory1]</v>
      </c>
    </row>
    <row r="196" spans="1:15" x14ac:dyDescent="0.3">
      <c r="A196" t="s">
        <v>2278</v>
      </c>
      <c r="B196" t="s">
        <v>1846</v>
      </c>
      <c r="C196" t="s">
        <v>1849</v>
      </c>
      <c r="D196">
        <v>2</v>
      </c>
      <c r="E196" t="s">
        <v>1447</v>
      </c>
      <c r="F196" t="s">
        <v>1850</v>
      </c>
      <c r="G196" t="s">
        <v>1737</v>
      </c>
      <c r="H196" t="s">
        <v>2277</v>
      </c>
      <c r="I196" t="s">
        <v>2277</v>
      </c>
      <c r="J196" t="s">
        <v>2277</v>
      </c>
      <c r="K196" t="s">
        <v>2277</v>
      </c>
      <c r="L196" t="s">
        <v>1481</v>
      </c>
      <c r="M196" t="s">
        <v>2277</v>
      </c>
      <c r="N196" t="s">
        <v>2277</v>
      </c>
      <c r="O196" s="190" t="str">
        <f t="shared" si="3"/>
        <v>[S05_AggregateTotalEmissionsByCRF][2][CRFCategory1]</v>
      </c>
    </row>
    <row r="197" spans="1:15" x14ac:dyDescent="0.3">
      <c r="A197" t="s">
        <v>2278</v>
      </c>
      <c r="B197" t="s">
        <v>1846</v>
      </c>
      <c r="C197" t="s">
        <v>1849</v>
      </c>
      <c r="D197">
        <v>3</v>
      </c>
      <c r="E197" t="s">
        <v>1447</v>
      </c>
      <c r="F197" t="s">
        <v>1850</v>
      </c>
      <c r="G197" t="s">
        <v>1737</v>
      </c>
      <c r="H197" t="s">
        <v>2277</v>
      </c>
      <c r="I197" t="s">
        <v>2277</v>
      </c>
      <c r="J197" t="s">
        <v>2277</v>
      </c>
      <c r="K197" t="s">
        <v>2277</v>
      </c>
      <c r="L197" t="s">
        <v>1503</v>
      </c>
      <c r="M197" t="s">
        <v>2277</v>
      </c>
      <c r="N197" t="s">
        <v>2277</v>
      </c>
      <c r="O197" s="190" t="str">
        <f t="shared" si="3"/>
        <v>[S05_AggregateTotalEmissionsByCRF][3][CRFCategory1]</v>
      </c>
    </row>
    <row r="198" spans="1:15" x14ac:dyDescent="0.3">
      <c r="A198" t="s">
        <v>2278</v>
      </c>
      <c r="B198" t="s">
        <v>1846</v>
      </c>
      <c r="C198" t="s">
        <v>1849</v>
      </c>
      <c r="D198">
        <v>4</v>
      </c>
      <c r="E198" t="s">
        <v>1447</v>
      </c>
      <c r="F198" t="s">
        <v>1850</v>
      </c>
      <c r="G198" t="s">
        <v>1737</v>
      </c>
      <c r="H198" t="s">
        <v>2277</v>
      </c>
      <c r="I198" t="s">
        <v>2277</v>
      </c>
      <c r="J198" t="s">
        <v>2277</v>
      </c>
      <c r="K198" t="s">
        <v>2277</v>
      </c>
      <c r="L198" t="s">
        <v>1531</v>
      </c>
      <c r="M198" t="s">
        <v>2277</v>
      </c>
      <c r="N198" t="s">
        <v>2277</v>
      </c>
      <c r="O198" s="190" t="str">
        <f t="shared" si="3"/>
        <v>[S05_AggregateTotalEmissionsByCRF][4][CRFCategory1]</v>
      </c>
    </row>
    <row r="199" spans="1:15" x14ac:dyDescent="0.3">
      <c r="A199" t="s">
        <v>2278</v>
      </c>
      <c r="B199" t="s">
        <v>1846</v>
      </c>
      <c r="C199" t="s">
        <v>1849</v>
      </c>
      <c r="D199">
        <v>5</v>
      </c>
      <c r="E199" t="s">
        <v>1447</v>
      </c>
      <c r="F199" t="s">
        <v>1850</v>
      </c>
      <c r="G199" t="s">
        <v>1737</v>
      </c>
      <c r="H199" t="s">
        <v>2277</v>
      </c>
      <c r="I199" t="s">
        <v>2277</v>
      </c>
      <c r="J199" t="s">
        <v>2277</v>
      </c>
      <c r="K199" t="s">
        <v>2277</v>
      </c>
      <c r="L199" t="s">
        <v>1541</v>
      </c>
      <c r="M199" t="s">
        <v>2277</v>
      </c>
      <c r="N199" t="s">
        <v>2277</v>
      </c>
      <c r="O199" s="190" t="str">
        <f t="shared" si="3"/>
        <v>[S05_AggregateTotalEmissionsByCRF][5][CRFCategory1]</v>
      </c>
    </row>
    <row r="200" spans="1:15" x14ac:dyDescent="0.3">
      <c r="A200" t="s">
        <v>2278</v>
      </c>
      <c r="B200" t="s">
        <v>1846</v>
      </c>
      <c r="C200" t="s">
        <v>1849</v>
      </c>
      <c r="D200">
        <v>6</v>
      </c>
      <c r="E200" t="s">
        <v>1447</v>
      </c>
      <c r="F200" t="s">
        <v>1850</v>
      </c>
      <c r="G200" t="s">
        <v>1737</v>
      </c>
      <c r="H200" t="s">
        <v>2277</v>
      </c>
      <c r="I200" t="s">
        <v>2277</v>
      </c>
      <c r="J200" t="s">
        <v>2277</v>
      </c>
      <c r="K200" t="s">
        <v>2277</v>
      </c>
      <c r="L200" t="s">
        <v>1550</v>
      </c>
      <c r="M200" t="s">
        <v>2277</v>
      </c>
      <c r="N200" t="s">
        <v>2277</v>
      </c>
      <c r="O200" s="190" t="str">
        <f t="shared" si="3"/>
        <v>[S05_AggregateTotalEmissionsByCRF][6][CRFCategory1]</v>
      </c>
    </row>
    <row r="201" spans="1:15" x14ac:dyDescent="0.3">
      <c r="A201" t="s">
        <v>2278</v>
      </c>
      <c r="B201" t="s">
        <v>1846</v>
      </c>
      <c r="C201" t="s">
        <v>1849</v>
      </c>
      <c r="D201">
        <v>7</v>
      </c>
      <c r="E201" t="s">
        <v>1447</v>
      </c>
      <c r="F201" t="s">
        <v>1850</v>
      </c>
      <c r="G201" t="s">
        <v>1737</v>
      </c>
      <c r="H201" t="s">
        <v>2277</v>
      </c>
      <c r="I201" t="s">
        <v>2277</v>
      </c>
      <c r="J201" t="s">
        <v>2277</v>
      </c>
      <c r="K201" t="s">
        <v>2277</v>
      </c>
      <c r="L201" t="s">
        <v>1558</v>
      </c>
      <c r="M201" t="s">
        <v>2277</v>
      </c>
      <c r="N201" t="s">
        <v>2277</v>
      </c>
      <c r="O201" s="190" t="str">
        <f t="shared" si="3"/>
        <v>[S05_AggregateTotalEmissionsByCRF][7][CRFCategory1]</v>
      </c>
    </row>
    <row r="202" spans="1:15" x14ac:dyDescent="0.3">
      <c r="A202" t="s">
        <v>2278</v>
      </c>
      <c r="B202" t="s">
        <v>1846</v>
      </c>
      <c r="C202" t="s">
        <v>1849</v>
      </c>
      <c r="D202">
        <v>8</v>
      </c>
      <c r="E202" t="s">
        <v>1447</v>
      </c>
      <c r="F202" t="s">
        <v>1850</v>
      </c>
      <c r="G202" t="s">
        <v>1737</v>
      </c>
      <c r="H202" t="s">
        <v>2277</v>
      </c>
      <c r="I202" t="s">
        <v>2277</v>
      </c>
      <c r="J202" t="s">
        <v>2277</v>
      </c>
      <c r="K202" t="s">
        <v>2277</v>
      </c>
      <c r="L202" t="s">
        <v>1563</v>
      </c>
      <c r="M202" t="s">
        <v>2277</v>
      </c>
      <c r="N202" t="s">
        <v>2277</v>
      </c>
      <c r="O202" s="190" t="str">
        <f t="shared" si="3"/>
        <v>[S05_AggregateTotalEmissionsByCRF][8][CRFCategory1]</v>
      </c>
    </row>
    <row r="203" spans="1:15" x14ac:dyDescent="0.3">
      <c r="A203" t="s">
        <v>2278</v>
      </c>
      <c r="B203" t="s">
        <v>1846</v>
      </c>
      <c r="C203" t="s">
        <v>1849</v>
      </c>
      <c r="D203">
        <v>9</v>
      </c>
      <c r="E203" t="s">
        <v>1447</v>
      </c>
      <c r="F203" t="s">
        <v>1850</v>
      </c>
      <c r="G203" t="s">
        <v>1737</v>
      </c>
      <c r="H203" t="s">
        <v>2277</v>
      </c>
      <c r="I203" t="s">
        <v>2277</v>
      </c>
      <c r="J203" t="s">
        <v>2277</v>
      </c>
      <c r="K203" t="s">
        <v>2277</v>
      </c>
      <c r="L203" t="s">
        <v>1569</v>
      </c>
      <c r="M203" t="s">
        <v>2277</v>
      </c>
      <c r="N203" t="s">
        <v>2277</v>
      </c>
      <c r="O203" s="190" t="str">
        <f t="shared" si="3"/>
        <v>[S05_AggregateTotalEmissionsByCRF][9][CRFCategory1]</v>
      </c>
    </row>
    <row r="204" spans="1:15" x14ac:dyDescent="0.3">
      <c r="A204" t="s">
        <v>2278</v>
      </c>
      <c r="B204" t="s">
        <v>1846</v>
      </c>
      <c r="C204" t="s">
        <v>1849</v>
      </c>
      <c r="D204">
        <v>10</v>
      </c>
      <c r="E204" t="s">
        <v>1447</v>
      </c>
      <c r="F204" t="s">
        <v>1850</v>
      </c>
      <c r="G204" t="s">
        <v>1737</v>
      </c>
      <c r="H204" t="s">
        <v>2277</v>
      </c>
      <c r="I204" t="s">
        <v>2277</v>
      </c>
      <c r="J204" t="s">
        <v>2277</v>
      </c>
      <c r="K204" t="s">
        <v>2277</v>
      </c>
      <c r="L204" t="s">
        <v>1574</v>
      </c>
      <c r="M204" t="s">
        <v>2277</v>
      </c>
      <c r="N204" t="s">
        <v>2277</v>
      </c>
      <c r="O204" s="190" t="str">
        <f t="shared" si="3"/>
        <v>[S05_AggregateTotalEmissionsByCRF][10][CRFCategory1]</v>
      </c>
    </row>
    <row r="205" spans="1:15" x14ac:dyDescent="0.3">
      <c r="A205" t="s">
        <v>2278</v>
      </c>
      <c r="B205" t="s">
        <v>1846</v>
      </c>
      <c r="C205" t="s">
        <v>1849</v>
      </c>
      <c r="D205">
        <v>11</v>
      </c>
      <c r="E205" t="s">
        <v>1447</v>
      </c>
      <c r="F205" t="s">
        <v>1850</v>
      </c>
      <c r="G205" t="s">
        <v>1737</v>
      </c>
      <c r="H205" t="s">
        <v>2277</v>
      </c>
      <c r="I205" t="s">
        <v>2277</v>
      </c>
      <c r="J205" t="s">
        <v>2277</v>
      </c>
      <c r="K205" t="s">
        <v>2277</v>
      </c>
      <c r="L205" t="s">
        <v>1583</v>
      </c>
      <c r="M205" t="s">
        <v>2277</v>
      </c>
      <c r="N205" t="s">
        <v>2277</v>
      </c>
      <c r="O205" s="190" t="str">
        <f t="shared" si="3"/>
        <v>[S05_AggregateTotalEmissionsByCRF][11][CRFCategory1]</v>
      </c>
    </row>
    <row r="206" spans="1:15" x14ac:dyDescent="0.3">
      <c r="A206" t="s">
        <v>2278</v>
      </c>
      <c r="B206" t="s">
        <v>1846</v>
      </c>
      <c r="C206" t="s">
        <v>1849</v>
      </c>
      <c r="D206">
        <v>12</v>
      </c>
      <c r="E206" t="s">
        <v>1447</v>
      </c>
      <c r="F206" t="s">
        <v>1850</v>
      </c>
      <c r="G206" t="s">
        <v>1737</v>
      </c>
      <c r="H206" t="s">
        <v>2277</v>
      </c>
      <c r="I206" t="s">
        <v>2277</v>
      </c>
      <c r="J206" t="s">
        <v>2277</v>
      </c>
      <c r="K206" t="s">
        <v>2277</v>
      </c>
      <c r="L206" t="s">
        <v>1603</v>
      </c>
      <c r="M206" t="s">
        <v>2277</v>
      </c>
      <c r="N206" t="s">
        <v>2277</v>
      </c>
      <c r="O206" s="190" t="str">
        <f t="shared" si="3"/>
        <v>[S05_AggregateTotalEmissionsByCRF][12][CRFCategory1]</v>
      </c>
    </row>
    <row r="207" spans="1:15" x14ac:dyDescent="0.3">
      <c r="A207" t="s">
        <v>2278</v>
      </c>
      <c r="B207" t="s">
        <v>1846</v>
      </c>
      <c r="C207" t="s">
        <v>1849</v>
      </c>
      <c r="D207">
        <v>13</v>
      </c>
      <c r="E207" t="s">
        <v>1447</v>
      </c>
      <c r="F207" t="s">
        <v>1850</v>
      </c>
      <c r="G207" t="s">
        <v>1737</v>
      </c>
      <c r="H207" t="s">
        <v>2277</v>
      </c>
      <c r="I207" t="s">
        <v>2277</v>
      </c>
      <c r="J207" t="s">
        <v>2277</v>
      </c>
      <c r="K207" t="s">
        <v>2277</v>
      </c>
      <c r="L207" t="s">
        <v>1608</v>
      </c>
      <c r="M207" t="s">
        <v>2277</v>
      </c>
      <c r="N207" t="s">
        <v>2277</v>
      </c>
      <c r="O207" s="190" t="str">
        <f t="shared" si="3"/>
        <v>[S05_AggregateTotalEmissionsByCRF][13][CRFCategory1]</v>
      </c>
    </row>
    <row r="208" spans="1:15" x14ac:dyDescent="0.3">
      <c r="A208" t="s">
        <v>2278</v>
      </c>
      <c r="B208" t="s">
        <v>1846</v>
      </c>
      <c r="C208" t="s">
        <v>1849</v>
      </c>
      <c r="D208">
        <v>14</v>
      </c>
      <c r="E208" t="s">
        <v>1447</v>
      </c>
      <c r="F208" t="s">
        <v>1850</v>
      </c>
      <c r="G208" t="s">
        <v>1737</v>
      </c>
      <c r="H208" t="s">
        <v>2277</v>
      </c>
      <c r="I208" t="s">
        <v>2277</v>
      </c>
      <c r="J208" t="s">
        <v>2277</v>
      </c>
      <c r="K208" t="s">
        <v>2277</v>
      </c>
      <c r="L208" t="s">
        <v>1632</v>
      </c>
      <c r="M208" t="s">
        <v>2277</v>
      </c>
      <c r="N208" t="s">
        <v>2277</v>
      </c>
      <c r="O208" s="190" t="str">
        <f t="shared" si="3"/>
        <v>[S05_AggregateTotalEmissionsByCRF][14][CRFCategory1]</v>
      </c>
    </row>
    <row r="209" spans="1:15" x14ac:dyDescent="0.3">
      <c r="A209" t="s">
        <v>2278</v>
      </c>
      <c r="B209" t="s">
        <v>1846</v>
      </c>
      <c r="C209" t="s">
        <v>1849</v>
      </c>
      <c r="D209">
        <v>15</v>
      </c>
      <c r="E209" t="s">
        <v>1447</v>
      </c>
      <c r="F209" t="s">
        <v>1850</v>
      </c>
      <c r="G209" t="s">
        <v>1737</v>
      </c>
      <c r="H209" t="s">
        <v>2277</v>
      </c>
      <c r="I209" t="s">
        <v>2277</v>
      </c>
      <c r="J209" t="s">
        <v>2277</v>
      </c>
      <c r="K209" t="s">
        <v>2277</v>
      </c>
      <c r="L209" t="s">
        <v>1637</v>
      </c>
      <c r="M209" t="s">
        <v>2277</v>
      </c>
      <c r="N209" t="s">
        <v>2277</v>
      </c>
      <c r="O209" s="190" t="str">
        <f t="shared" si="3"/>
        <v>[S05_AggregateTotalEmissionsByCRF][15][CRFCategory1]</v>
      </c>
    </row>
    <row r="210" spans="1:15" x14ac:dyDescent="0.3">
      <c r="A210" t="s">
        <v>2278</v>
      </c>
      <c r="B210" t="s">
        <v>1846</v>
      </c>
      <c r="C210" t="s">
        <v>1849</v>
      </c>
      <c r="D210">
        <v>16</v>
      </c>
      <c r="E210" t="s">
        <v>1447</v>
      </c>
      <c r="F210" t="s">
        <v>1851</v>
      </c>
      <c r="G210" t="s">
        <v>1737</v>
      </c>
      <c r="H210" t="s">
        <v>2277</v>
      </c>
      <c r="I210" t="s">
        <v>2277</v>
      </c>
      <c r="J210" t="s">
        <v>2277</v>
      </c>
      <c r="K210" t="s">
        <v>2277</v>
      </c>
      <c r="L210" t="s">
        <v>1426</v>
      </c>
      <c r="M210" t="s">
        <v>2277</v>
      </c>
      <c r="N210" t="s">
        <v>2277</v>
      </c>
      <c r="O210" s="190" t="str">
        <f t="shared" si="3"/>
        <v>[S05_AggregateTotalEmissionsByCRF][16][CRFCategory2]</v>
      </c>
    </row>
    <row r="211" spans="1:15" x14ac:dyDescent="0.3">
      <c r="A211" t="s">
        <v>2278</v>
      </c>
      <c r="B211" t="s">
        <v>1846</v>
      </c>
      <c r="C211" t="s">
        <v>1849</v>
      </c>
      <c r="D211">
        <v>17</v>
      </c>
      <c r="E211" t="s">
        <v>1447</v>
      </c>
      <c r="F211" t="s">
        <v>1851</v>
      </c>
      <c r="G211" t="s">
        <v>1737</v>
      </c>
      <c r="H211" t="s">
        <v>2277</v>
      </c>
      <c r="I211" t="s">
        <v>2277</v>
      </c>
      <c r="J211" t="s">
        <v>2277</v>
      </c>
      <c r="K211" t="s">
        <v>2277</v>
      </c>
      <c r="L211" t="s">
        <v>1454</v>
      </c>
      <c r="M211" t="s">
        <v>2277</v>
      </c>
      <c r="N211" t="s">
        <v>2277</v>
      </c>
      <c r="O211" s="190" t="str">
        <f t="shared" si="3"/>
        <v>[S05_AggregateTotalEmissionsByCRF][17][CRFCategory2]</v>
      </c>
    </row>
    <row r="212" spans="1:15" x14ac:dyDescent="0.3">
      <c r="A212" t="s">
        <v>2278</v>
      </c>
      <c r="B212" t="s">
        <v>1846</v>
      </c>
      <c r="C212" t="s">
        <v>1849</v>
      </c>
      <c r="D212">
        <v>18</v>
      </c>
      <c r="E212" t="s">
        <v>1447</v>
      </c>
      <c r="F212" t="s">
        <v>1851</v>
      </c>
      <c r="G212" t="s">
        <v>1737</v>
      </c>
      <c r="H212" t="s">
        <v>2277</v>
      </c>
      <c r="I212" t="s">
        <v>2277</v>
      </c>
      <c r="J212" t="s">
        <v>2277</v>
      </c>
      <c r="K212" t="s">
        <v>2277</v>
      </c>
      <c r="L212" t="s">
        <v>1482</v>
      </c>
      <c r="M212" t="s">
        <v>2277</v>
      </c>
      <c r="N212" t="s">
        <v>2277</v>
      </c>
      <c r="O212" s="190" t="str">
        <f t="shared" si="3"/>
        <v>[S05_AggregateTotalEmissionsByCRF][18][CRFCategory2]</v>
      </c>
    </row>
    <row r="213" spans="1:15" x14ac:dyDescent="0.3">
      <c r="A213" t="s">
        <v>2278</v>
      </c>
      <c r="B213" t="s">
        <v>1846</v>
      </c>
      <c r="C213" t="s">
        <v>1849</v>
      </c>
      <c r="D213">
        <v>19</v>
      </c>
      <c r="E213" t="s">
        <v>1447</v>
      </c>
      <c r="F213" t="s">
        <v>1851</v>
      </c>
      <c r="G213" t="s">
        <v>1737</v>
      </c>
      <c r="H213" t="s">
        <v>2277</v>
      </c>
      <c r="I213" t="s">
        <v>2277</v>
      </c>
      <c r="J213" t="s">
        <v>2277</v>
      </c>
      <c r="K213" t="s">
        <v>2277</v>
      </c>
      <c r="L213" t="s">
        <v>1504</v>
      </c>
      <c r="M213" t="s">
        <v>2277</v>
      </c>
      <c r="N213" t="s">
        <v>2277</v>
      </c>
      <c r="O213" s="190" t="str">
        <f t="shared" si="3"/>
        <v>[S05_AggregateTotalEmissionsByCRF][19][CRFCategory2]</v>
      </c>
    </row>
    <row r="214" spans="1:15" x14ac:dyDescent="0.3">
      <c r="A214" t="s">
        <v>2278</v>
      </c>
      <c r="B214" t="s">
        <v>1846</v>
      </c>
      <c r="C214" t="s">
        <v>1849</v>
      </c>
      <c r="D214">
        <v>20</v>
      </c>
      <c r="E214" t="s">
        <v>1447</v>
      </c>
      <c r="F214" t="s">
        <v>1851</v>
      </c>
      <c r="G214" t="s">
        <v>1737</v>
      </c>
      <c r="H214" t="s">
        <v>2277</v>
      </c>
      <c r="I214" t="s">
        <v>2277</v>
      </c>
      <c r="J214" t="s">
        <v>2277</v>
      </c>
      <c r="K214" t="s">
        <v>2277</v>
      </c>
      <c r="L214" t="s">
        <v>1532</v>
      </c>
      <c r="M214" t="s">
        <v>2277</v>
      </c>
      <c r="N214" t="s">
        <v>2277</v>
      </c>
      <c r="O214" s="190" t="str">
        <f t="shared" si="3"/>
        <v>[S05_AggregateTotalEmissionsByCRF][20][CRFCategory2]</v>
      </c>
    </row>
    <row r="215" spans="1:15" x14ac:dyDescent="0.3">
      <c r="A215" t="s">
        <v>2278</v>
      </c>
      <c r="B215" t="s">
        <v>1846</v>
      </c>
      <c r="C215" t="s">
        <v>1849</v>
      </c>
      <c r="D215">
        <v>21</v>
      </c>
      <c r="E215" t="s">
        <v>1447</v>
      </c>
      <c r="F215" t="s">
        <v>1851</v>
      </c>
      <c r="G215" t="s">
        <v>1737</v>
      </c>
      <c r="H215" t="s">
        <v>2277</v>
      </c>
      <c r="I215" t="s">
        <v>2277</v>
      </c>
      <c r="J215" t="s">
        <v>2277</v>
      </c>
      <c r="K215" t="s">
        <v>2277</v>
      </c>
      <c r="L215" t="s">
        <v>1570</v>
      </c>
      <c r="M215" t="s">
        <v>2277</v>
      </c>
      <c r="N215" t="s">
        <v>2277</v>
      </c>
      <c r="O215" s="190" t="str">
        <f t="shared" si="3"/>
        <v>[S05_AggregateTotalEmissionsByCRF][21][CRFCategory2]</v>
      </c>
    </row>
    <row r="216" spans="1:15" x14ac:dyDescent="0.3">
      <c r="A216" t="s">
        <v>2278</v>
      </c>
      <c r="B216" t="s">
        <v>1846</v>
      </c>
      <c r="C216" t="s">
        <v>1849</v>
      </c>
      <c r="D216">
        <v>22</v>
      </c>
      <c r="E216" t="s">
        <v>1447</v>
      </c>
      <c r="F216" t="s">
        <v>1851</v>
      </c>
      <c r="G216" t="s">
        <v>1737</v>
      </c>
      <c r="H216" t="s">
        <v>2277</v>
      </c>
      <c r="I216" t="s">
        <v>2277</v>
      </c>
      <c r="J216" t="s">
        <v>2277</v>
      </c>
      <c r="K216" t="s">
        <v>2277</v>
      </c>
      <c r="L216" t="s">
        <v>1575</v>
      </c>
      <c r="M216" t="s">
        <v>2277</v>
      </c>
      <c r="N216" t="s">
        <v>2277</v>
      </c>
      <c r="O216" s="190" t="str">
        <f t="shared" si="3"/>
        <v>[S05_AggregateTotalEmissionsByCRF][22][CRFCategory2]</v>
      </c>
    </row>
    <row r="217" spans="1:15" x14ac:dyDescent="0.3">
      <c r="A217" t="s">
        <v>2278</v>
      </c>
      <c r="B217" t="s">
        <v>1846</v>
      </c>
      <c r="C217" t="s">
        <v>1849</v>
      </c>
      <c r="D217">
        <v>23</v>
      </c>
      <c r="E217" t="s">
        <v>1447</v>
      </c>
      <c r="F217" t="s">
        <v>1851</v>
      </c>
      <c r="G217" t="s">
        <v>1737</v>
      </c>
      <c r="H217" t="s">
        <v>2277</v>
      </c>
      <c r="I217" t="s">
        <v>2277</v>
      </c>
      <c r="J217" t="s">
        <v>2277</v>
      </c>
      <c r="K217" t="s">
        <v>2277</v>
      </c>
      <c r="L217" t="s">
        <v>1584</v>
      </c>
      <c r="M217" t="s">
        <v>2277</v>
      </c>
      <c r="N217" t="s">
        <v>2277</v>
      </c>
      <c r="O217" s="190" t="str">
        <f t="shared" si="3"/>
        <v>[S05_AggregateTotalEmissionsByCRF][23][CRFCategory2]</v>
      </c>
    </row>
    <row r="218" spans="1:15" x14ac:dyDescent="0.3">
      <c r="A218" t="s">
        <v>2278</v>
      </c>
      <c r="B218" t="s">
        <v>1846</v>
      </c>
      <c r="C218" t="s">
        <v>1849</v>
      </c>
      <c r="D218">
        <v>24</v>
      </c>
      <c r="E218" t="s">
        <v>1447</v>
      </c>
      <c r="F218" t="s">
        <v>1851</v>
      </c>
      <c r="G218" t="s">
        <v>1737</v>
      </c>
      <c r="H218" t="s">
        <v>2277</v>
      </c>
      <c r="I218" t="s">
        <v>2277</v>
      </c>
      <c r="J218" t="s">
        <v>2277</v>
      </c>
      <c r="K218" t="s">
        <v>2277</v>
      </c>
      <c r="L218" t="s">
        <v>1589</v>
      </c>
      <c r="M218" t="s">
        <v>2277</v>
      </c>
      <c r="N218" t="s">
        <v>2277</v>
      </c>
      <c r="O218" s="190" t="str">
        <f t="shared" si="3"/>
        <v>[S05_AggregateTotalEmissionsByCRF][24][CRFCategory2]</v>
      </c>
    </row>
    <row r="219" spans="1:15" x14ac:dyDescent="0.3">
      <c r="A219" t="s">
        <v>2278</v>
      </c>
      <c r="B219" t="s">
        <v>1846</v>
      </c>
      <c r="C219" t="s">
        <v>1849</v>
      </c>
      <c r="D219">
        <v>25</v>
      </c>
      <c r="E219" t="s">
        <v>1447</v>
      </c>
      <c r="F219" t="s">
        <v>1851</v>
      </c>
      <c r="G219" t="s">
        <v>1737</v>
      </c>
      <c r="H219" t="s">
        <v>2277</v>
      </c>
      <c r="I219" t="s">
        <v>2277</v>
      </c>
      <c r="J219" t="s">
        <v>2277</v>
      </c>
      <c r="K219" t="s">
        <v>2277</v>
      </c>
      <c r="L219" t="s">
        <v>1594</v>
      </c>
      <c r="M219" t="s">
        <v>2277</v>
      </c>
      <c r="N219" t="s">
        <v>2277</v>
      </c>
      <c r="O219" s="190" t="str">
        <f t="shared" si="3"/>
        <v>[S05_AggregateTotalEmissionsByCRF][25][CRFCategory2]</v>
      </c>
    </row>
    <row r="220" spans="1:15" x14ac:dyDescent="0.3">
      <c r="A220" t="s">
        <v>2278</v>
      </c>
      <c r="B220" t="s">
        <v>1846</v>
      </c>
      <c r="C220" t="s">
        <v>1849</v>
      </c>
      <c r="D220">
        <v>26</v>
      </c>
      <c r="E220" t="s">
        <v>1447</v>
      </c>
      <c r="F220" t="s">
        <v>1851</v>
      </c>
      <c r="G220" t="s">
        <v>1737</v>
      </c>
      <c r="H220" t="s">
        <v>2277</v>
      </c>
      <c r="I220" t="s">
        <v>2277</v>
      </c>
      <c r="J220" t="s">
        <v>2277</v>
      </c>
      <c r="K220" t="s">
        <v>2277</v>
      </c>
      <c r="L220" t="s">
        <v>1614</v>
      </c>
      <c r="M220" t="s">
        <v>2277</v>
      </c>
      <c r="N220" t="s">
        <v>2277</v>
      </c>
      <c r="O220" s="190" t="str">
        <f t="shared" si="3"/>
        <v>[S05_AggregateTotalEmissionsByCRF][26][CRFCategory2]</v>
      </c>
    </row>
    <row r="221" spans="1:15" x14ac:dyDescent="0.3">
      <c r="A221" t="s">
        <v>2278</v>
      </c>
      <c r="B221" t="s">
        <v>1846</v>
      </c>
      <c r="C221" t="s">
        <v>1849</v>
      </c>
      <c r="D221">
        <v>27</v>
      </c>
      <c r="E221" t="s">
        <v>1447</v>
      </c>
      <c r="F221" t="s">
        <v>1851</v>
      </c>
      <c r="G221" t="s">
        <v>1737</v>
      </c>
      <c r="H221" t="s">
        <v>2277</v>
      </c>
      <c r="I221" t="s">
        <v>2277</v>
      </c>
      <c r="J221" t="s">
        <v>2277</v>
      </c>
      <c r="K221" t="s">
        <v>2277</v>
      </c>
      <c r="L221" t="s">
        <v>1619</v>
      </c>
      <c r="M221" t="s">
        <v>2277</v>
      </c>
      <c r="N221" t="s">
        <v>2277</v>
      </c>
      <c r="O221" s="190" t="str">
        <f t="shared" si="3"/>
        <v>[S05_AggregateTotalEmissionsByCRF][27][CRFCategory2]</v>
      </c>
    </row>
    <row r="222" spans="1:15" x14ac:dyDescent="0.3">
      <c r="A222" t="s">
        <v>2278</v>
      </c>
      <c r="B222" t="s">
        <v>1846</v>
      </c>
      <c r="C222" t="s">
        <v>1849</v>
      </c>
      <c r="D222">
        <v>28</v>
      </c>
      <c r="E222" t="s">
        <v>1447</v>
      </c>
      <c r="F222" t="s">
        <v>1851</v>
      </c>
      <c r="G222" t="s">
        <v>1737</v>
      </c>
      <c r="H222" t="s">
        <v>2277</v>
      </c>
      <c r="I222" t="s">
        <v>2277</v>
      </c>
      <c r="J222" t="s">
        <v>2277</v>
      </c>
      <c r="K222" t="s">
        <v>2277</v>
      </c>
      <c r="L222" t="s">
        <v>1674</v>
      </c>
      <c r="M222" t="s">
        <v>2277</v>
      </c>
      <c r="N222" t="s">
        <v>2277</v>
      </c>
      <c r="O222" s="190" t="str">
        <f t="shared" si="3"/>
        <v>[S05_AggregateTotalEmissionsByCRF][28][CRFCategory2]</v>
      </c>
    </row>
    <row r="223" spans="1:15" x14ac:dyDescent="0.3">
      <c r="A223" t="s">
        <v>2278</v>
      </c>
      <c r="B223" t="s">
        <v>1846</v>
      </c>
      <c r="C223" t="s">
        <v>1849</v>
      </c>
      <c r="D223">
        <v>29</v>
      </c>
      <c r="E223" t="s">
        <v>1447</v>
      </c>
      <c r="F223" t="s">
        <v>1851</v>
      </c>
      <c r="G223" t="s">
        <v>1737</v>
      </c>
      <c r="H223" t="s">
        <v>2277</v>
      </c>
      <c r="I223" t="s">
        <v>2277</v>
      </c>
      <c r="J223" t="s">
        <v>2277</v>
      </c>
      <c r="K223" t="s">
        <v>2277</v>
      </c>
      <c r="L223" t="s">
        <v>1676</v>
      </c>
      <c r="M223" t="s">
        <v>2277</v>
      </c>
      <c r="N223" t="s">
        <v>2277</v>
      </c>
      <c r="O223" s="190" t="str">
        <f t="shared" si="3"/>
        <v>[S05_AggregateTotalEmissionsByCRF][29][CRFCategory2]</v>
      </c>
    </row>
    <row r="224" spans="1:15" x14ac:dyDescent="0.3">
      <c r="A224" t="s">
        <v>2278</v>
      </c>
      <c r="B224" t="s">
        <v>1846</v>
      </c>
      <c r="C224" t="s">
        <v>1849</v>
      </c>
      <c r="D224">
        <v>1</v>
      </c>
      <c r="E224" t="s">
        <v>1447</v>
      </c>
      <c r="F224" t="s">
        <v>1852</v>
      </c>
      <c r="G224" t="s">
        <v>1806</v>
      </c>
      <c r="H224" t="s">
        <v>2277</v>
      </c>
      <c r="I224" t="s">
        <v>2277</v>
      </c>
      <c r="J224">
        <v>150065022.63</v>
      </c>
      <c r="K224" t="s">
        <v>2277</v>
      </c>
      <c r="L224" t="s">
        <v>2277</v>
      </c>
      <c r="M224" t="s">
        <v>2277</v>
      </c>
      <c r="N224" t="s">
        <v>2277</v>
      </c>
      <c r="O224" s="190" t="str">
        <f t="shared" si="3"/>
        <v>[S05_AggregateTotalEmissionsByCRF][1][TotalEmissionsTCo2e]</v>
      </c>
    </row>
    <row r="225" spans="1:15" x14ac:dyDescent="0.3">
      <c r="A225" t="s">
        <v>2278</v>
      </c>
      <c r="B225" t="s">
        <v>1846</v>
      </c>
      <c r="C225" t="s">
        <v>1849</v>
      </c>
      <c r="D225">
        <v>2</v>
      </c>
      <c r="E225" t="s">
        <v>1447</v>
      </c>
      <c r="F225" t="s">
        <v>1852</v>
      </c>
      <c r="G225" t="s">
        <v>1806</v>
      </c>
      <c r="H225" t="s">
        <v>2277</v>
      </c>
      <c r="I225" t="s">
        <v>2277</v>
      </c>
      <c r="J225">
        <v>2732390.15</v>
      </c>
      <c r="K225" t="s">
        <v>2277</v>
      </c>
      <c r="L225" t="s">
        <v>2277</v>
      </c>
      <c r="M225" t="s">
        <v>2277</v>
      </c>
      <c r="N225" t="s">
        <v>2277</v>
      </c>
      <c r="O225" s="190" t="str">
        <f t="shared" si="3"/>
        <v>[S05_AggregateTotalEmissionsByCRF][2][TotalEmissionsTCo2e]</v>
      </c>
    </row>
    <row r="226" spans="1:15" x14ac:dyDescent="0.3">
      <c r="A226" t="s">
        <v>2278</v>
      </c>
      <c r="B226" t="s">
        <v>1846</v>
      </c>
      <c r="C226" t="s">
        <v>1849</v>
      </c>
      <c r="D226">
        <v>3</v>
      </c>
      <c r="E226" t="s">
        <v>1447</v>
      </c>
      <c r="F226" t="s">
        <v>1852</v>
      </c>
      <c r="G226" t="s">
        <v>1806</v>
      </c>
      <c r="H226" t="s">
        <v>2277</v>
      </c>
      <c r="I226" t="s">
        <v>2277</v>
      </c>
      <c r="J226">
        <v>1682957</v>
      </c>
      <c r="K226" t="s">
        <v>2277</v>
      </c>
      <c r="L226" t="s">
        <v>2277</v>
      </c>
      <c r="M226" t="s">
        <v>2277</v>
      </c>
      <c r="N226" t="s">
        <v>2277</v>
      </c>
      <c r="O226" s="190" t="str">
        <f t="shared" si="3"/>
        <v>[S05_AggregateTotalEmissionsByCRF][3][TotalEmissionsTCo2e]</v>
      </c>
    </row>
    <row r="227" spans="1:15" x14ac:dyDescent="0.3">
      <c r="A227" t="s">
        <v>2278</v>
      </c>
      <c r="B227" t="s">
        <v>1846</v>
      </c>
      <c r="C227" t="s">
        <v>1849</v>
      </c>
      <c r="D227">
        <v>4</v>
      </c>
      <c r="E227" t="s">
        <v>1447</v>
      </c>
      <c r="F227" t="s">
        <v>1852</v>
      </c>
      <c r="G227" t="s">
        <v>1806</v>
      </c>
      <c r="H227" t="s">
        <v>2277</v>
      </c>
      <c r="I227" t="s">
        <v>2277</v>
      </c>
      <c r="J227">
        <v>1487504.94</v>
      </c>
      <c r="K227" t="s">
        <v>2277</v>
      </c>
      <c r="L227" t="s">
        <v>2277</v>
      </c>
      <c r="M227" t="s">
        <v>2277</v>
      </c>
      <c r="N227" t="s">
        <v>2277</v>
      </c>
      <c r="O227" s="190" t="str">
        <f t="shared" si="3"/>
        <v>[S05_AggregateTotalEmissionsByCRF][4][TotalEmissionsTCo2e]</v>
      </c>
    </row>
    <row r="228" spans="1:15" x14ac:dyDescent="0.3">
      <c r="A228" t="s">
        <v>2278</v>
      </c>
      <c r="B228" t="s">
        <v>1846</v>
      </c>
      <c r="C228" t="s">
        <v>1849</v>
      </c>
      <c r="D228">
        <v>5</v>
      </c>
      <c r="E228" t="s">
        <v>1447</v>
      </c>
      <c r="F228" t="s">
        <v>1852</v>
      </c>
      <c r="G228" t="s">
        <v>1806</v>
      </c>
      <c r="H228" t="s">
        <v>2277</v>
      </c>
      <c r="I228" t="s">
        <v>2277</v>
      </c>
      <c r="J228">
        <v>523412.3</v>
      </c>
      <c r="K228" t="s">
        <v>2277</v>
      </c>
      <c r="L228" t="s">
        <v>2277</v>
      </c>
      <c r="M228" t="s">
        <v>2277</v>
      </c>
      <c r="N228" t="s">
        <v>2277</v>
      </c>
      <c r="O228" s="190" t="str">
        <f t="shared" si="3"/>
        <v>[S05_AggregateTotalEmissionsByCRF][5][TotalEmissionsTCo2e]</v>
      </c>
    </row>
    <row r="229" spans="1:15" x14ac:dyDescent="0.3">
      <c r="A229" t="s">
        <v>2278</v>
      </c>
      <c r="B229" t="s">
        <v>1846</v>
      </c>
      <c r="C229" t="s">
        <v>1849</v>
      </c>
      <c r="D229">
        <v>6</v>
      </c>
      <c r="E229" t="s">
        <v>1447</v>
      </c>
      <c r="F229" t="s">
        <v>1852</v>
      </c>
      <c r="G229" t="s">
        <v>1806</v>
      </c>
      <c r="H229" t="s">
        <v>2277</v>
      </c>
      <c r="I229" t="s">
        <v>2277</v>
      </c>
      <c r="J229">
        <v>3866856.38</v>
      </c>
      <c r="K229" t="s">
        <v>2277</v>
      </c>
      <c r="L229" t="s">
        <v>2277</v>
      </c>
      <c r="M229" t="s">
        <v>2277</v>
      </c>
      <c r="N229" t="s">
        <v>2277</v>
      </c>
      <c r="O229" s="190" t="str">
        <f t="shared" si="3"/>
        <v>[S05_AggregateTotalEmissionsByCRF][6][TotalEmissionsTCo2e]</v>
      </c>
    </row>
    <row r="230" spans="1:15" x14ac:dyDescent="0.3">
      <c r="A230" t="s">
        <v>2278</v>
      </c>
      <c r="B230" t="s">
        <v>1846</v>
      </c>
      <c r="C230" t="s">
        <v>1849</v>
      </c>
      <c r="D230">
        <v>7</v>
      </c>
      <c r="E230" t="s">
        <v>1447</v>
      </c>
      <c r="F230" t="s">
        <v>1852</v>
      </c>
      <c r="G230" t="s">
        <v>1806</v>
      </c>
      <c r="H230" t="s">
        <v>2277</v>
      </c>
      <c r="I230" t="s">
        <v>2277</v>
      </c>
      <c r="J230">
        <v>1619737.01</v>
      </c>
      <c r="K230" t="s">
        <v>2277</v>
      </c>
      <c r="L230" t="s">
        <v>2277</v>
      </c>
      <c r="M230" t="s">
        <v>2277</v>
      </c>
      <c r="N230" t="s">
        <v>2277</v>
      </c>
      <c r="O230" s="190" t="str">
        <f t="shared" si="3"/>
        <v>[S05_AggregateTotalEmissionsByCRF][7][TotalEmissionsTCo2e]</v>
      </c>
    </row>
    <row r="231" spans="1:15" x14ac:dyDescent="0.3">
      <c r="A231" t="s">
        <v>2278</v>
      </c>
      <c r="B231" t="s">
        <v>1846</v>
      </c>
      <c r="C231" t="s">
        <v>1849</v>
      </c>
      <c r="D231">
        <v>8</v>
      </c>
      <c r="E231" t="s">
        <v>1447</v>
      </c>
      <c r="F231" t="s">
        <v>1852</v>
      </c>
      <c r="G231" t="s">
        <v>1806</v>
      </c>
      <c r="H231" t="s">
        <v>2277</v>
      </c>
      <c r="I231" t="s">
        <v>2277</v>
      </c>
      <c r="J231">
        <v>1750385.23</v>
      </c>
      <c r="K231" t="s">
        <v>2277</v>
      </c>
      <c r="L231" t="s">
        <v>2277</v>
      </c>
      <c r="M231" t="s">
        <v>2277</v>
      </c>
      <c r="N231" t="s">
        <v>2277</v>
      </c>
      <c r="O231" s="190" t="str">
        <f t="shared" si="3"/>
        <v>[S05_AggregateTotalEmissionsByCRF][8][TotalEmissionsTCo2e]</v>
      </c>
    </row>
    <row r="232" spans="1:15" x14ac:dyDescent="0.3">
      <c r="A232" t="s">
        <v>2278</v>
      </c>
      <c r="B232" t="s">
        <v>1846</v>
      </c>
      <c r="C232" t="s">
        <v>1849</v>
      </c>
      <c r="D232">
        <v>9</v>
      </c>
      <c r="E232" t="s">
        <v>1447</v>
      </c>
      <c r="F232" t="s">
        <v>1852</v>
      </c>
      <c r="G232" t="s">
        <v>1806</v>
      </c>
      <c r="H232" t="s">
        <v>2277</v>
      </c>
      <c r="I232" t="s">
        <v>2277</v>
      </c>
      <c r="J232">
        <v>4851325.6100000003</v>
      </c>
      <c r="K232" t="s">
        <v>2277</v>
      </c>
      <c r="L232" t="s">
        <v>2277</v>
      </c>
      <c r="M232" t="s">
        <v>2277</v>
      </c>
      <c r="N232" t="s">
        <v>2277</v>
      </c>
      <c r="O232" s="190" t="str">
        <f t="shared" si="3"/>
        <v>[S05_AggregateTotalEmissionsByCRF][9][TotalEmissionsTCo2e]</v>
      </c>
    </row>
    <row r="233" spans="1:15" x14ac:dyDescent="0.3">
      <c r="A233" t="s">
        <v>2278</v>
      </c>
      <c r="B233" t="s">
        <v>1846</v>
      </c>
      <c r="C233" t="s">
        <v>1849</v>
      </c>
      <c r="D233">
        <v>10</v>
      </c>
      <c r="E233" t="s">
        <v>1447</v>
      </c>
      <c r="F233" t="s">
        <v>1852</v>
      </c>
      <c r="G233" t="s">
        <v>1806</v>
      </c>
      <c r="H233" t="s">
        <v>2277</v>
      </c>
      <c r="I233" t="s">
        <v>2277</v>
      </c>
      <c r="J233">
        <v>1583261.28</v>
      </c>
      <c r="K233" t="s">
        <v>2277</v>
      </c>
      <c r="L233" t="s">
        <v>2277</v>
      </c>
      <c r="M233" t="s">
        <v>2277</v>
      </c>
      <c r="N233" t="s">
        <v>2277</v>
      </c>
      <c r="O233" s="190" t="str">
        <f t="shared" si="3"/>
        <v>[S05_AggregateTotalEmissionsByCRF][10][TotalEmissionsTCo2e]</v>
      </c>
    </row>
    <row r="234" spans="1:15" x14ac:dyDescent="0.3">
      <c r="A234" t="s">
        <v>2278</v>
      </c>
      <c r="B234" t="s">
        <v>1846</v>
      </c>
      <c r="C234" t="s">
        <v>1849</v>
      </c>
      <c r="D234">
        <v>11</v>
      </c>
      <c r="E234" t="s">
        <v>1447</v>
      </c>
      <c r="F234" t="s">
        <v>1852</v>
      </c>
      <c r="G234" t="s">
        <v>1806</v>
      </c>
      <c r="H234" t="s">
        <v>2277</v>
      </c>
      <c r="I234" t="s">
        <v>2277</v>
      </c>
      <c r="J234">
        <v>510478</v>
      </c>
      <c r="K234" t="s">
        <v>2277</v>
      </c>
      <c r="L234" t="s">
        <v>2277</v>
      </c>
      <c r="M234" t="s">
        <v>2277</v>
      </c>
      <c r="N234" t="s">
        <v>2277</v>
      </c>
      <c r="O234" s="190" t="str">
        <f t="shared" si="3"/>
        <v>[S05_AggregateTotalEmissionsByCRF][11][TotalEmissionsTCo2e]</v>
      </c>
    </row>
    <row r="235" spans="1:15" x14ac:dyDescent="0.3">
      <c r="A235" t="s">
        <v>2278</v>
      </c>
      <c r="B235" t="s">
        <v>1846</v>
      </c>
      <c r="C235" t="s">
        <v>1849</v>
      </c>
      <c r="D235">
        <v>12</v>
      </c>
      <c r="E235" t="s">
        <v>1447</v>
      </c>
      <c r="F235" t="s">
        <v>1852</v>
      </c>
      <c r="G235" t="s">
        <v>1806</v>
      </c>
      <c r="H235" t="s">
        <v>2277</v>
      </c>
      <c r="I235" t="s">
        <v>2277</v>
      </c>
      <c r="J235">
        <v>126332.8</v>
      </c>
      <c r="K235" t="s">
        <v>2277</v>
      </c>
      <c r="L235" t="s">
        <v>2277</v>
      </c>
      <c r="M235" t="s">
        <v>2277</v>
      </c>
      <c r="N235" t="s">
        <v>2277</v>
      </c>
      <c r="O235" s="190" t="str">
        <f t="shared" si="3"/>
        <v>[S05_AggregateTotalEmissionsByCRF][12][TotalEmissionsTCo2e]</v>
      </c>
    </row>
    <row r="236" spans="1:15" x14ac:dyDescent="0.3">
      <c r="A236" t="s">
        <v>2278</v>
      </c>
      <c r="B236" t="s">
        <v>1846</v>
      </c>
      <c r="C236" t="s">
        <v>1849</v>
      </c>
      <c r="D236">
        <v>13</v>
      </c>
      <c r="E236" t="s">
        <v>1447</v>
      </c>
      <c r="F236" t="s">
        <v>1852</v>
      </c>
      <c r="G236" t="s">
        <v>1806</v>
      </c>
      <c r="H236" t="s">
        <v>2277</v>
      </c>
      <c r="I236" t="s">
        <v>2277</v>
      </c>
      <c r="J236">
        <v>18833.900000000001</v>
      </c>
      <c r="K236" t="s">
        <v>2277</v>
      </c>
      <c r="L236" t="s">
        <v>2277</v>
      </c>
      <c r="M236" t="s">
        <v>2277</v>
      </c>
      <c r="N236" t="s">
        <v>2277</v>
      </c>
      <c r="O236" s="190" t="str">
        <f t="shared" si="3"/>
        <v>[S05_AggregateTotalEmissionsByCRF][13][TotalEmissionsTCo2e]</v>
      </c>
    </row>
    <row r="237" spans="1:15" x14ac:dyDescent="0.3">
      <c r="A237" t="s">
        <v>2278</v>
      </c>
      <c r="B237" t="s">
        <v>1846</v>
      </c>
      <c r="C237" t="s">
        <v>1849</v>
      </c>
      <c r="D237">
        <v>14</v>
      </c>
      <c r="E237" t="s">
        <v>1447</v>
      </c>
      <c r="F237" t="s">
        <v>1852</v>
      </c>
      <c r="G237" t="s">
        <v>1806</v>
      </c>
      <c r="H237" t="s">
        <v>2277</v>
      </c>
      <c r="I237" t="s">
        <v>2277</v>
      </c>
      <c r="J237">
        <v>1284</v>
      </c>
      <c r="K237" t="s">
        <v>2277</v>
      </c>
      <c r="L237" t="s">
        <v>2277</v>
      </c>
      <c r="M237" t="s">
        <v>2277</v>
      </c>
      <c r="N237" t="s">
        <v>2277</v>
      </c>
      <c r="O237" s="190" t="str">
        <f t="shared" si="3"/>
        <v>[S05_AggregateTotalEmissionsByCRF][14][TotalEmissionsTCo2e]</v>
      </c>
    </row>
    <row r="238" spans="1:15" x14ac:dyDescent="0.3">
      <c r="A238" t="s">
        <v>2278</v>
      </c>
      <c r="B238" t="s">
        <v>1846</v>
      </c>
      <c r="C238" t="s">
        <v>1849</v>
      </c>
      <c r="D238">
        <v>15</v>
      </c>
      <c r="E238" t="s">
        <v>1447</v>
      </c>
      <c r="F238" t="s">
        <v>1852</v>
      </c>
      <c r="G238" t="s">
        <v>1806</v>
      </c>
      <c r="H238" t="s">
        <v>2277</v>
      </c>
      <c r="I238" t="s">
        <v>2277</v>
      </c>
      <c r="J238">
        <v>115189</v>
      </c>
      <c r="K238" t="s">
        <v>2277</v>
      </c>
      <c r="L238" t="s">
        <v>2277</v>
      </c>
      <c r="M238" t="s">
        <v>2277</v>
      </c>
      <c r="N238" t="s">
        <v>2277</v>
      </c>
      <c r="O238" s="190" t="str">
        <f t="shared" si="3"/>
        <v>[S05_AggregateTotalEmissionsByCRF][15][TotalEmissionsTCo2e]</v>
      </c>
    </row>
    <row r="239" spans="1:15" x14ac:dyDescent="0.3">
      <c r="A239" t="s">
        <v>2278</v>
      </c>
      <c r="B239" t="s">
        <v>1846</v>
      </c>
      <c r="C239" t="s">
        <v>1849</v>
      </c>
      <c r="D239">
        <v>16</v>
      </c>
      <c r="E239" t="s">
        <v>1447</v>
      </c>
      <c r="F239" t="s">
        <v>1852</v>
      </c>
      <c r="G239" t="s">
        <v>1806</v>
      </c>
      <c r="H239" t="s">
        <v>2277</v>
      </c>
      <c r="I239" t="s">
        <v>2277</v>
      </c>
      <c r="J239">
        <v>7364794.9000000004</v>
      </c>
      <c r="K239" t="s">
        <v>2277</v>
      </c>
      <c r="L239" t="s">
        <v>2277</v>
      </c>
      <c r="M239" t="s">
        <v>2277</v>
      </c>
      <c r="N239" t="s">
        <v>2277</v>
      </c>
      <c r="O239" s="190" t="str">
        <f t="shared" si="3"/>
        <v>[S05_AggregateTotalEmissionsByCRF][16][TotalEmissionsTCo2e]</v>
      </c>
    </row>
    <row r="240" spans="1:15" x14ac:dyDescent="0.3">
      <c r="A240" t="s">
        <v>2278</v>
      </c>
      <c r="B240" t="s">
        <v>1846</v>
      </c>
      <c r="C240" t="s">
        <v>1849</v>
      </c>
      <c r="D240">
        <v>17</v>
      </c>
      <c r="E240" t="s">
        <v>1447</v>
      </c>
      <c r="F240" t="s">
        <v>1852</v>
      </c>
      <c r="G240" t="s">
        <v>1806</v>
      </c>
      <c r="H240" t="s">
        <v>2277</v>
      </c>
      <c r="I240" t="s">
        <v>2277</v>
      </c>
      <c r="J240">
        <v>1420979.78</v>
      </c>
      <c r="K240" t="s">
        <v>2277</v>
      </c>
      <c r="L240" t="s">
        <v>2277</v>
      </c>
      <c r="M240" t="s">
        <v>2277</v>
      </c>
      <c r="N240" t="s">
        <v>2277</v>
      </c>
      <c r="O240" s="190" t="str">
        <f t="shared" si="3"/>
        <v>[S05_AggregateTotalEmissionsByCRF][17][TotalEmissionsTCo2e]</v>
      </c>
    </row>
    <row r="241" spans="1:15" x14ac:dyDescent="0.3">
      <c r="A241" t="s">
        <v>2278</v>
      </c>
      <c r="B241" t="s">
        <v>1846</v>
      </c>
      <c r="C241" t="s">
        <v>1849</v>
      </c>
      <c r="D241">
        <v>18</v>
      </c>
      <c r="E241" t="s">
        <v>1447</v>
      </c>
      <c r="F241" t="s">
        <v>1852</v>
      </c>
      <c r="G241" t="s">
        <v>1806</v>
      </c>
      <c r="H241" t="s">
        <v>2277</v>
      </c>
      <c r="I241" t="s">
        <v>2277</v>
      </c>
      <c r="J241">
        <v>520159.57</v>
      </c>
      <c r="K241" t="s">
        <v>2277</v>
      </c>
      <c r="L241" t="s">
        <v>2277</v>
      </c>
      <c r="M241" t="s">
        <v>2277</v>
      </c>
      <c r="N241" t="s">
        <v>2277</v>
      </c>
      <c r="O241" s="190" t="str">
        <f t="shared" si="3"/>
        <v>[S05_AggregateTotalEmissionsByCRF][18][TotalEmissionsTCo2e]</v>
      </c>
    </row>
    <row r="242" spans="1:15" x14ac:dyDescent="0.3">
      <c r="A242" t="s">
        <v>2278</v>
      </c>
      <c r="B242" t="s">
        <v>1846</v>
      </c>
      <c r="C242" t="s">
        <v>1849</v>
      </c>
      <c r="D242">
        <v>19</v>
      </c>
      <c r="E242" t="s">
        <v>1447</v>
      </c>
      <c r="F242" t="s">
        <v>1852</v>
      </c>
      <c r="G242" t="s">
        <v>1806</v>
      </c>
      <c r="H242" t="s">
        <v>2277</v>
      </c>
      <c r="I242" t="s">
        <v>2277</v>
      </c>
      <c r="J242">
        <v>1334272.54</v>
      </c>
      <c r="K242" t="s">
        <v>2277</v>
      </c>
      <c r="L242" t="s">
        <v>2277</v>
      </c>
      <c r="M242" t="s">
        <v>2277</v>
      </c>
      <c r="N242" t="s">
        <v>2277</v>
      </c>
      <c r="O242" s="190" t="str">
        <f t="shared" si="3"/>
        <v>[S05_AggregateTotalEmissionsByCRF][19][TotalEmissionsTCo2e]</v>
      </c>
    </row>
    <row r="243" spans="1:15" x14ac:dyDescent="0.3">
      <c r="A243" t="s">
        <v>2278</v>
      </c>
      <c r="B243" t="s">
        <v>1846</v>
      </c>
      <c r="C243" t="s">
        <v>1849</v>
      </c>
      <c r="D243">
        <v>20</v>
      </c>
      <c r="E243" t="s">
        <v>1447</v>
      </c>
      <c r="F243" t="s">
        <v>1852</v>
      </c>
      <c r="G243" t="s">
        <v>1806</v>
      </c>
      <c r="H243" t="s">
        <v>2277</v>
      </c>
      <c r="I243" t="s">
        <v>2277</v>
      </c>
      <c r="J243">
        <v>116589.2</v>
      </c>
      <c r="K243" t="s">
        <v>2277</v>
      </c>
      <c r="L243" t="s">
        <v>2277</v>
      </c>
      <c r="M243" t="s">
        <v>2277</v>
      </c>
      <c r="N243" t="s">
        <v>2277</v>
      </c>
      <c r="O243" s="190" t="str">
        <f t="shared" si="3"/>
        <v>[S05_AggregateTotalEmissionsByCRF][20][TotalEmissionsTCo2e]</v>
      </c>
    </row>
    <row r="244" spans="1:15" x14ac:dyDescent="0.3">
      <c r="A244" t="s">
        <v>2278</v>
      </c>
      <c r="B244" t="s">
        <v>1846</v>
      </c>
      <c r="C244" t="s">
        <v>1849</v>
      </c>
      <c r="D244">
        <v>21</v>
      </c>
      <c r="E244" t="s">
        <v>1447</v>
      </c>
      <c r="F244" t="s">
        <v>1852</v>
      </c>
      <c r="G244" t="s">
        <v>1806</v>
      </c>
      <c r="H244" t="s">
        <v>2277</v>
      </c>
      <c r="I244" t="s">
        <v>2277</v>
      </c>
      <c r="J244">
        <v>420000.62</v>
      </c>
      <c r="K244" t="s">
        <v>2277</v>
      </c>
      <c r="L244" t="s">
        <v>2277</v>
      </c>
      <c r="M244" t="s">
        <v>2277</v>
      </c>
      <c r="N244" t="s">
        <v>2277</v>
      </c>
      <c r="O244" s="190" t="str">
        <f t="shared" si="3"/>
        <v>[S05_AggregateTotalEmissionsByCRF][21][TotalEmissionsTCo2e]</v>
      </c>
    </row>
    <row r="245" spans="1:15" x14ac:dyDescent="0.3">
      <c r="A245" t="s">
        <v>2278</v>
      </c>
      <c r="B245" t="s">
        <v>1846</v>
      </c>
      <c r="C245" t="s">
        <v>1849</v>
      </c>
      <c r="D245">
        <v>22</v>
      </c>
      <c r="E245" t="s">
        <v>1447</v>
      </c>
      <c r="F245" t="s">
        <v>1852</v>
      </c>
      <c r="G245" t="s">
        <v>1806</v>
      </c>
      <c r="H245" t="s">
        <v>2277</v>
      </c>
      <c r="I245" t="s">
        <v>2277</v>
      </c>
      <c r="J245">
        <v>100334.9</v>
      </c>
      <c r="K245" t="s">
        <v>2277</v>
      </c>
      <c r="L245" t="s">
        <v>2277</v>
      </c>
      <c r="M245" t="s">
        <v>2277</v>
      </c>
      <c r="N245" t="s">
        <v>2277</v>
      </c>
      <c r="O245" s="190" t="str">
        <f t="shared" si="3"/>
        <v>[S05_AggregateTotalEmissionsByCRF][22][TotalEmissionsTCo2e]</v>
      </c>
    </row>
    <row r="246" spans="1:15" x14ac:dyDescent="0.3">
      <c r="A246" t="s">
        <v>2278</v>
      </c>
      <c r="B246" t="s">
        <v>1846</v>
      </c>
      <c r="C246" t="s">
        <v>1849</v>
      </c>
      <c r="D246">
        <v>23</v>
      </c>
      <c r="E246" t="s">
        <v>1447</v>
      </c>
      <c r="F246" t="s">
        <v>1852</v>
      </c>
      <c r="G246" t="s">
        <v>1806</v>
      </c>
      <c r="H246" t="s">
        <v>2277</v>
      </c>
      <c r="I246" t="s">
        <v>2277</v>
      </c>
      <c r="J246">
        <v>1239422.3700000001</v>
      </c>
      <c r="K246" t="s">
        <v>2277</v>
      </c>
      <c r="L246" t="s">
        <v>2277</v>
      </c>
      <c r="M246" t="s">
        <v>2277</v>
      </c>
      <c r="N246" t="s">
        <v>2277</v>
      </c>
      <c r="O246" s="190" t="str">
        <f t="shared" si="3"/>
        <v>[S05_AggregateTotalEmissionsByCRF][23][TotalEmissionsTCo2e]</v>
      </c>
    </row>
    <row r="247" spans="1:15" x14ac:dyDescent="0.3">
      <c r="A247" t="s">
        <v>2278</v>
      </c>
      <c r="B247" t="s">
        <v>1846</v>
      </c>
      <c r="C247" t="s">
        <v>1849</v>
      </c>
      <c r="D247">
        <v>24</v>
      </c>
      <c r="E247" t="s">
        <v>1447</v>
      </c>
      <c r="F247" t="s">
        <v>1852</v>
      </c>
      <c r="G247" t="s">
        <v>1806</v>
      </c>
      <c r="H247" t="s">
        <v>2277</v>
      </c>
      <c r="I247" t="s">
        <v>2277</v>
      </c>
      <c r="J247">
        <v>6804483.3799999999</v>
      </c>
      <c r="K247" t="s">
        <v>2277</v>
      </c>
      <c r="L247" t="s">
        <v>2277</v>
      </c>
      <c r="M247" t="s">
        <v>2277</v>
      </c>
      <c r="N247" t="s">
        <v>2277</v>
      </c>
      <c r="O247" s="190" t="str">
        <f t="shared" si="3"/>
        <v>[S05_AggregateTotalEmissionsByCRF][24][TotalEmissionsTCo2e]</v>
      </c>
    </row>
    <row r="248" spans="1:15" x14ac:dyDescent="0.3">
      <c r="A248" t="s">
        <v>2278</v>
      </c>
      <c r="B248" t="s">
        <v>1846</v>
      </c>
      <c r="C248" t="s">
        <v>1849</v>
      </c>
      <c r="D248">
        <v>25</v>
      </c>
      <c r="E248" t="s">
        <v>1447</v>
      </c>
      <c r="F248" t="s">
        <v>1852</v>
      </c>
      <c r="G248" t="s">
        <v>1806</v>
      </c>
      <c r="H248" t="s">
        <v>2277</v>
      </c>
      <c r="I248" t="s">
        <v>2277</v>
      </c>
      <c r="J248">
        <v>250140.1</v>
      </c>
      <c r="K248" t="s">
        <v>2277</v>
      </c>
      <c r="L248" t="s">
        <v>2277</v>
      </c>
      <c r="M248" t="s">
        <v>2277</v>
      </c>
      <c r="N248" t="s">
        <v>2277</v>
      </c>
      <c r="O248" s="190" t="str">
        <f t="shared" si="3"/>
        <v>[S05_AggregateTotalEmissionsByCRF][25][TotalEmissionsTCo2e]</v>
      </c>
    </row>
    <row r="249" spans="1:15" x14ac:dyDescent="0.3">
      <c r="A249" t="s">
        <v>2278</v>
      </c>
      <c r="B249" t="s">
        <v>1846</v>
      </c>
      <c r="C249" t="s">
        <v>1849</v>
      </c>
      <c r="D249">
        <v>26</v>
      </c>
      <c r="E249" t="s">
        <v>1447</v>
      </c>
      <c r="F249" t="s">
        <v>1852</v>
      </c>
      <c r="G249" t="s">
        <v>1806</v>
      </c>
      <c r="H249" t="s">
        <v>2277</v>
      </c>
      <c r="I249" t="s">
        <v>2277</v>
      </c>
      <c r="J249">
        <v>342904.8</v>
      </c>
      <c r="K249" t="s">
        <v>2277</v>
      </c>
      <c r="L249" t="s">
        <v>2277</v>
      </c>
      <c r="M249" t="s">
        <v>2277</v>
      </c>
      <c r="N249" t="s">
        <v>2277</v>
      </c>
      <c r="O249" s="190" t="str">
        <f t="shared" si="3"/>
        <v>[S05_AggregateTotalEmissionsByCRF][26][TotalEmissionsTCo2e]</v>
      </c>
    </row>
    <row r="250" spans="1:15" x14ac:dyDescent="0.3">
      <c r="A250" t="s">
        <v>2278</v>
      </c>
      <c r="B250" t="s">
        <v>1846</v>
      </c>
      <c r="C250" t="s">
        <v>1849</v>
      </c>
      <c r="D250">
        <v>27</v>
      </c>
      <c r="E250" t="s">
        <v>1447</v>
      </c>
      <c r="F250" t="s">
        <v>1852</v>
      </c>
      <c r="G250" t="s">
        <v>1806</v>
      </c>
      <c r="H250" t="s">
        <v>2277</v>
      </c>
      <c r="I250" t="s">
        <v>2277</v>
      </c>
      <c r="J250">
        <v>736200.7</v>
      </c>
      <c r="K250" t="s">
        <v>2277</v>
      </c>
      <c r="L250" t="s">
        <v>2277</v>
      </c>
      <c r="M250" t="s">
        <v>2277</v>
      </c>
      <c r="N250" t="s">
        <v>2277</v>
      </c>
      <c r="O250" s="190" t="str">
        <f t="shared" si="3"/>
        <v>[S05_AggregateTotalEmissionsByCRF][27][TotalEmissionsTCo2e]</v>
      </c>
    </row>
    <row r="251" spans="1:15" x14ac:dyDescent="0.3">
      <c r="A251" t="s">
        <v>2278</v>
      </c>
      <c r="B251" t="s">
        <v>1846</v>
      </c>
      <c r="C251" t="s">
        <v>1849</v>
      </c>
      <c r="D251">
        <v>28</v>
      </c>
      <c r="E251" t="s">
        <v>1447</v>
      </c>
      <c r="F251" t="s">
        <v>1852</v>
      </c>
      <c r="G251" t="s">
        <v>1806</v>
      </c>
      <c r="H251" t="s">
        <v>2277</v>
      </c>
      <c r="I251" t="s">
        <v>2277</v>
      </c>
      <c r="J251">
        <v>325</v>
      </c>
      <c r="K251" t="s">
        <v>2277</v>
      </c>
      <c r="L251" t="s">
        <v>2277</v>
      </c>
      <c r="M251" t="s">
        <v>2277</v>
      </c>
      <c r="N251" t="s">
        <v>2277</v>
      </c>
      <c r="O251" s="190" t="str">
        <f t="shared" si="3"/>
        <v>[S05_AggregateTotalEmissionsByCRF][28][TotalEmissionsTCo2e]</v>
      </c>
    </row>
    <row r="252" spans="1:15" x14ac:dyDescent="0.3">
      <c r="A252" t="s">
        <v>2278</v>
      </c>
      <c r="B252" t="s">
        <v>1846</v>
      </c>
      <c r="C252" t="s">
        <v>1849</v>
      </c>
      <c r="D252">
        <v>29</v>
      </c>
      <c r="E252" t="s">
        <v>1447</v>
      </c>
      <c r="F252" t="s">
        <v>1852</v>
      </c>
      <c r="G252" t="s">
        <v>1806</v>
      </c>
      <c r="H252" t="s">
        <v>2277</v>
      </c>
      <c r="I252" t="s">
        <v>2277</v>
      </c>
      <c r="J252">
        <v>15075.9</v>
      </c>
      <c r="K252" t="s">
        <v>2277</v>
      </c>
      <c r="L252" t="s">
        <v>2277</v>
      </c>
      <c r="M252" t="s">
        <v>2277</v>
      </c>
      <c r="N252" t="s">
        <v>2277</v>
      </c>
      <c r="O252" s="190" t="str">
        <f t="shared" si="3"/>
        <v>[S05_AggregateTotalEmissionsByCRF][29][TotalEmissionsTCo2e]</v>
      </c>
    </row>
    <row r="253" spans="1:15" x14ac:dyDescent="0.3">
      <c r="A253" t="s">
        <v>2278</v>
      </c>
      <c r="B253" t="s">
        <v>1846</v>
      </c>
      <c r="C253" t="s">
        <v>1849</v>
      </c>
      <c r="D253">
        <v>30</v>
      </c>
      <c r="E253" t="s">
        <v>1447</v>
      </c>
      <c r="F253" t="s">
        <v>1852</v>
      </c>
      <c r="G253" t="s">
        <v>1806</v>
      </c>
      <c r="H253" t="s">
        <v>2277</v>
      </c>
      <c r="I253" t="s">
        <v>2277</v>
      </c>
      <c r="J253">
        <v>3105533.27</v>
      </c>
      <c r="K253" t="s">
        <v>2277</v>
      </c>
      <c r="L253" t="s">
        <v>2277</v>
      </c>
      <c r="M253" t="s">
        <v>2277</v>
      </c>
      <c r="N253" t="s">
        <v>2277</v>
      </c>
      <c r="O253" s="190" t="str">
        <f t="shared" si="3"/>
        <v>[S05_AggregateTotalEmissionsByCRF][30][TotalEmissionsTCo2e]</v>
      </c>
    </row>
    <row r="254" spans="1:15" x14ac:dyDescent="0.3">
      <c r="A254" t="s">
        <v>2278</v>
      </c>
      <c r="B254" t="s">
        <v>1846</v>
      </c>
      <c r="C254" t="s">
        <v>1849</v>
      </c>
      <c r="D254">
        <v>1</v>
      </c>
      <c r="E254" t="s">
        <v>1447</v>
      </c>
      <c r="F254" t="s">
        <v>1853</v>
      </c>
      <c r="G254" t="s">
        <v>1806</v>
      </c>
      <c r="H254" t="s">
        <v>2277</v>
      </c>
      <c r="I254" t="s">
        <v>2277</v>
      </c>
      <c r="J254">
        <v>150065022.63</v>
      </c>
      <c r="K254" t="s">
        <v>2277</v>
      </c>
      <c r="L254" t="s">
        <v>2277</v>
      </c>
      <c r="M254" t="s">
        <v>2277</v>
      </c>
      <c r="N254" t="s">
        <v>2277</v>
      </c>
      <c r="O254" s="190" t="str">
        <f t="shared" si="3"/>
        <v>[S05_AggregateTotalEmissionsByCRF][1][TotalCombustionEmissionsTCo2e]</v>
      </c>
    </row>
    <row r="255" spans="1:15" x14ac:dyDescent="0.3">
      <c r="A255" t="s">
        <v>2278</v>
      </c>
      <c r="B255" t="s">
        <v>1846</v>
      </c>
      <c r="C255" t="s">
        <v>1849</v>
      </c>
      <c r="D255">
        <v>2</v>
      </c>
      <c r="E255" t="s">
        <v>1447</v>
      </c>
      <c r="F255" t="s">
        <v>1853</v>
      </c>
      <c r="G255" t="s">
        <v>1806</v>
      </c>
      <c r="H255" t="s">
        <v>2277</v>
      </c>
      <c r="I255" t="s">
        <v>2277</v>
      </c>
      <c r="J255">
        <v>2732390.15</v>
      </c>
      <c r="K255" t="s">
        <v>2277</v>
      </c>
      <c r="L255" t="s">
        <v>2277</v>
      </c>
      <c r="M255" t="s">
        <v>2277</v>
      </c>
      <c r="N255" t="s">
        <v>2277</v>
      </c>
      <c r="O255" s="190" t="str">
        <f t="shared" si="3"/>
        <v>[S05_AggregateTotalEmissionsByCRF][2][TotalCombustionEmissionsTCo2e]</v>
      </c>
    </row>
    <row r="256" spans="1:15" x14ac:dyDescent="0.3">
      <c r="A256" t="s">
        <v>2278</v>
      </c>
      <c r="B256" t="s">
        <v>1846</v>
      </c>
      <c r="C256" t="s">
        <v>1849</v>
      </c>
      <c r="D256">
        <v>3</v>
      </c>
      <c r="E256" t="s">
        <v>1447</v>
      </c>
      <c r="F256" t="s">
        <v>1853</v>
      </c>
      <c r="G256" t="s">
        <v>1806</v>
      </c>
      <c r="H256" t="s">
        <v>2277</v>
      </c>
      <c r="I256" t="s">
        <v>2277</v>
      </c>
      <c r="J256">
        <v>1682957</v>
      </c>
      <c r="K256" t="s">
        <v>2277</v>
      </c>
      <c r="L256" t="s">
        <v>2277</v>
      </c>
      <c r="M256" t="s">
        <v>2277</v>
      </c>
      <c r="N256" t="s">
        <v>2277</v>
      </c>
      <c r="O256" s="190" t="str">
        <f t="shared" si="3"/>
        <v>[S05_AggregateTotalEmissionsByCRF][3][TotalCombustionEmissionsTCo2e]</v>
      </c>
    </row>
    <row r="257" spans="1:15" x14ac:dyDescent="0.3">
      <c r="A257" t="s">
        <v>2278</v>
      </c>
      <c r="B257" t="s">
        <v>1846</v>
      </c>
      <c r="C257" t="s">
        <v>1849</v>
      </c>
      <c r="D257">
        <v>4</v>
      </c>
      <c r="E257" t="s">
        <v>1447</v>
      </c>
      <c r="F257" t="s">
        <v>1853</v>
      </c>
      <c r="G257" t="s">
        <v>1806</v>
      </c>
      <c r="H257" t="s">
        <v>2277</v>
      </c>
      <c r="I257" t="s">
        <v>2277</v>
      </c>
      <c r="J257">
        <v>1487504.94</v>
      </c>
      <c r="K257" t="s">
        <v>2277</v>
      </c>
      <c r="L257" t="s">
        <v>2277</v>
      </c>
      <c r="M257" t="s">
        <v>2277</v>
      </c>
      <c r="N257" t="s">
        <v>2277</v>
      </c>
      <c r="O257" s="190" t="str">
        <f t="shared" si="3"/>
        <v>[S05_AggregateTotalEmissionsByCRF][4][TotalCombustionEmissionsTCo2e]</v>
      </c>
    </row>
    <row r="258" spans="1:15" x14ac:dyDescent="0.3">
      <c r="A258" t="s">
        <v>2278</v>
      </c>
      <c r="B258" t="s">
        <v>1846</v>
      </c>
      <c r="C258" t="s">
        <v>1849</v>
      </c>
      <c r="D258">
        <v>5</v>
      </c>
      <c r="E258" t="s">
        <v>1447</v>
      </c>
      <c r="F258" t="s">
        <v>1853</v>
      </c>
      <c r="G258" t="s">
        <v>1806</v>
      </c>
      <c r="H258" t="s">
        <v>2277</v>
      </c>
      <c r="I258" t="s">
        <v>2277</v>
      </c>
      <c r="J258">
        <v>523412.3</v>
      </c>
      <c r="K258" t="s">
        <v>2277</v>
      </c>
      <c r="L258" t="s">
        <v>2277</v>
      </c>
      <c r="M258" t="s">
        <v>2277</v>
      </c>
      <c r="N258" t="s">
        <v>2277</v>
      </c>
      <c r="O258" s="190" t="str">
        <f t="shared" ref="O258:O321" si="4">"["&amp;$C258&amp;"]["&amp;$D258&amp;"]["&amp;$F258&amp;"]"</f>
        <v>[S05_AggregateTotalEmissionsByCRF][5][TotalCombustionEmissionsTCo2e]</v>
      </c>
    </row>
    <row r="259" spans="1:15" x14ac:dyDescent="0.3">
      <c r="A259" t="s">
        <v>2278</v>
      </c>
      <c r="B259" t="s">
        <v>1846</v>
      </c>
      <c r="C259" t="s">
        <v>1849</v>
      </c>
      <c r="D259">
        <v>6</v>
      </c>
      <c r="E259" t="s">
        <v>1447</v>
      </c>
      <c r="F259" t="s">
        <v>1853</v>
      </c>
      <c r="G259" t="s">
        <v>1806</v>
      </c>
      <c r="H259" t="s">
        <v>2277</v>
      </c>
      <c r="I259" t="s">
        <v>2277</v>
      </c>
      <c r="J259">
        <v>3866856.38</v>
      </c>
      <c r="K259" t="s">
        <v>2277</v>
      </c>
      <c r="L259" t="s">
        <v>2277</v>
      </c>
      <c r="M259" t="s">
        <v>2277</v>
      </c>
      <c r="N259" t="s">
        <v>2277</v>
      </c>
      <c r="O259" s="190" t="str">
        <f t="shared" si="4"/>
        <v>[S05_AggregateTotalEmissionsByCRF][6][TotalCombustionEmissionsTCo2e]</v>
      </c>
    </row>
    <row r="260" spans="1:15" x14ac:dyDescent="0.3">
      <c r="A260" t="s">
        <v>2278</v>
      </c>
      <c r="B260" t="s">
        <v>1846</v>
      </c>
      <c r="C260" t="s">
        <v>1849</v>
      </c>
      <c r="D260">
        <v>7</v>
      </c>
      <c r="E260" t="s">
        <v>1447</v>
      </c>
      <c r="F260" t="s">
        <v>1853</v>
      </c>
      <c r="G260" t="s">
        <v>1806</v>
      </c>
      <c r="H260" t="s">
        <v>2277</v>
      </c>
      <c r="I260" t="s">
        <v>2277</v>
      </c>
      <c r="J260">
        <v>1619737.01</v>
      </c>
      <c r="K260" t="s">
        <v>2277</v>
      </c>
      <c r="L260" t="s">
        <v>2277</v>
      </c>
      <c r="M260" t="s">
        <v>2277</v>
      </c>
      <c r="N260" t="s">
        <v>2277</v>
      </c>
      <c r="O260" s="190" t="str">
        <f t="shared" si="4"/>
        <v>[S05_AggregateTotalEmissionsByCRF][7][TotalCombustionEmissionsTCo2e]</v>
      </c>
    </row>
    <row r="261" spans="1:15" x14ac:dyDescent="0.3">
      <c r="A261" t="s">
        <v>2278</v>
      </c>
      <c r="B261" t="s">
        <v>1846</v>
      </c>
      <c r="C261" t="s">
        <v>1849</v>
      </c>
      <c r="D261">
        <v>8</v>
      </c>
      <c r="E261" t="s">
        <v>1447</v>
      </c>
      <c r="F261" t="s">
        <v>1853</v>
      </c>
      <c r="G261" t="s">
        <v>1806</v>
      </c>
      <c r="H261" t="s">
        <v>2277</v>
      </c>
      <c r="I261" t="s">
        <v>2277</v>
      </c>
      <c r="J261">
        <v>1750385.23</v>
      </c>
      <c r="K261" t="s">
        <v>2277</v>
      </c>
      <c r="L261" t="s">
        <v>2277</v>
      </c>
      <c r="M261" t="s">
        <v>2277</v>
      </c>
      <c r="N261" t="s">
        <v>2277</v>
      </c>
      <c r="O261" s="190" t="str">
        <f t="shared" si="4"/>
        <v>[S05_AggregateTotalEmissionsByCRF][8][TotalCombustionEmissionsTCo2e]</v>
      </c>
    </row>
    <row r="262" spans="1:15" x14ac:dyDescent="0.3">
      <c r="A262" t="s">
        <v>2278</v>
      </c>
      <c r="B262" t="s">
        <v>1846</v>
      </c>
      <c r="C262" t="s">
        <v>1849</v>
      </c>
      <c r="D262">
        <v>9</v>
      </c>
      <c r="E262" t="s">
        <v>1447</v>
      </c>
      <c r="F262" t="s">
        <v>1853</v>
      </c>
      <c r="G262" t="s">
        <v>1806</v>
      </c>
      <c r="H262" t="s">
        <v>2277</v>
      </c>
      <c r="I262" t="s">
        <v>2277</v>
      </c>
      <c r="J262">
        <v>4851325.6100000003</v>
      </c>
      <c r="K262" t="s">
        <v>2277</v>
      </c>
      <c r="L262" t="s">
        <v>2277</v>
      </c>
      <c r="M262" t="s">
        <v>2277</v>
      </c>
      <c r="N262" t="s">
        <v>2277</v>
      </c>
      <c r="O262" s="190" t="str">
        <f t="shared" si="4"/>
        <v>[S05_AggregateTotalEmissionsByCRF][9][TotalCombustionEmissionsTCo2e]</v>
      </c>
    </row>
    <row r="263" spans="1:15" x14ac:dyDescent="0.3">
      <c r="A263" t="s">
        <v>2278</v>
      </c>
      <c r="B263" t="s">
        <v>1846</v>
      </c>
      <c r="C263" t="s">
        <v>1849</v>
      </c>
      <c r="D263">
        <v>10</v>
      </c>
      <c r="E263" t="s">
        <v>1447</v>
      </c>
      <c r="F263" t="s">
        <v>1853</v>
      </c>
      <c r="G263" t="s">
        <v>1806</v>
      </c>
      <c r="H263" t="s">
        <v>2277</v>
      </c>
      <c r="I263" t="s">
        <v>2277</v>
      </c>
      <c r="J263">
        <v>1583261.28</v>
      </c>
      <c r="K263" t="s">
        <v>2277</v>
      </c>
      <c r="L263" t="s">
        <v>2277</v>
      </c>
      <c r="M263" t="s">
        <v>2277</v>
      </c>
      <c r="N263" t="s">
        <v>2277</v>
      </c>
      <c r="O263" s="190" t="str">
        <f t="shared" si="4"/>
        <v>[S05_AggregateTotalEmissionsByCRF][10][TotalCombustionEmissionsTCo2e]</v>
      </c>
    </row>
    <row r="264" spans="1:15" x14ac:dyDescent="0.3">
      <c r="A264" t="s">
        <v>2278</v>
      </c>
      <c r="B264" t="s">
        <v>1846</v>
      </c>
      <c r="C264" t="s">
        <v>1849</v>
      </c>
      <c r="D264">
        <v>11</v>
      </c>
      <c r="E264" t="s">
        <v>1447</v>
      </c>
      <c r="F264" t="s">
        <v>1853</v>
      </c>
      <c r="G264" t="s">
        <v>1806</v>
      </c>
      <c r="H264" t="s">
        <v>2277</v>
      </c>
      <c r="I264" t="s">
        <v>2277</v>
      </c>
      <c r="J264">
        <v>510478</v>
      </c>
      <c r="K264" t="s">
        <v>2277</v>
      </c>
      <c r="L264" t="s">
        <v>2277</v>
      </c>
      <c r="M264" t="s">
        <v>2277</v>
      </c>
      <c r="N264" t="s">
        <v>2277</v>
      </c>
      <c r="O264" s="190" t="str">
        <f t="shared" si="4"/>
        <v>[S05_AggregateTotalEmissionsByCRF][11][TotalCombustionEmissionsTCo2e]</v>
      </c>
    </row>
    <row r="265" spans="1:15" x14ac:dyDescent="0.3">
      <c r="A265" t="s">
        <v>2278</v>
      </c>
      <c r="B265" t="s">
        <v>1846</v>
      </c>
      <c r="C265" t="s">
        <v>1849</v>
      </c>
      <c r="D265">
        <v>12</v>
      </c>
      <c r="E265" t="s">
        <v>1447</v>
      </c>
      <c r="F265" t="s">
        <v>1853</v>
      </c>
      <c r="G265" t="s">
        <v>1806</v>
      </c>
      <c r="H265" t="s">
        <v>2277</v>
      </c>
      <c r="I265" t="s">
        <v>2277</v>
      </c>
      <c r="J265">
        <v>126332.8</v>
      </c>
      <c r="K265" t="s">
        <v>2277</v>
      </c>
      <c r="L265" t="s">
        <v>2277</v>
      </c>
      <c r="M265" t="s">
        <v>2277</v>
      </c>
      <c r="N265" t="s">
        <v>2277</v>
      </c>
      <c r="O265" s="190" t="str">
        <f t="shared" si="4"/>
        <v>[S05_AggregateTotalEmissionsByCRF][12][TotalCombustionEmissionsTCo2e]</v>
      </c>
    </row>
    <row r="266" spans="1:15" x14ac:dyDescent="0.3">
      <c r="A266" t="s">
        <v>2278</v>
      </c>
      <c r="B266" t="s">
        <v>1846</v>
      </c>
      <c r="C266" t="s">
        <v>1849</v>
      </c>
      <c r="D266">
        <v>13</v>
      </c>
      <c r="E266" t="s">
        <v>1447</v>
      </c>
      <c r="F266" t="s">
        <v>1853</v>
      </c>
      <c r="G266" t="s">
        <v>1806</v>
      </c>
      <c r="H266" t="s">
        <v>2277</v>
      </c>
      <c r="I266" t="s">
        <v>2277</v>
      </c>
      <c r="J266">
        <v>18833.900000000001</v>
      </c>
      <c r="K266" t="s">
        <v>2277</v>
      </c>
      <c r="L266" t="s">
        <v>2277</v>
      </c>
      <c r="M266" t="s">
        <v>2277</v>
      </c>
      <c r="N266" t="s">
        <v>2277</v>
      </c>
      <c r="O266" s="190" t="str">
        <f t="shared" si="4"/>
        <v>[S05_AggregateTotalEmissionsByCRF][13][TotalCombustionEmissionsTCo2e]</v>
      </c>
    </row>
    <row r="267" spans="1:15" x14ac:dyDescent="0.3">
      <c r="A267" t="s">
        <v>2278</v>
      </c>
      <c r="B267" t="s">
        <v>1846</v>
      </c>
      <c r="C267" t="s">
        <v>1849</v>
      </c>
      <c r="D267">
        <v>14</v>
      </c>
      <c r="E267" t="s">
        <v>1447</v>
      </c>
      <c r="F267" t="s">
        <v>1853</v>
      </c>
      <c r="G267" t="s">
        <v>1806</v>
      </c>
      <c r="H267" t="s">
        <v>2277</v>
      </c>
      <c r="I267" t="s">
        <v>2277</v>
      </c>
      <c r="J267">
        <v>1284</v>
      </c>
      <c r="K267" t="s">
        <v>2277</v>
      </c>
      <c r="L267" t="s">
        <v>2277</v>
      </c>
      <c r="M267" t="s">
        <v>2277</v>
      </c>
      <c r="N267" t="s">
        <v>2277</v>
      </c>
      <c r="O267" s="190" t="str">
        <f t="shared" si="4"/>
        <v>[S05_AggregateTotalEmissionsByCRF][14][TotalCombustionEmissionsTCo2e]</v>
      </c>
    </row>
    <row r="268" spans="1:15" x14ac:dyDescent="0.3">
      <c r="A268" t="s">
        <v>2278</v>
      </c>
      <c r="B268" t="s">
        <v>1846</v>
      </c>
      <c r="C268" t="s">
        <v>1849</v>
      </c>
      <c r="D268">
        <v>15</v>
      </c>
      <c r="E268" t="s">
        <v>1447</v>
      </c>
      <c r="F268" t="s">
        <v>1853</v>
      </c>
      <c r="G268" t="s">
        <v>1806</v>
      </c>
      <c r="H268" t="s">
        <v>2277</v>
      </c>
      <c r="I268" t="s">
        <v>2277</v>
      </c>
      <c r="J268">
        <v>115189</v>
      </c>
      <c r="K268" t="s">
        <v>2277</v>
      </c>
      <c r="L268" t="s">
        <v>2277</v>
      </c>
      <c r="M268" t="s">
        <v>2277</v>
      </c>
      <c r="N268" t="s">
        <v>2277</v>
      </c>
      <c r="O268" s="190" t="str">
        <f t="shared" si="4"/>
        <v>[S05_AggregateTotalEmissionsByCRF][15][TotalCombustionEmissionsTCo2e]</v>
      </c>
    </row>
    <row r="269" spans="1:15" x14ac:dyDescent="0.3">
      <c r="A269" t="s">
        <v>2278</v>
      </c>
      <c r="B269" t="s">
        <v>1846</v>
      </c>
      <c r="C269" t="s">
        <v>1849</v>
      </c>
      <c r="D269">
        <v>30</v>
      </c>
      <c r="E269" t="s">
        <v>1447</v>
      </c>
      <c r="F269" t="s">
        <v>1853</v>
      </c>
      <c r="G269" t="s">
        <v>1806</v>
      </c>
      <c r="H269" t="s">
        <v>2277</v>
      </c>
      <c r="I269" t="s">
        <v>2277</v>
      </c>
      <c r="J269">
        <v>2100040</v>
      </c>
      <c r="K269" t="s">
        <v>2277</v>
      </c>
      <c r="L269" t="s">
        <v>2277</v>
      </c>
      <c r="M269" t="s">
        <v>2277</v>
      </c>
      <c r="N269" t="s">
        <v>2277</v>
      </c>
      <c r="O269" s="190" t="str">
        <f t="shared" si="4"/>
        <v>[S05_AggregateTotalEmissionsByCRF][30][TotalCombustionEmissionsTCo2e]</v>
      </c>
    </row>
    <row r="270" spans="1:15" x14ac:dyDescent="0.3">
      <c r="A270" t="s">
        <v>2278</v>
      </c>
      <c r="B270" t="s">
        <v>1846</v>
      </c>
      <c r="C270" t="s">
        <v>1849</v>
      </c>
      <c r="D270">
        <v>16</v>
      </c>
      <c r="E270" t="s">
        <v>1447</v>
      </c>
      <c r="F270" t="s">
        <v>1854</v>
      </c>
      <c r="G270" t="s">
        <v>1806</v>
      </c>
      <c r="H270" t="s">
        <v>2277</v>
      </c>
      <c r="I270" t="s">
        <v>2277</v>
      </c>
      <c r="J270">
        <v>7364794.9000000004</v>
      </c>
      <c r="K270" t="s">
        <v>2277</v>
      </c>
      <c r="L270" t="s">
        <v>2277</v>
      </c>
      <c r="M270" t="s">
        <v>2277</v>
      </c>
      <c r="N270" t="s">
        <v>2277</v>
      </c>
      <c r="O270" s="190" t="str">
        <f t="shared" si="4"/>
        <v>[S05_AggregateTotalEmissionsByCRF][16][TotalProcessEmissionsTCo2e]</v>
      </c>
    </row>
    <row r="271" spans="1:15" x14ac:dyDescent="0.3">
      <c r="A271" t="s">
        <v>2278</v>
      </c>
      <c r="B271" t="s">
        <v>1846</v>
      </c>
      <c r="C271" t="s">
        <v>1849</v>
      </c>
      <c r="D271">
        <v>17</v>
      </c>
      <c r="E271" t="s">
        <v>1447</v>
      </c>
      <c r="F271" t="s">
        <v>1854</v>
      </c>
      <c r="G271" t="s">
        <v>1806</v>
      </c>
      <c r="H271" t="s">
        <v>2277</v>
      </c>
      <c r="I271" t="s">
        <v>2277</v>
      </c>
      <c r="J271">
        <v>1420979.78</v>
      </c>
      <c r="K271" t="s">
        <v>2277</v>
      </c>
      <c r="L271" t="s">
        <v>2277</v>
      </c>
      <c r="M271" t="s">
        <v>2277</v>
      </c>
      <c r="N271" t="s">
        <v>2277</v>
      </c>
      <c r="O271" s="190" t="str">
        <f t="shared" si="4"/>
        <v>[S05_AggregateTotalEmissionsByCRF][17][TotalProcessEmissionsTCo2e]</v>
      </c>
    </row>
    <row r="272" spans="1:15" x14ac:dyDescent="0.3">
      <c r="A272" t="s">
        <v>2278</v>
      </c>
      <c r="B272" t="s">
        <v>1846</v>
      </c>
      <c r="C272" t="s">
        <v>1849</v>
      </c>
      <c r="D272">
        <v>18</v>
      </c>
      <c r="E272" t="s">
        <v>1447</v>
      </c>
      <c r="F272" t="s">
        <v>1854</v>
      </c>
      <c r="G272" t="s">
        <v>1806</v>
      </c>
      <c r="H272" t="s">
        <v>2277</v>
      </c>
      <c r="I272" t="s">
        <v>2277</v>
      </c>
      <c r="J272">
        <v>520159.57</v>
      </c>
      <c r="K272" t="s">
        <v>2277</v>
      </c>
      <c r="L272" t="s">
        <v>2277</v>
      </c>
      <c r="M272" t="s">
        <v>2277</v>
      </c>
      <c r="N272" t="s">
        <v>2277</v>
      </c>
      <c r="O272" s="190" t="str">
        <f t="shared" si="4"/>
        <v>[S05_AggregateTotalEmissionsByCRF][18][TotalProcessEmissionsTCo2e]</v>
      </c>
    </row>
    <row r="273" spans="1:15" x14ac:dyDescent="0.3">
      <c r="A273" t="s">
        <v>2278</v>
      </c>
      <c r="B273" t="s">
        <v>1846</v>
      </c>
      <c r="C273" t="s">
        <v>1849</v>
      </c>
      <c r="D273">
        <v>19</v>
      </c>
      <c r="E273" t="s">
        <v>1447</v>
      </c>
      <c r="F273" t="s">
        <v>1854</v>
      </c>
      <c r="G273" t="s">
        <v>1806</v>
      </c>
      <c r="H273" t="s">
        <v>2277</v>
      </c>
      <c r="I273" t="s">
        <v>2277</v>
      </c>
      <c r="J273">
        <v>1334272.54</v>
      </c>
      <c r="K273" t="s">
        <v>2277</v>
      </c>
      <c r="L273" t="s">
        <v>2277</v>
      </c>
      <c r="M273" t="s">
        <v>2277</v>
      </c>
      <c r="N273" t="s">
        <v>2277</v>
      </c>
      <c r="O273" s="190" t="str">
        <f t="shared" si="4"/>
        <v>[S05_AggregateTotalEmissionsByCRF][19][TotalProcessEmissionsTCo2e]</v>
      </c>
    </row>
    <row r="274" spans="1:15" x14ac:dyDescent="0.3">
      <c r="A274" t="s">
        <v>2278</v>
      </c>
      <c r="B274" t="s">
        <v>1846</v>
      </c>
      <c r="C274" t="s">
        <v>1849</v>
      </c>
      <c r="D274">
        <v>20</v>
      </c>
      <c r="E274" t="s">
        <v>1447</v>
      </c>
      <c r="F274" t="s">
        <v>1854</v>
      </c>
      <c r="G274" t="s">
        <v>1806</v>
      </c>
      <c r="H274" t="s">
        <v>2277</v>
      </c>
      <c r="I274" t="s">
        <v>2277</v>
      </c>
      <c r="J274">
        <v>116589.2</v>
      </c>
      <c r="K274" t="s">
        <v>2277</v>
      </c>
      <c r="L274" t="s">
        <v>2277</v>
      </c>
      <c r="M274" t="s">
        <v>2277</v>
      </c>
      <c r="N274" t="s">
        <v>2277</v>
      </c>
      <c r="O274" s="190" t="str">
        <f t="shared" si="4"/>
        <v>[S05_AggregateTotalEmissionsByCRF][20][TotalProcessEmissionsTCo2e]</v>
      </c>
    </row>
    <row r="275" spans="1:15" x14ac:dyDescent="0.3">
      <c r="A275" t="s">
        <v>2278</v>
      </c>
      <c r="B275" t="s">
        <v>1846</v>
      </c>
      <c r="C275" t="s">
        <v>1849</v>
      </c>
      <c r="D275">
        <v>21</v>
      </c>
      <c r="E275" t="s">
        <v>1447</v>
      </c>
      <c r="F275" t="s">
        <v>1854</v>
      </c>
      <c r="G275" t="s">
        <v>1806</v>
      </c>
      <c r="H275" t="s">
        <v>2277</v>
      </c>
      <c r="I275" t="s">
        <v>2277</v>
      </c>
      <c r="J275">
        <v>420000.62</v>
      </c>
      <c r="K275" t="s">
        <v>2277</v>
      </c>
      <c r="L275" t="s">
        <v>2277</v>
      </c>
      <c r="M275" t="s">
        <v>2277</v>
      </c>
      <c r="N275" t="s">
        <v>2277</v>
      </c>
      <c r="O275" s="190" t="str">
        <f t="shared" si="4"/>
        <v>[S05_AggregateTotalEmissionsByCRF][21][TotalProcessEmissionsTCo2e]</v>
      </c>
    </row>
    <row r="276" spans="1:15" x14ac:dyDescent="0.3">
      <c r="A276" t="s">
        <v>2278</v>
      </c>
      <c r="B276" t="s">
        <v>1846</v>
      </c>
      <c r="C276" t="s">
        <v>1849</v>
      </c>
      <c r="D276">
        <v>22</v>
      </c>
      <c r="E276" t="s">
        <v>1447</v>
      </c>
      <c r="F276" t="s">
        <v>1854</v>
      </c>
      <c r="G276" t="s">
        <v>1806</v>
      </c>
      <c r="H276" t="s">
        <v>2277</v>
      </c>
      <c r="I276" t="s">
        <v>2277</v>
      </c>
      <c r="J276">
        <v>100334.9</v>
      </c>
      <c r="K276" t="s">
        <v>2277</v>
      </c>
      <c r="L276" t="s">
        <v>2277</v>
      </c>
      <c r="M276" t="s">
        <v>2277</v>
      </c>
      <c r="N276" t="s">
        <v>2277</v>
      </c>
      <c r="O276" s="190" t="str">
        <f t="shared" si="4"/>
        <v>[S05_AggregateTotalEmissionsByCRF][22][TotalProcessEmissionsTCo2e]</v>
      </c>
    </row>
    <row r="277" spans="1:15" x14ac:dyDescent="0.3">
      <c r="A277" t="s">
        <v>2278</v>
      </c>
      <c r="B277" t="s">
        <v>1846</v>
      </c>
      <c r="C277" t="s">
        <v>1849</v>
      </c>
      <c r="D277">
        <v>23</v>
      </c>
      <c r="E277" t="s">
        <v>1447</v>
      </c>
      <c r="F277" t="s">
        <v>1854</v>
      </c>
      <c r="G277" t="s">
        <v>1806</v>
      </c>
      <c r="H277" t="s">
        <v>2277</v>
      </c>
      <c r="I277" t="s">
        <v>2277</v>
      </c>
      <c r="J277">
        <v>1239422.3700000001</v>
      </c>
      <c r="K277" t="s">
        <v>2277</v>
      </c>
      <c r="L277" t="s">
        <v>2277</v>
      </c>
      <c r="M277" t="s">
        <v>2277</v>
      </c>
      <c r="N277" t="s">
        <v>2277</v>
      </c>
      <c r="O277" s="190" t="str">
        <f t="shared" si="4"/>
        <v>[S05_AggregateTotalEmissionsByCRF][23][TotalProcessEmissionsTCo2e]</v>
      </c>
    </row>
    <row r="278" spans="1:15" x14ac:dyDescent="0.3">
      <c r="A278" t="s">
        <v>2278</v>
      </c>
      <c r="B278" t="s">
        <v>1846</v>
      </c>
      <c r="C278" t="s">
        <v>1849</v>
      </c>
      <c r="D278">
        <v>24</v>
      </c>
      <c r="E278" t="s">
        <v>1447</v>
      </c>
      <c r="F278" t="s">
        <v>1854</v>
      </c>
      <c r="G278" t="s">
        <v>1806</v>
      </c>
      <c r="H278" t="s">
        <v>2277</v>
      </c>
      <c r="I278" t="s">
        <v>2277</v>
      </c>
      <c r="J278">
        <v>6804483.3799999999</v>
      </c>
      <c r="K278" t="s">
        <v>2277</v>
      </c>
      <c r="L278" t="s">
        <v>2277</v>
      </c>
      <c r="M278" t="s">
        <v>2277</v>
      </c>
      <c r="N278" t="s">
        <v>2277</v>
      </c>
      <c r="O278" s="190" t="str">
        <f t="shared" si="4"/>
        <v>[S05_AggregateTotalEmissionsByCRF][24][TotalProcessEmissionsTCo2e]</v>
      </c>
    </row>
    <row r="279" spans="1:15" x14ac:dyDescent="0.3">
      <c r="A279" t="s">
        <v>2278</v>
      </c>
      <c r="B279" t="s">
        <v>1846</v>
      </c>
      <c r="C279" t="s">
        <v>1849</v>
      </c>
      <c r="D279">
        <v>25</v>
      </c>
      <c r="E279" t="s">
        <v>1447</v>
      </c>
      <c r="F279" t="s">
        <v>1854</v>
      </c>
      <c r="G279" t="s">
        <v>1806</v>
      </c>
      <c r="H279" t="s">
        <v>2277</v>
      </c>
      <c r="I279" t="s">
        <v>2277</v>
      </c>
      <c r="J279">
        <v>250140.1</v>
      </c>
      <c r="K279" t="s">
        <v>2277</v>
      </c>
      <c r="L279" t="s">
        <v>2277</v>
      </c>
      <c r="M279" t="s">
        <v>2277</v>
      </c>
      <c r="N279" t="s">
        <v>2277</v>
      </c>
      <c r="O279" s="190" t="str">
        <f t="shared" si="4"/>
        <v>[S05_AggregateTotalEmissionsByCRF][25][TotalProcessEmissionsTCo2e]</v>
      </c>
    </row>
    <row r="280" spans="1:15" x14ac:dyDescent="0.3">
      <c r="A280" t="s">
        <v>2278</v>
      </c>
      <c r="B280" t="s">
        <v>1846</v>
      </c>
      <c r="C280" t="s">
        <v>1849</v>
      </c>
      <c r="D280">
        <v>26</v>
      </c>
      <c r="E280" t="s">
        <v>1447</v>
      </c>
      <c r="F280" t="s">
        <v>1854</v>
      </c>
      <c r="G280" t="s">
        <v>1806</v>
      </c>
      <c r="H280" t="s">
        <v>2277</v>
      </c>
      <c r="I280" t="s">
        <v>2277</v>
      </c>
      <c r="J280">
        <v>342904.8</v>
      </c>
      <c r="K280" t="s">
        <v>2277</v>
      </c>
      <c r="L280" t="s">
        <v>2277</v>
      </c>
      <c r="M280" t="s">
        <v>2277</v>
      </c>
      <c r="N280" t="s">
        <v>2277</v>
      </c>
      <c r="O280" s="190" t="str">
        <f t="shared" si="4"/>
        <v>[S05_AggregateTotalEmissionsByCRF][26][TotalProcessEmissionsTCo2e]</v>
      </c>
    </row>
    <row r="281" spans="1:15" x14ac:dyDescent="0.3">
      <c r="A281" t="s">
        <v>2278</v>
      </c>
      <c r="B281" t="s">
        <v>1846</v>
      </c>
      <c r="C281" t="s">
        <v>1849</v>
      </c>
      <c r="D281">
        <v>27</v>
      </c>
      <c r="E281" t="s">
        <v>1447</v>
      </c>
      <c r="F281" t="s">
        <v>1854</v>
      </c>
      <c r="G281" t="s">
        <v>1806</v>
      </c>
      <c r="H281" t="s">
        <v>2277</v>
      </c>
      <c r="I281" t="s">
        <v>2277</v>
      </c>
      <c r="J281">
        <v>736200.7</v>
      </c>
      <c r="K281" t="s">
        <v>2277</v>
      </c>
      <c r="L281" t="s">
        <v>2277</v>
      </c>
      <c r="M281" t="s">
        <v>2277</v>
      </c>
      <c r="N281" t="s">
        <v>2277</v>
      </c>
      <c r="O281" s="190" t="str">
        <f t="shared" si="4"/>
        <v>[S05_AggregateTotalEmissionsByCRF][27][TotalProcessEmissionsTCo2e]</v>
      </c>
    </row>
    <row r="282" spans="1:15" x14ac:dyDescent="0.3">
      <c r="A282" t="s">
        <v>2278</v>
      </c>
      <c r="B282" t="s">
        <v>1846</v>
      </c>
      <c r="C282" t="s">
        <v>1849</v>
      </c>
      <c r="D282">
        <v>28</v>
      </c>
      <c r="E282" t="s">
        <v>1447</v>
      </c>
      <c r="F282" t="s">
        <v>1854</v>
      </c>
      <c r="G282" t="s">
        <v>1806</v>
      </c>
      <c r="H282" t="s">
        <v>2277</v>
      </c>
      <c r="I282" t="s">
        <v>2277</v>
      </c>
      <c r="J282">
        <v>325</v>
      </c>
      <c r="K282" t="s">
        <v>2277</v>
      </c>
      <c r="L282" t="s">
        <v>2277</v>
      </c>
      <c r="M282" t="s">
        <v>2277</v>
      </c>
      <c r="N282" t="s">
        <v>2277</v>
      </c>
      <c r="O282" s="190" t="str">
        <f t="shared" si="4"/>
        <v>[S05_AggregateTotalEmissionsByCRF][28][TotalProcessEmissionsTCo2e]</v>
      </c>
    </row>
    <row r="283" spans="1:15" x14ac:dyDescent="0.3">
      <c r="A283" t="s">
        <v>2278</v>
      </c>
      <c r="B283" t="s">
        <v>1846</v>
      </c>
      <c r="C283" t="s">
        <v>1849</v>
      </c>
      <c r="D283">
        <v>29</v>
      </c>
      <c r="E283" t="s">
        <v>1447</v>
      </c>
      <c r="F283" t="s">
        <v>1854</v>
      </c>
      <c r="G283" t="s">
        <v>1806</v>
      </c>
      <c r="H283" t="s">
        <v>2277</v>
      </c>
      <c r="I283" t="s">
        <v>2277</v>
      </c>
      <c r="J283">
        <v>15075.9</v>
      </c>
      <c r="K283" t="s">
        <v>2277</v>
      </c>
      <c r="L283" t="s">
        <v>2277</v>
      </c>
      <c r="M283" t="s">
        <v>2277</v>
      </c>
      <c r="N283" t="s">
        <v>2277</v>
      </c>
      <c r="O283" s="190" t="str">
        <f t="shared" si="4"/>
        <v>[S05_AggregateTotalEmissionsByCRF][29][TotalProcessEmissionsTCo2e]</v>
      </c>
    </row>
    <row r="284" spans="1:15" x14ac:dyDescent="0.3">
      <c r="A284" t="s">
        <v>2278</v>
      </c>
      <c r="B284" t="s">
        <v>1846</v>
      </c>
      <c r="C284" t="s">
        <v>1849</v>
      </c>
      <c r="D284">
        <v>30</v>
      </c>
      <c r="E284" t="s">
        <v>1447</v>
      </c>
      <c r="F284" t="s">
        <v>1854</v>
      </c>
      <c r="G284" t="s">
        <v>1806</v>
      </c>
      <c r="H284" t="s">
        <v>2277</v>
      </c>
      <c r="I284" t="s">
        <v>2277</v>
      </c>
      <c r="J284">
        <v>1005493.27</v>
      </c>
      <c r="K284" t="s">
        <v>2277</v>
      </c>
      <c r="L284" t="s">
        <v>2277</v>
      </c>
      <c r="M284" t="s">
        <v>2277</v>
      </c>
      <c r="N284" t="s">
        <v>2277</v>
      </c>
      <c r="O284" s="190" t="str">
        <f t="shared" si="4"/>
        <v>[S05_AggregateTotalEmissionsByCRF][30][TotalProcessEmissionsTCo2e]</v>
      </c>
    </row>
    <row r="285" spans="1:15" x14ac:dyDescent="0.3">
      <c r="A285" t="s">
        <v>2278</v>
      </c>
      <c r="B285" t="s">
        <v>1847</v>
      </c>
      <c r="C285" t="s">
        <v>1855</v>
      </c>
      <c r="D285">
        <v>1</v>
      </c>
      <c r="E285" t="s">
        <v>1447</v>
      </c>
      <c r="F285" t="s">
        <v>1856</v>
      </c>
      <c r="G285" t="s">
        <v>1737</v>
      </c>
      <c r="H285" t="s">
        <v>2277</v>
      </c>
      <c r="I285" t="s">
        <v>2277</v>
      </c>
      <c r="J285" t="s">
        <v>2277</v>
      </c>
      <c r="K285" t="s">
        <v>2277</v>
      </c>
      <c r="L285" t="s">
        <v>1505</v>
      </c>
      <c r="M285" t="s">
        <v>2277</v>
      </c>
      <c r="N285" t="s">
        <v>2277</v>
      </c>
      <c r="O285" s="190" t="str">
        <f t="shared" si="4"/>
        <v>[S05_DefaultValues][1][InstallationCategory]</v>
      </c>
    </row>
    <row r="286" spans="1:15" x14ac:dyDescent="0.3">
      <c r="A286" t="s">
        <v>2278</v>
      </c>
      <c r="B286" t="s">
        <v>1847</v>
      </c>
      <c r="C286" t="s">
        <v>1855</v>
      </c>
      <c r="D286">
        <v>2</v>
      </c>
      <c r="E286" t="s">
        <v>1447</v>
      </c>
      <c r="F286" t="s">
        <v>1856</v>
      </c>
      <c r="G286" t="s">
        <v>1737</v>
      </c>
      <c r="H286" t="s">
        <v>2277</v>
      </c>
      <c r="I286" t="s">
        <v>2277</v>
      </c>
      <c r="J286" t="s">
        <v>2277</v>
      </c>
      <c r="K286" t="s">
        <v>2277</v>
      </c>
      <c r="L286" t="s">
        <v>1505</v>
      </c>
      <c r="M286" t="s">
        <v>2277</v>
      </c>
      <c r="N286" t="s">
        <v>2277</v>
      </c>
      <c r="O286" s="190" t="str">
        <f t="shared" si="4"/>
        <v>[S05_DefaultValues][2][InstallationCategory]</v>
      </c>
    </row>
    <row r="287" spans="1:15" x14ac:dyDescent="0.3">
      <c r="A287" t="s">
        <v>2278</v>
      </c>
      <c r="B287" t="s">
        <v>1847</v>
      </c>
      <c r="C287" t="s">
        <v>1855</v>
      </c>
      <c r="D287">
        <v>3</v>
      </c>
      <c r="E287" t="s">
        <v>1447</v>
      </c>
      <c r="F287" t="s">
        <v>1856</v>
      </c>
      <c r="G287" t="s">
        <v>1737</v>
      </c>
      <c r="H287" t="s">
        <v>2277</v>
      </c>
      <c r="I287" t="s">
        <v>2277</v>
      </c>
      <c r="J287" t="s">
        <v>2277</v>
      </c>
      <c r="K287" t="s">
        <v>2277</v>
      </c>
      <c r="L287" t="s">
        <v>1505</v>
      </c>
      <c r="M287" t="s">
        <v>2277</v>
      </c>
      <c r="N287" t="s">
        <v>2277</v>
      </c>
      <c r="O287" s="190" t="str">
        <f t="shared" si="4"/>
        <v>[S05_DefaultValues][3][InstallationCategory]</v>
      </c>
    </row>
    <row r="288" spans="1:15" x14ac:dyDescent="0.3">
      <c r="A288" t="s">
        <v>2278</v>
      </c>
      <c r="B288" t="s">
        <v>1847</v>
      </c>
      <c r="C288" t="s">
        <v>1855</v>
      </c>
      <c r="D288">
        <v>4</v>
      </c>
      <c r="E288" t="s">
        <v>1447</v>
      </c>
      <c r="F288" t="s">
        <v>1856</v>
      </c>
      <c r="G288" t="s">
        <v>1737</v>
      </c>
      <c r="H288" t="s">
        <v>2277</v>
      </c>
      <c r="I288" t="s">
        <v>2277</v>
      </c>
      <c r="J288" t="s">
        <v>2277</v>
      </c>
      <c r="K288" t="s">
        <v>2277</v>
      </c>
      <c r="L288" t="s">
        <v>1505</v>
      </c>
      <c r="M288" t="s">
        <v>2277</v>
      </c>
      <c r="N288" t="s">
        <v>2277</v>
      </c>
      <c r="O288" s="190" t="str">
        <f t="shared" si="4"/>
        <v>[S05_DefaultValues][4][InstallationCategory]</v>
      </c>
    </row>
    <row r="289" spans="1:15" x14ac:dyDescent="0.3">
      <c r="A289" t="s">
        <v>2278</v>
      </c>
      <c r="B289" t="s">
        <v>1847</v>
      </c>
      <c r="C289" t="s">
        <v>1855</v>
      </c>
      <c r="D289">
        <v>5</v>
      </c>
      <c r="E289" t="s">
        <v>1447</v>
      </c>
      <c r="F289" t="s">
        <v>1856</v>
      </c>
      <c r="G289" t="s">
        <v>1737</v>
      </c>
      <c r="H289" t="s">
        <v>2277</v>
      </c>
      <c r="I289" t="s">
        <v>2277</v>
      </c>
      <c r="J289" t="s">
        <v>2277</v>
      </c>
      <c r="K289" t="s">
        <v>2277</v>
      </c>
      <c r="L289" t="s">
        <v>1505</v>
      </c>
      <c r="M289" t="s">
        <v>2277</v>
      </c>
      <c r="N289" t="s">
        <v>2277</v>
      </c>
      <c r="O289" s="190" t="str">
        <f t="shared" si="4"/>
        <v>[S05_DefaultValues][5][InstallationCategory]</v>
      </c>
    </row>
    <row r="290" spans="1:15" x14ac:dyDescent="0.3">
      <c r="A290" t="s">
        <v>2278</v>
      </c>
      <c r="B290" t="s">
        <v>1847</v>
      </c>
      <c r="C290" t="s">
        <v>1855</v>
      </c>
      <c r="D290">
        <v>6</v>
      </c>
      <c r="E290" t="s">
        <v>1447</v>
      </c>
      <c r="F290" t="s">
        <v>1856</v>
      </c>
      <c r="G290" t="s">
        <v>1737</v>
      </c>
      <c r="H290" t="s">
        <v>2277</v>
      </c>
      <c r="I290" t="s">
        <v>2277</v>
      </c>
      <c r="J290" t="s">
        <v>2277</v>
      </c>
      <c r="K290" t="s">
        <v>2277</v>
      </c>
      <c r="L290" t="s">
        <v>1505</v>
      </c>
      <c r="M290" t="s">
        <v>2277</v>
      </c>
      <c r="N290" t="s">
        <v>2277</v>
      </c>
      <c r="O290" s="190" t="str">
        <f t="shared" si="4"/>
        <v>[S05_DefaultValues][6][InstallationCategory]</v>
      </c>
    </row>
    <row r="291" spans="1:15" x14ac:dyDescent="0.3">
      <c r="A291" t="s">
        <v>2278</v>
      </c>
      <c r="B291" t="s">
        <v>1847</v>
      </c>
      <c r="C291" t="s">
        <v>1855</v>
      </c>
      <c r="D291">
        <v>7</v>
      </c>
      <c r="E291" t="s">
        <v>1447</v>
      </c>
      <c r="F291" t="s">
        <v>1856</v>
      </c>
      <c r="G291" t="s">
        <v>1737</v>
      </c>
      <c r="H291" t="s">
        <v>2277</v>
      </c>
      <c r="I291" t="s">
        <v>2277</v>
      </c>
      <c r="J291" t="s">
        <v>2277</v>
      </c>
      <c r="K291" t="s">
        <v>2277</v>
      </c>
      <c r="L291" t="s">
        <v>1505</v>
      </c>
      <c r="M291" t="s">
        <v>2277</v>
      </c>
      <c r="N291" t="s">
        <v>2277</v>
      </c>
      <c r="O291" s="190" t="str">
        <f t="shared" si="4"/>
        <v>[S05_DefaultValues][7][InstallationCategory]</v>
      </c>
    </row>
    <row r="292" spans="1:15" x14ac:dyDescent="0.3">
      <c r="A292" t="s">
        <v>2278</v>
      </c>
      <c r="B292" t="s">
        <v>1847</v>
      </c>
      <c r="C292" t="s">
        <v>1855</v>
      </c>
      <c r="D292">
        <v>8</v>
      </c>
      <c r="E292" t="s">
        <v>1447</v>
      </c>
      <c r="F292" t="s">
        <v>1856</v>
      </c>
      <c r="G292" t="s">
        <v>1737</v>
      </c>
      <c r="H292" t="s">
        <v>2277</v>
      </c>
      <c r="I292" t="s">
        <v>2277</v>
      </c>
      <c r="J292" t="s">
        <v>2277</v>
      </c>
      <c r="K292" t="s">
        <v>2277</v>
      </c>
      <c r="L292" t="s">
        <v>1505</v>
      </c>
      <c r="M292" t="s">
        <v>2277</v>
      </c>
      <c r="N292" t="s">
        <v>2277</v>
      </c>
      <c r="O292" s="190" t="str">
        <f t="shared" si="4"/>
        <v>[S05_DefaultValues][8][InstallationCategory]</v>
      </c>
    </row>
    <row r="293" spans="1:15" x14ac:dyDescent="0.3">
      <c r="A293" t="s">
        <v>2278</v>
      </c>
      <c r="B293" t="s">
        <v>1847</v>
      </c>
      <c r="C293" t="s">
        <v>1855</v>
      </c>
      <c r="D293">
        <v>9</v>
      </c>
      <c r="E293" t="s">
        <v>1447</v>
      </c>
      <c r="F293" t="s">
        <v>1856</v>
      </c>
      <c r="G293" t="s">
        <v>1737</v>
      </c>
      <c r="H293" t="s">
        <v>2277</v>
      </c>
      <c r="I293" t="s">
        <v>2277</v>
      </c>
      <c r="J293" t="s">
        <v>2277</v>
      </c>
      <c r="K293" t="s">
        <v>2277</v>
      </c>
      <c r="L293" t="s">
        <v>1505</v>
      </c>
      <c r="M293" t="s">
        <v>2277</v>
      </c>
      <c r="N293" t="s">
        <v>2277</v>
      </c>
      <c r="O293" s="190" t="str">
        <f t="shared" si="4"/>
        <v>[S05_DefaultValues][9][InstallationCategory]</v>
      </c>
    </row>
    <row r="294" spans="1:15" x14ac:dyDescent="0.3">
      <c r="A294" t="s">
        <v>2278</v>
      </c>
      <c r="B294" t="s">
        <v>1847</v>
      </c>
      <c r="C294" t="s">
        <v>1855</v>
      </c>
      <c r="D294">
        <v>10</v>
      </c>
      <c r="E294" t="s">
        <v>1447</v>
      </c>
      <c r="F294" t="s">
        <v>1856</v>
      </c>
      <c r="G294" t="s">
        <v>1737</v>
      </c>
      <c r="H294" t="s">
        <v>2277</v>
      </c>
      <c r="I294" t="s">
        <v>2277</v>
      </c>
      <c r="J294" t="s">
        <v>2277</v>
      </c>
      <c r="K294" t="s">
        <v>2277</v>
      </c>
      <c r="L294" t="s">
        <v>1505</v>
      </c>
      <c r="M294" t="s">
        <v>2277</v>
      </c>
      <c r="N294" t="s">
        <v>2277</v>
      </c>
      <c r="O294" s="190" t="str">
        <f t="shared" si="4"/>
        <v>[S05_DefaultValues][10][InstallationCategory]</v>
      </c>
    </row>
    <row r="295" spans="1:15" x14ac:dyDescent="0.3">
      <c r="A295" t="s">
        <v>2278</v>
      </c>
      <c r="B295" t="s">
        <v>1847</v>
      </c>
      <c r="C295" t="s">
        <v>1855</v>
      </c>
      <c r="D295">
        <v>11</v>
      </c>
      <c r="E295" t="s">
        <v>1447</v>
      </c>
      <c r="F295" t="s">
        <v>1856</v>
      </c>
      <c r="G295" t="s">
        <v>1737</v>
      </c>
      <c r="H295" t="s">
        <v>2277</v>
      </c>
      <c r="I295" t="s">
        <v>2277</v>
      </c>
      <c r="J295" t="s">
        <v>2277</v>
      </c>
      <c r="K295" t="s">
        <v>2277</v>
      </c>
      <c r="L295" t="s">
        <v>1505</v>
      </c>
      <c r="M295" t="s">
        <v>2277</v>
      </c>
      <c r="N295" t="s">
        <v>2277</v>
      </c>
      <c r="O295" s="190" t="str">
        <f t="shared" si="4"/>
        <v>[S05_DefaultValues][11][InstallationCategory]</v>
      </c>
    </row>
    <row r="296" spans="1:15" x14ac:dyDescent="0.3">
      <c r="A296" t="s">
        <v>2278</v>
      </c>
      <c r="B296" t="s">
        <v>1847</v>
      </c>
      <c r="C296" t="s">
        <v>1855</v>
      </c>
      <c r="D296">
        <v>12</v>
      </c>
      <c r="E296" t="s">
        <v>1447</v>
      </c>
      <c r="F296" t="s">
        <v>1856</v>
      </c>
      <c r="G296" t="s">
        <v>1737</v>
      </c>
      <c r="H296" t="s">
        <v>2277</v>
      </c>
      <c r="I296" t="s">
        <v>2277</v>
      </c>
      <c r="J296" t="s">
        <v>2277</v>
      </c>
      <c r="K296" t="s">
        <v>2277</v>
      </c>
      <c r="L296" t="s">
        <v>1505</v>
      </c>
      <c r="M296" t="s">
        <v>2277</v>
      </c>
      <c r="N296" t="s">
        <v>2277</v>
      </c>
      <c r="O296" s="190" t="str">
        <f t="shared" si="4"/>
        <v>[S05_DefaultValues][12][InstallationCategory]</v>
      </c>
    </row>
    <row r="297" spans="1:15" x14ac:dyDescent="0.3">
      <c r="A297" t="s">
        <v>2278</v>
      </c>
      <c r="B297" t="s">
        <v>1847</v>
      </c>
      <c r="C297" t="s">
        <v>1855</v>
      </c>
      <c r="D297">
        <v>13</v>
      </c>
      <c r="E297" t="s">
        <v>1447</v>
      </c>
      <c r="F297" t="s">
        <v>1856</v>
      </c>
      <c r="G297" t="s">
        <v>1737</v>
      </c>
      <c r="H297" t="s">
        <v>2277</v>
      </c>
      <c r="I297" t="s">
        <v>2277</v>
      </c>
      <c r="J297" t="s">
        <v>2277</v>
      </c>
      <c r="K297" t="s">
        <v>2277</v>
      </c>
      <c r="L297" t="s">
        <v>1505</v>
      </c>
      <c r="M297" t="s">
        <v>2277</v>
      </c>
      <c r="N297" t="s">
        <v>2277</v>
      </c>
      <c r="O297" s="190" t="str">
        <f t="shared" si="4"/>
        <v>[S05_DefaultValues][13][InstallationCategory]</v>
      </c>
    </row>
    <row r="298" spans="1:15" x14ac:dyDescent="0.3">
      <c r="A298" t="s">
        <v>2278</v>
      </c>
      <c r="B298" t="s">
        <v>1847</v>
      </c>
      <c r="C298" t="s">
        <v>1855</v>
      </c>
      <c r="D298">
        <v>14</v>
      </c>
      <c r="E298" t="s">
        <v>1447</v>
      </c>
      <c r="F298" t="s">
        <v>1856</v>
      </c>
      <c r="G298" t="s">
        <v>1737</v>
      </c>
      <c r="H298" t="s">
        <v>2277</v>
      </c>
      <c r="I298" t="s">
        <v>2277</v>
      </c>
      <c r="J298" t="s">
        <v>2277</v>
      </c>
      <c r="K298" t="s">
        <v>2277</v>
      </c>
      <c r="L298" t="s">
        <v>1505</v>
      </c>
      <c r="M298" t="s">
        <v>2277</v>
      </c>
      <c r="N298" t="s">
        <v>2277</v>
      </c>
      <c r="O298" s="190" t="str">
        <f t="shared" si="4"/>
        <v>[S05_DefaultValues][14][InstallationCategory]</v>
      </c>
    </row>
    <row r="299" spans="1:15" x14ac:dyDescent="0.3">
      <c r="A299" t="s">
        <v>2278</v>
      </c>
      <c r="B299" t="s">
        <v>1847</v>
      </c>
      <c r="C299" t="s">
        <v>1855</v>
      </c>
      <c r="D299">
        <v>15</v>
      </c>
      <c r="E299" t="s">
        <v>1447</v>
      </c>
      <c r="F299" t="s">
        <v>1856</v>
      </c>
      <c r="G299" t="s">
        <v>1737</v>
      </c>
      <c r="H299" t="s">
        <v>2277</v>
      </c>
      <c r="I299" t="s">
        <v>2277</v>
      </c>
      <c r="J299" t="s">
        <v>2277</v>
      </c>
      <c r="K299" t="s">
        <v>2277</v>
      </c>
      <c r="L299" t="s">
        <v>1505</v>
      </c>
      <c r="M299" t="s">
        <v>2277</v>
      </c>
      <c r="N299" t="s">
        <v>2277</v>
      </c>
      <c r="O299" s="190" t="str">
        <f t="shared" si="4"/>
        <v>[S05_DefaultValues][15][InstallationCategory]</v>
      </c>
    </row>
    <row r="300" spans="1:15" x14ac:dyDescent="0.3">
      <c r="A300" t="s">
        <v>2278</v>
      </c>
      <c r="B300" t="s">
        <v>1847</v>
      </c>
      <c r="C300" t="s">
        <v>1855</v>
      </c>
      <c r="D300">
        <v>16</v>
      </c>
      <c r="E300" t="s">
        <v>1447</v>
      </c>
      <c r="F300" t="s">
        <v>1856</v>
      </c>
      <c r="G300" t="s">
        <v>1737</v>
      </c>
      <c r="H300" t="s">
        <v>2277</v>
      </c>
      <c r="I300" t="s">
        <v>2277</v>
      </c>
      <c r="J300" t="s">
        <v>2277</v>
      </c>
      <c r="K300" t="s">
        <v>2277</v>
      </c>
      <c r="L300" t="s">
        <v>1505</v>
      </c>
      <c r="M300" t="s">
        <v>2277</v>
      </c>
      <c r="N300" t="s">
        <v>2277</v>
      </c>
      <c r="O300" s="190" t="str">
        <f t="shared" si="4"/>
        <v>[S05_DefaultValues][16][InstallationCategory]</v>
      </c>
    </row>
    <row r="301" spans="1:15" x14ac:dyDescent="0.3">
      <c r="A301" t="s">
        <v>2278</v>
      </c>
      <c r="B301" t="s">
        <v>1847</v>
      </c>
      <c r="C301" t="s">
        <v>1855</v>
      </c>
      <c r="D301">
        <v>17</v>
      </c>
      <c r="E301" t="s">
        <v>1447</v>
      </c>
      <c r="F301" t="s">
        <v>1856</v>
      </c>
      <c r="G301" t="s">
        <v>1737</v>
      </c>
      <c r="H301" t="s">
        <v>2277</v>
      </c>
      <c r="I301" t="s">
        <v>2277</v>
      </c>
      <c r="J301" t="s">
        <v>2277</v>
      </c>
      <c r="K301" t="s">
        <v>2277</v>
      </c>
      <c r="L301" t="s">
        <v>1505</v>
      </c>
      <c r="M301" t="s">
        <v>2277</v>
      </c>
      <c r="N301" t="s">
        <v>2277</v>
      </c>
      <c r="O301" s="190" t="str">
        <f t="shared" si="4"/>
        <v>[S05_DefaultValues][17][InstallationCategory]</v>
      </c>
    </row>
    <row r="302" spans="1:15" x14ac:dyDescent="0.3">
      <c r="A302" t="s">
        <v>2278</v>
      </c>
      <c r="B302" t="s">
        <v>1847</v>
      </c>
      <c r="C302" t="s">
        <v>1855</v>
      </c>
      <c r="D302">
        <v>18</v>
      </c>
      <c r="E302" t="s">
        <v>1447</v>
      </c>
      <c r="F302" t="s">
        <v>1856</v>
      </c>
      <c r="G302" t="s">
        <v>1737</v>
      </c>
      <c r="H302" t="s">
        <v>2277</v>
      </c>
      <c r="I302" t="s">
        <v>2277</v>
      </c>
      <c r="J302" t="s">
        <v>2277</v>
      </c>
      <c r="K302" t="s">
        <v>2277</v>
      </c>
      <c r="L302" t="s">
        <v>1505</v>
      </c>
      <c r="M302" t="s">
        <v>2277</v>
      </c>
      <c r="N302" t="s">
        <v>2277</v>
      </c>
      <c r="O302" s="190" t="str">
        <f t="shared" si="4"/>
        <v>[S05_DefaultValues][18][InstallationCategory]</v>
      </c>
    </row>
    <row r="303" spans="1:15" x14ac:dyDescent="0.3">
      <c r="A303" t="s">
        <v>2278</v>
      </c>
      <c r="B303" t="s">
        <v>1847</v>
      </c>
      <c r="C303" t="s">
        <v>1855</v>
      </c>
      <c r="D303">
        <v>19</v>
      </c>
      <c r="E303" t="s">
        <v>1447</v>
      </c>
      <c r="F303" t="s">
        <v>1856</v>
      </c>
      <c r="G303" t="s">
        <v>1737</v>
      </c>
      <c r="H303" t="s">
        <v>2277</v>
      </c>
      <c r="I303" t="s">
        <v>2277</v>
      </c>
      <c r="J303" t="s">
        <v>2277</v>
      </c>
      <c r="K303" t="s">
        <v>2277</v>
      </c>
      <c r="L303" t="s">
        <v>1505</v>
      </c>
      <c r="M303" t="s">
        <v>2277</v>
      </c>
      <c r="N303" t="s">
        <v>2277</v>
      </c>
      <c r="O303" s="190" t="str">
        <f t="shared" si="4"/>
        <v>[S05_DefaultValues][19][InstallationCategory]</v>
      </c>
    </row>
    <row r="304" spans="1:15" x14ac:dyDescent="0.3">
      <c r="A304" t="s">
        <v>2278</v>
      </c>
      <c r="B304" t="s">
        <v>1847</v>
      </c>
      <c r="C304" t="s">
        <v>1855</v>
      </c>
      <c r="D304">
        <v>20</v>
      </c>
      <c r="E304" t="s">
        <v>1447</v>
      </c>
      <c r="F304" t="s">
        <v>1856</v>
      </c>
      <c r="G304" t="s">
        <v>1737</v>
      </c>
      <c r="H304" t="s">
        <v>2277</v>
      </c>
      <c r="I304" t="s">
        <v>2277</v>
      </c>
      <c r="J304" t="s">
        <v>2277</v>
      </c>
      <c r="K304" t="s">
        <v>2277</v>
      </c>
      <c r="L304" t="s">
        <v>1505</v>
      </c>
      <c r="M304" t="s">
        <v>2277</v>
      </c>
      <c r="N304" t="s">
        <v>2277</v>
      </c>
      <c r="O304" s="190" t="str">
        <f t="shared" si="4"/>
        <v>[S05_DefaultValues][20][InstallationCategory]</v>
      </c>
    </row>
    <row r="305" spans="1:15" x14ac:dyDescent="0.3">
      <c r="A305" t="s">
        <v>2278</v>
      </c>
      <c r="B305" t="s">
        <v>1847</v>
      </c>
      <c r="C305" t="s">
        <v>1855</v>
      </c>
      <c r="D305">
        <v>21</v>
      </c>
      <c r="E305" t="s">
        <v>1447</v>
      </c>
      <c r="F305" t="s">
        <v>1856</v>
      </c>
      <c r="G305" t="s">
        <v>1737</v>
      </c>
      <c r="H305" t="s">
        <v>2277</v>
      </c>
      <c r="I305" t="s">
        <v>2277</v>
      </c>
      <c r="J305" t="s">
        <v>2277</v>
      </c>
      <c r="K305" t="s">
        <v>2277</v>
      </c>
      <c r="L305" t="s">
        <v>1505</v>
      </c>
      <c r="M305" t="s">
        <v>2277</v>
      </c>
      <c r="N305" t="s">
        <v>2277</v>
      </c>
      <c r="O305" s="190" t="str">
        <f t="shared" si="4"/>
        <v>[S05_DefaultValues][21][InstallationCategory]</v>
      </c>
    </row>
    <row r="306" spans="1:15" x14ac:dyDescent="0.3">
      <c r="A306" t="s">
        <v>2278</v>
      </c>
      <c r="B306" t="s">
        <v>1847</v>
      </c>
      <c r="C306" t="s">
        <v>1855</v>
      </c>
      <c r="D306">
        <v>22</v>
      </c>
      <c r="E306" t="s">
        <v>1447</v>
      </c>
      <c r="F306" t="s">
        <v>1856</v>
      </c>
      <c r="G306" t="s">
        <v>1737</v>
      </c>
      <c r="H306" t="s">
        <v>2277</v>
      </c>
      <c r="I306" t="s">
        <v>2277</v>
      </c>
      <c r="J306" t="s">
        <v>2277</v>
      </c>
      <c r="K306" t="s">
        <v>2277</v>
      </c>
      <c r="L306" t="s">
        <v>1505</v>
      </c>
      <c r="M306" t="s">
        <v>2277</v>
      </c>
      <c r="N306" t="s">
        <v>2277</v>
      </c>
      <c r="O306" s="190" t="str">
        <f t="shared" si="4"/>
        <v>[S05_DefaultValues][22][InstallationCategory]</v>
      </c>
    </row>
    <row r="307" spans="1:15" x14ac:dyDescent="0.3">
      <c r="A307" t="s">
        <v>2278</v>
      </c>
      <c r="B307" t="s">
        <v>1847</v>
      </c>
      <c r="C307" t="s">
        <v>1855</v>
      </c>
      <c r="D307">
        <v>23</v>
      </c>
      <c r="E307" t="s">
        <v>1447</v>
      </c>
      <c r="F307" t="s">
        <v>1856</v>
      </c>
      <c r="G307" t="s">
        <v>1737</v>
      </c>
      <c r="H307" t="s">
        <v>2277</v>
      </c>
      <c r="I307" t="s">
        <v>2277</v>
      </c>
      <c r="J307" t="s">
        <v>2277</v>
      </c>
      <c r="K307" t="s">
        <v>2277</v>
      </c>
      <c r="L307" t="s">
        <v>1505</v>
      </c>
      <c r="M307" t="s">
        <v>2277</v>
      </c>
      <c r="N307" t="s">
        <v>2277</v>
      </c>
      <c r="O307" s="190" t="str">
        <f t="shared" si="4"/>
        <v>[S05_DefaultValues][23][InstallationCategory]</v>
      </c>
    </row>
    <row r="308" spans="1:15" x14ac:dyDescent="0.3">
      <c r="A308" t="s">
        <v>2278</v>
      </c>
      <c r="B308" t="s">
        <v>1847</v>
      </c>
      <c r="C308" t="s">
        <v>1855</v>
      </c>
      <c r="D308">
        <v>24</v>
      </c>
      <c r="E308" t="s">
        <v>1447</v>
      </c>
      <c r="F308" t="s">
        <v>1856</v>
      </c>
      <c r="G308" t="s">
        <v>1737</v>
      </c>
      <c r="H308" t="s">
        <v>2277</v>
      </c>
      <c r="I308" t="s">
        <v>2277</v>
      </c>
      <c r="J308" t="s">
        <v>2277</v>
      </c>
      <c r="K308" t="s">
        <v>2277</v>
      </c>
      <c r="L308" t="s">
        <v>1505</v>
      </c>
      <c r="M308" t="s">
        <v>2277</v>
      </c>
      <c r="N308" t="s">
        <v>2277</v>
      </c>
      <c r="O308" s="190" t="str">
        <f t="shared" si="4"/>
        <v>[S05_DefaultValues][24][InstallationCategory]</v>
      </c>
    </row>
    <row r="309" spans="1:15" x14ac:dyDescent="0.3">
      <c r="A309" t="s">
        <v>2278</v>
      </c>
      <c r="B309" t="s">
        <v>1847</v>
      </c>
      <c r="C309" t="s">
        <v>1855</v>
      </c>
      <c r="D309">
        <v>25</v>
      </c>
      <c r="E309" t="s">
        <v>1447</v>
      </c>
      <c r="F309" t="s">
        <v>1856</v>
      </c>
      <c r="G309" t="s">
        <v>1737</v>
      </c>
      <c r="H309" t="s">
        <v>2277</v>
      </c>
      <c r="I309" t="s">
        <v>2277</v>
      </c>
      <c r="J309" t="s">
        <v>2277</v>
      </c>
      <c r="K309" t="s">
        <v>2277</v>
      </c>
      <c r="L309" t="s">
        <v>1505</v>
      </c>
      <c r="M309" t="s">
        <v>2277</v>
      </c>
      <c r="N309" t="s">
        <v>2277</v>
      </c>
      <c r="O309" s="190" t="str">
        <f t="shared" si="4"/>
        <v>[S05_DefaultValues][25][InstallationCategory]</v>
      </c>
    </row>
    <row r="310" spans="1:15" x14ac:dyDescent="0.3">
      <c r="A310" t="s">
        <v>2278</v>
      </c>
      <c r="B310" t="s">
        <v>1847</v>
      </c>
      <c r="C310" t="s">
        <v>1855</v>
      </c>
      <c r="D310">
        <v>26</v>
      </c>
      <c r="E310" t="s">
        <v>1447</v>
      </c>
      <c r="F310" t="s">
        <v>1856</v>
      </c>
      <c r="G310" t="s">
        <v>1737</v>
      </c>
      <c r="H310" t="s">
        <v>2277</v>
      </c>
      <c r="I310" t="s">
        <v>2277</v>
      </c>
      <c r="J310" t="s">
        <v>2277</v>
      </c>
      <c r="K310" t="s">
        <v>2277</v>
      </c>
      <c r="L310" t="s">
        <v>1505</v>
      </c>
      <c r="M310" t="s">
        <v>2277</v>
      </c>
      <c r="N310" t="s">
        <v>2277</v>
      </c>
      <c r="O310" s="190" t="str">
        <f t="shared" si="4"/>
        <v>[S05_DefaultValues][26][InstallationCategory]</v>
      </c>
    </row>
    <row r="311" spans="1:15" x14ac:dyDescent="0.3">
      <c r="A311" t="s">
        <v>2278</v>
      </c>
      <c r="B311" t="s">
        <v>1847</v>
      </c>
      <c r="C311" t="s">
        <v>1855</v>
      </c>
      <c r="D311">
        <v>27</v>
      </c>
      <c r="E311" t="s">
        <v>1447</v>
      </c>
      <c r="F311" t="s">
        <v>1856</v>
      </c>
      <c r="G311" t="s">
        <v>1737</v>
      </c>
      <c r="H311" t="s">
        <v>2277</v>
      </c>
      <c r="I311" t="s">
        <v>2277</v>
      </c>
      <c r="J311" t="s">
        <v>2277</v>
      </c>
      <c r="K311" t="s">
        <v>2277</v>
      </c>
      <c r="L311" t="s">
        <v>1505</v>
      </c>
      <c r="M311" t="s">
        <v>2277</v>
      </c>
      <c r="N311" t="s">
        <v>2277</v>
      </c>
      <c r="O311" s="190" t="str">
        <f t="shared" si="4"/>
        <v>[S05_DefaultValues][27][InstallationCategory]</v>
      </c>
    </row>
    <row r="312" spans="1:15" x14ac:dyDescent="0.3">
      <c r="A312" t="s">
        <v>2278</v>
      </c>
      <c r="B312" t="s">
        <v>1847</v>
      </c>
      <c r="C312" t="s">
        <v>1855</v>
      </c>
      <c r="D312">
        <v>28</v>
      </c>
      <c r="E312" t="s">
        <v>1447</v>
      </c>
      <c r="F312" t="s">
        <v>1856</v>
      </c>
      <c r="G312" t="s">
        <v>1737</v>
      </c>
      <c r="H312" t="s">
        <v>2277</v>
      </c>
      <c r="I312" t="s">
        <v>2277</v>
      </c>
      <c r="J312" t="s">
        <v>2277</v>
      </c>
      <c r="K312" t="s">
        <v>2277</v>
      </c>
      <c r="L312" t="s">
        <v>1505</v>
      </c>
      <c r="M312" t="s">
        <v>2277</v>
      </c>
      <c r="N312" t="s">
        <v>2277</v>
      </c>
      <c r="O312" s="190" t="str">
        <f t="shared" si="4"/>
        <v>[S05_DefaultValues][28][InstallationCategory]</v>
      </c>
    </row>
    <row r="313" spans="1:15" x14ac:dyDescent="0.3">
      <c r="A313" t="s">
        <v>2278</v>
      </c>
      <c r="B313" t="s">
        <v>1847</v>
      </c>
      <c r="C313" t="s">
        <v>1855</v>
      </c>
      <c r="D313">
        <v>29</v>
      </c>
      <c r="E313" t="s">
        <v>1447</v>
      </c>
      <c r="F313" t="s">
        <v>1856</v>
      </c>
      <c r="G313" t="s">
        <v>1737</v>
      </c>
      <c r="H313" t="s">
        <v>2277</v>
      </c>
      <c r="I313" t="s">
        <v>2277</v>
      </c>
      <c r="J313" t="s">
        <v>2277</v>
      </c>
      <c r="K313" t="s">
        <v>2277</v>
      </c>
      <c r="L313" t="s">
        <v>1505</v>
      </c>
      <c r="M313" t="s">
        <v>2277</v>
      </c>
      <c r="N313" t="s">
        <v>2277</v>
      </c>
      <c r="O313" s="190" t="str">
        <f t="shared" si="4"/>
        <v>[S05_DefaultValues][29][InstallationCategory]</v>
      </c>
    </row>
    <row r="314" spans="1:15" x14ac:dyDescent="0.3">
      <c r="A314" t="s">
        <v>2278</v>
      </c>
      <c r="B314" t="s">
        <v>1847</v>
      </c>
      <c r="C314" t="s">
        <v>1855</v>
      </c>
      <c r="D314">
        <v>30</v>
      </c>
      <c r="E314" t="s">
        <v>1447</v>
      </c>
      <c r="F314" t="s">
        <v>1856</v>
      </c>
      <c r="G314" t="s">
        <v>1737</v>
      </c>
      <c r="H314" t="s">
        <v>2277</v>
      </c>
      <c r="I314" t="s">
        <v>2277</v>
      </c>
      <c r="J314" t="s">
        <v>2277</v>
      </c>
      <c r="K314" t="s">
        <v>2277</v>
      </c>
      <c r="L314" t="s">
        <v>1505</v>
      </c>
      <c r="M314" t="s">
        <v>2277</v>
      </c>
      <c r="N314" t="s">
        <v>2277</v>
      </c>
      <c r="O314" s="190" t="str">
        <f t="shared" si="4"/>
        <v>[S05_DefaultValues][30][InstallationCategory]</v>
      </c>
    </row>
    <row r="315" spans="1:15" x14ac:dyDescent="0.3">
      <c r="A315" t="s">
        <v>2278</v>
      </c>
      <c r="B315" t="s">
        <v>1847</v>
      </c>
      <c r="C315" t="s">
        <v>1855</v>
      </c>
      <c r="D315">
        <v>31</v>
      </c>
      <c r="E315" t="s">
        <v>1447</v>
      </c>
      <c r="F315" t="s">
        <v>1856</v>
      </c>
      <c r="G315" t="s">
        <v>1737</v>
      </c>
      <c r="H315" t="s">
        <v>2277</v>
      </c>
      <c r="I315" t="s">
        <v>2277</v>
      </c>
      <c r="J315" t="s">
        <v>2277</v>
      </c>
      <c r="K315" t="s">
        <v>2277</v>
      </c>
      <c r="L315" t="s">
        <v>1505</v>
      </c>
      <c r="M315" t="s">
        <v>2277</v>
      </c>
      <c r="N315" t="s">
        <v>2277</v>
      </c>
      <c r="O315" s="190" t="str">
        <f t="shared" si="4"/>
        <v>[S05_DefaultValues][31][InstallationCategory]</v>
      </c>
    </row>
    <row r="316" spans="1:15" x14ac:dyDescent="0.3">
      <c r="A316" t="s">
        <v>2278</v>
      </c>
      <c r="B316" t="s">
        <v>1847</v>
      </c>
      <c r="C316" t="s">
        <v>1855</v>
      </c>
      <c r="D316">
        <v>32</v>
      </c>
      <c r="E316" t="s">
        <v>1447</v>
      </c>
      <c r="F316" t="s">
        <v>1856</v>
      </c>
      <c r="G316" t="s">
        <v>1737</v>
      </c>
      <c r="H316" t="s">
        <v>2277</v>
      </c>
      <c r="I316" t="s">
        <v>2277</v>
      </c>
      <c r="J316" t="s">
        <v>2277</v>
      </c>
      <c r="K316" t="s">
        <v>2277</v>
      </c>
      <c r="L316" t="s">
        <v>1505</v>
      </c>
      <c r="M316" t="s">
        <v>2277</v>
      </c>
      <c r="N316" t="s">
        <v>2277</v>
      </c>
      <c r="O316" s="190" t="str">
        <f t="shared" si="4"/>
        <v>[S05_DefaultValues][32][InstallationCategory]</v>
      </c>
    </row>
    <row r="317" spans="1:15" x14ac:dyDescent="0.3">
      <c r="A317" t="s">
        <v>2278</v>
      </c>
      <c r="B317" t="s">
        <v>1847</v>
      </c>
      <c r="C317" t="s">
        <v>1855</v>
      </c>
      <c r="D317">
        <v>33</v>
      </c>
      <c r="E317" t="s">
        <v>1447</v>
      </c>
      <c r="F317" t="s">
        <v>1856</v>
      </c>
      <c r="G317" t="s">
        <v>1737</v>
      </c>
      <c r="H317" t="s">
        <v>2277</v>
      </c>
      <c r="I317" t="s">
        <v>2277</v>
      </c>
      <c r="J317" t="s">
        <v>2277</v>
      </c>
      <c r="K317" t="s">
        <v>2277</v>
      </c>
      <c r="L317" t="s">
        <v>1505</v>
      </c>
      <c r="M317" t="s">
        <v>2277</v>
      </c>
      <c r="N317" t="s">
        <v>2277</v>
      </c>
      <c r="O317" s="190" t="str">
        <f t="shared" si="4"/>
        <v>[S05_DefaultValues][33][InstallationCategory]</v>
      </c>
    </row>
    <row r="318" spans="1:15" x14ac:dyDescent="0.3">
      <c r="A318" t="s">
        <v>2278</v>
      </c>
      <c r="B318" t="s">
        <v>1847</v>
      </c>
      <c r="C318" t="s">
        <v>1855</v>
      </c>
      <c r="D318">
        <v>34</v>
      </c>
      <c r="E318" t="s">
        <v>1447</v>
      </c>
      <c r="F318" t="s">
        <v>1856</v>
      </c>
      <c r="G318" t="s">
        <v>1737</v>
      </c>
      <c r="H318" t="s">
        <v>2277</v>
      </c>
      <c r="I318" t="s">
        <v>2277</v>
      </c>
      <c r="J318" t="s">
        <v>2277</v>
      </c>
      <c r="K318" t="s">
        <v>2277</v>
      </c>
      <c r="L318" t="s">
        <v>1505</v>
      </c>
      <c r="M318" t="s">
        <v>2277</v>
      </c>
      <c r="N318" t="s">
        <v>2277</v>
      </c>
      <c r="O318" s="190" t="str">
        <f t="shared" si="4"/>
        <v>[S05_DefaultValues][34][InstallationCategory]</v>
      </c>
    </row>
    <row r="319" spans="1:15" x14ac:dyDescent="0.3">
      <c r="A319" t="s">
        <v>2278</v>
      </c>
      <c r="B319" t="s">
        <v>1847</v>
      </c>
      <c r="C319" t="s">
        <v>1855</v>
      </c>
      <c r="D319">
        <v>35</v>
      </c>
      <c r="E319" t="s">
        <v>1447</v>
      </c>
      <c r="F319" t="s">
        <v>1856</v>
      </c>
      <c r="G319" t="s">
        <v>1737</v>
      </c>
      <c r="H319" t="s">
        <v>2277</v>
      </c>
      <c r="I319" t="s">
        <v>2277</v>
      </c>
      <c r="J319" t="s">
        <v>2277</v>
      </c>
      <c r="K319" t="s">
        <v>2277</v>
      </c>
      <c r="L319" t="s">
        <v>1505</v>
      </c>
      <c r="M319" t="s">
        <v>2277</v>
      </c>
      <c r="N319" t="s">
        <v>2277</v>
      </c>
      <c r="O319" s="190" t="str">
        <f t="shared" si="4"/>
        <v>[S05_DefaultValues][35][InstallationCategory]</v>
      </c>
    </row>
    <row r="320" spans="1:15" x14ac:dyDescent="0.3">
      <c r="A320" t="s">
        <v>2278</v>
      </c>
      <c r="B320" t="s">
        <v>1847</v>
      </c>
      <c r="C320" t="s">
        <v>1855</v>
      </c>
      <c r="D320">
        <v>36</v>
      </c>
      <c r="E320" t="s">
        <v>1447</v>
      </c>
      <c r="F320" t="s">
        <v>1856</v>
      </c>
      <c r="G320" t="s">
        <v>1737</v>
      </c>
      <c r="H320" t="s">
        <v>2277</v>
      </c>
      <c r="I320" t="s">
        <v>2277</v>
      </c>
      <c r="J320" t="s">
        <v>2277</v>
      </c>
      <c r="K320" t="s">
        <v>2277</v>
      </c>
      <c r="L320" t="s">
        <v>1505</v>
      </c>
      <c r="M320" t="s">
        <v>2277</v>
      </c>
      <c r="N320" t="s">
        <v>2277</v>
      </c>
      <c r="O320" s="190" t="str">
        <f t="shared" si="4"/>
        <v>[S05_DefaultValues][36][InstallationCategory]</v>
      </c>
    </row>
    <row r="321" spans="1:15" x14ac:dyDescent="0.3">
      <c r="A321" t="s">
        <v>2278</v>
      </c>
      <c r="B321" t="s">
        <v>1847</v>
      </c>
      <c r="C321" t="s">
        <v>1855</v>
      </c>
      <c r="D321">
        <v>37</v>
      </c>
      <c r="E321" t="s">
        <v>1447</v>
      </c>
      <c r="F321" t="s">
        <v>1856</v>
      </c>
      <c r="G321" t="s">
        <v>1737</v>
      </c>
      <c r="H321" t="s">
        <v>2277</v>
      </c>
      <c r="I321" t="s">
        <v>2277</v>
      </c>
      <c r="J321" t="s">
        <v>2277</v>
      </c>
      <c r="K321" t="s">
        <v>2277</v>
      </c>
      <c r="L321" t="s">
        <v>1505</v>
      </c>
      <c r="M321" t="s">
        <v>2277</v>
      </c>
      <c r="N321" t="s">
        <v>2277</v>
      </c>
      <c r="O321" s="190" t="str">
        <f t="shared" si="4"/>
        <v>[S05_DefaultValues][37][InstallationCategory]</v>
      </c>
    </row>
    <row r="322" spans="1:15" x14ac:dyDescent="0.3">
      <c r="A322" t="s">
        <v>2278</v>
      </c>
      <c r="B322" t="s">
        <v>1847</v>
      </c>
      <c r="C322" t="s">
        <v>1855</v>
      </c>
      <c r="D322">
        <v>38</v>
      </c>
      <c r="E322" t="s">
        <v>1447</v>
      </c>
      <c r="F322" t="s">
        <v>1856</v>
      </c>
      <c r="G322" t="s">
        <v>1737</v>
      </c>
      <c r="H322" t="s">
        <v>2277</v>
      </c>
      <c r="I322" t="s">
        <v>2277</v>
      </c>
      <c r="J322" t="s">
        <v>2277</v>
      </c>
      <c r="K322" t="s">
        <v>2277</v>
      </c>
      <c r="L322" t="s">
        <v>1505</v>
      </c>
      <c r="M322" t="s">
        <v>2277</v>
      </c>
      <c r="N322" t="s">
        <v>2277</v>
      </c>
      <c r="O322" s="190" t="str">
        <f t="shared" ref="O322:O385" si="5">"["&amp;$C322&amp;"]["&amp;$D322&amp;"]["&amp;$F322&amp;"]"</f>
        <v>[S05_DefaultValues][38][InstallationCategory]</v>
      </c>
    </row>
    <row r="323" spans="1:15" x14ac:dyDescent="0.3">
      <c r="A323" t="s">
        <v>2278</v>
      </c>
      <c r="B323" t="s">
        <v>1847</v>
      </c>
      <c r="C323" t="s">
        <v>1855</v>
      </c>
      <c r="D323">
        <v>39</v>
      </c>
      <c r="E323" t="s">
        <v>1447</v>
      </c>
      <c r="F323" t="s">
        <v>1856</v>
      </c>
      <c r="G323" t="s">
        <v>1737</v>
      </c>
      <c r="H323" t="s">
        <v>2277</v>
      </c>
      <c r="I323" t="s">
        <v>2277</v>
      </c>
      <c r="J323" t="s">
        <v>2277</v>
      </c>
      <c r="K323" t="s">
        <v>2277</v>
      </c>
      <c r="L323" t="s">
        <v>1505</v>
      </c>
      <c r="M323" t="s">
        <v>2277</v>
      </c>
      <c r="N323" t="s">
        <v>2277</v>
      </c>
      <c r="O323" s="190" t="str">
        <f t="shared" si="5"/>
        <v>[S05_DefaultValues][39][InstallationCategory]</v>
      </c>
    </row>
    <row r="324" spans="1:15" x14ac:dyDescent="0.3">
      <c r="A324" t="s">
        <v>2278</v>
      </c>
      <c r="B324" t="s">
        <v>1847</v>
      </c>
      <c r="C324" t="s">
        <v>1855</v>
      </c>
      <c r="D324">
        <v>40</v>
      </c>
      <c r="E324" t="s">
        <v>1447</v>
      </c>
      <c r="F324" t="s">
        <v>1856</v>
      </c>
      <c r="G324" t="s">
        <v>1737</v>
      </c>
      <c r="H324" t="s">
        <v>2277</v>
      </c>
      <c r="I324" t="s">
        <v>2277</v>
      </c>
      <c r="J324" t="s">
        <v>2277</v>
      </c>
      <c r="K324" t="s">
        <v>2277</v>
      </c>
      <c r="L324" t="s">
        <v>1505</v>
      </c>
      <c r="M324" t="s">
        <v>2277</v>
      </c>
      <c r="N324" t="s">
        <v>2277</v>
      </c>
      <c r="O324" s="190" t="str">
        <f t="shared" si="5"/>
        <v>[S05_DefaultValues][40][InstallationCategory]</v>
      </c>
    </row>
    <row r="325" spans="1:15" x14ac:dyDescent="0.3">
      <c r="A325" t="s">
        <v>2278</v>
      </c>
      <c r="B325" t="s">
        <v>1847</v>
      </c>
      <c r="C325" t="s">
        <v>1855</v>
      </c>
      <c r="D325">
        <v>41</v>
      </c>
      <c r="E325" t="s">
        <v>1447</v>
      </c>
      <c r="F325" t="s">
        <v>1856</v>
      </c>
      <c r="G325" t="s">
        <v>1737</v>
      </c>
      <c r="H325" t="s">
        <v>2277</v>
      </c>
      <c r="I325" t="s">
        <v>2277</v>
      </c>
      <c r="J325" t="s">
        <v>2277</v>
      </c>
      <c r="K325" t="s">
        <v>2277</v>
      </c>
      <c r="L325" t="s">
        <v>1505</v>
      </c>
      <c r="M325" t="s">
        <v>2277</v>
      </c>
      <c r="N325" t="s">
        <v>2277</v>
      </c>
      <c r="O325" s="190" t="str">
        <f t="shared" si="5"/>
        <v>[S05_DefaultValues][41][InstallationCategory]</v>
      </c>
    </row>
    <row r="326" spans="1:15" x14ac:dyDescent="0.3">
      <c r="A326" t="s">
        <v>2278</v>
      </c>
      <c r="B326" t="s">
        <v>1847</v>
      </c>
      <c r="C326" t="s">
        <v>1855</v>
      </c>
      <c r="D326">
        <v>42</v>
      </c>
      <c r="E326" t="s">
        <v>1447</v>
      </c>
      <c r="F326" t="s">
        <v>1856</v>
      </c>
      <c r="G326" t="s">
        <v>1737</v>
      </c>
      <c r="H326" t="s">
        <v>2277</v>
      </c>
      <c r="I326" t="s">
        <v>2277</v>
      </c>
      <c r="J326" t="s">
        <v>2277</v>
      </c>
      <c r="K326" t="s">
        <v>2277</v>
      </c>
      <c r="L326" t="s">
        <v>1505</v>
      </c>
      <c r="M326" t="s">
        <v>2277</v>
      </c>
      <c r="N326" t="s">
        <v>2277</v>
      </c>
      <c r="O326" s="190" t="str">
        <f t="shared" si="5"/>
        <v>[S05_DefaultValues][42][InstallationCategory]</v>
      </c>
    </row>
    <row r="327" spans="1:15" x14ac:dyDescent="0.3">
      <c r="A327" t="s">
        <v>2278</v>
      </c>
      <c r="B327" t="s">
        <v>1847</v>
      </c>
      <c r="C327" t="s">
        <v>1855</v>
      </c>
      <c r="D327">
        <v>43</v>
      </c>
      <c r="E327" t="s">
        <v>1447</v>
      </c>
      <c r="F327" t="s">
        <v>1856</v>
      </c>
      <c r="G327" t="s">
        <v>1737</v>
      </c>
      <c r="H327" t="s">
        <v>2277</v>
      </c>
      <c r="I327" t="s">
        <v>2277</v>
      </c>
      <c r="J327" t="s">
        <v>2277</v>
      </c>
      <c r="K327" t="s">
        <v>2277</v>
      </c>
      <c r="L327" t="s">
        <v>1505</v>
      </c>
      <c r="M327" t="s">
        <v>2277</v>
      </c>
      <c r="N327" t="s">
        <v>2277</v>
      </c>
      <c r="O327" s="190" t="str">
        <f t="shared" si="5"/>
        <v>[S05_DefaultValues][43][InstallationCategory]</v>
      </c>
    </row>
    <row r="328" spans="1:15" x14ac:dyDescent="0.3">
      <c r="A328" t="s">
        <v>2278</v>
      </c>
      <c r="B328" t="s">
        <v>1847</v>
      </c>
      <c r="C328" t="s">
        <v>1855</v>
      </c>
      <c r="D328">
        <v>44</v>
      </c>
      <c r="E328" t="s">
        <v>1447</v>
      </c>
      <c r="F328" t="s">
        <v>1856</v>
      </c>
      <c r="G328" t="s">
        <v>1737</v>
      </c>
      <c r="H328" t="s">
        <v>2277</v>
      </c>
      <c r="I328" t="s">
        <v>2277</v>
      </c>
      <c r="J328" t="s">
        <v>2277</v>
      </c>
      <c r="K328" t="s">
        <v>2277</v>
      </c>
      <c r="L328" t="s">
        <v>1505</v>
      </c>
      <c r="M328" t="s">
        <v>2277</v>
      </c>
      <c r="N328" t="s">
        <v>2277</v>
      </c>
      <c r="O328" s="190" t="str">
        <f t="shared" si="5"/>
        <v>[S05_DefaultValues][44][InstallationCategory]</v>
      </c>
    </row>
    <row r="329" spans="1:15" x14ac:dyDescent="0.3">
      <c r="A329" t="s">
        <v>2278</v>
      </c>
      <c r="B329" t="s">
        <v>1847</v>
      </c>
      <c r="C329" t="s">
        <v>1855</v>
      </c>
      <c r="D329">
        <v>45</v>
      </c>
      <c r="E329" t="s">
        <v>1447</v>
      </c>
      <c r="F329" t="s">
        <v>1856</v>
      </c>
      <c r="G329" t="s">
        <v>1737</v>
      </c>
      <c r="H329" t="s">
        <v>2277</v>
      </c>
      <c r="I329" t="s">
        <v>2277</v>
      </c>
      <c r="J329" t="s">
        <v>2277</v>
      </c>
      <c r="K329" t="s">
        <v>2277</v>
      </c>
      <c r="L329" t="s">
        <v>1505</v>
      </c>
      <c r="M329" t="s">
        <v>2277</v>
      </c>
      <c r="N329" t="s">
        <v>2277</v>
      </c>
      <c r="O329" s="190" t="str">
        <f t="shared" si="5"/>
        <v>[S05_DefaultValues][45][InstallationCategory]</v>
      </c>
    </row>
    <row r="330" spans="1:15" x14ac:dyDescent="0.3">
      <c r="A330" t="s">
        <v>2278</v>
      </c>
      <c r="B330" t="s">
        <v>1847</v>
      </c>
      <c r="C330" t="s">
        <v>1855</v>
      </c>
      <c r="D330">
        <v>46</v>
      </c>
      <c r="E330" t="s">
        <v>1447</v>
      </c>
      <c r="F330" t="s">
        <v>1856</v>
      </c>
      <c r="G330" t="s">
        <v>1737</v>
      </c>
      <c r="H330" t="s">
        <v>2277</v>
      </c>
      <c r="I330" t="s">
        <v>2277</v>
      </c>
      <c r="J330" t="s">
        <v>2277</v>
      </c>
      <c r="K330" t="s">
        <v>2277</v>
      </c>
      <c r="L330" t="s">
        <v>1505</v>
      </c>
      <c r="M330" t="s">
        <v>2277</v>
      </c>
      <c r="N330" t="s">
        <v>2277</v>
      </c>
      <c r="O330" s="190" t="str">
        <f t="shared" si="5"/>
        <v>[S05_DefaultValues][46][InstallationCategory]</v>
      </c>
    </row>
    <row r="331" spans="1:15" x14ac:dyDescent="0.3">
      <c r="A331" t="s">
        <v>2278</v>
      </c>
      <c r="B331" t="s">
        <v>1847</v>
      </c>
      <c r="C331" t="s">
        <v>1855</v>
      </c>
      <c r="D331">
        <v>47</v>
      </c>
      <c r="E331" t="s">
        <v>1447</v>
      </c>
      <c r="F331" t="s">
        <v>1856</v>
      </c>
      <c r="G331" t="s">
        <v>1737</v>
      </c>
      <c r="H331" t="s">
        <v>2277</v>
      </c>
      <c r="I331" t="s">
        <v>2277</v>
      </c>
      <c r="J331" t="s">
        <v>2277</v>
      </c>
      <c r="K331" t="s">
        <v>2277</v>
      </c>
      <c r="L331" t="s">
        <v>1505</v>
      </c>
      <c r="M331" t="s">
        <v>2277</v>
      </c>
      <c r="N331" t="s">
        <v>2277</v>
      </c>
      <c r="O331" s="190" t="str">
        <f t="shared" si="5"/>
        <v>[S05_DefaultValues][47][InstallationCategory]</v>
      </c>
    </row>
    <row r="332" spans="1:15" x14ac:dyDescent="0.3">
      <c r="A332" t="s">
        <v>2278</v>
      </c>
      <c r="B332" t="s">
        <v>1847</v>
      </c>
      <c r="C332" t="s">
        <v>1855</v>
      </c>
      <c r="D332">
        <v>48</v>
      </c>
      <c r="E332" t="s">
        <v>1447</v>
      </c>
      <c r="F332" t="s">
        <v>1856</v>
      </c>
      <c r="G332" t="s">
        <v>1737</v>
      </c>
      <c r="H332" t="s">
        <v>2277</v>
      </c>
      <c r="I332" t="s">
        <v>2277</v>
      </c>
      <c r="J332" t="s">
        <v>2277</v>
      </c>
      <c r="K332" t="s">
        <v>2277</v>
      </c>
      <c r="L332" t="s">
        <v>1505</v>
      </c>
      <c r="M332" t="s">
        <v>2277</v>
      </c>
      <c r="N332" t="s">
        <v>2277</v>
      </c>
      <c r="O332" s="190" t="str">
        <f t="shared" si="5"/>
        <v>[S05_DefaultValues][48][InstallationCategory]</v>
      </c>
    </row>
    <row r="333" spans="1:15" x14ac:dyDescent="0.3">
      <c r="A333" t="s">
        <v>2278</v>
      </c>
      <c r="B333" t="s">
        <v>1847</v>
      </c>
      <c r="C333" t="s">
        <v>1855</v>
      </c>
      <c r="D333">
        <v>49</v>
      </c>
      <c r="E333" t="s">
        <v>1447</v>
      </c>
      <c r="F333" t="s">
        <v>1856</v>
      </c>
      <c r="G333" t="s">
        <v>1737</v>
      </c>
      <c r="H333" t="s">
        <v>2277</v>
      </c>
      <c r="I333" t="s">
        <v>2277</v>
      </c>
      <c r="J333" t="s">
        <v>2277</v>
      </c>
      <c r="K333" t="s">
        <v>2277</v>
      </c>
      <c r="L333" t="s">
        <v>1505</v>
      </c>
      <c r="M333" t="s">
        <v>2277</v>
      </c>
      <c r="N333" t="s">
        <v>2277</v>
      </c>
      <c r="O333" s="190" t="str">
        <f t="shared" si="5"/>
        <v>[S05_DefaultValues][49][InstallationCategory]</v>
      </c>
    </row>
    <row r="334" spans="1:15" x14ac:dyDescent="0.3">
      <c r="A334" t="s">
        <v>2278</v>
      </c>
      <c r="B334" t="s">
        <v>1847</v>
      </c>
      <c r="C334" t="s">
        <v>1855</v>
      </c>
      <c r="D334">
        <v>50</v>
      </c>
      <c r="E334" t="s">
        <v>1447</v>
      </c>
      <c r="F334" t="s">
        <v>1856</v>
      </c>
      <c r="G334" t="s">
        <v>1737</v>
      </c>
      <c r="H334" t="s">
        <v>2277</v>
      </c>
      <c r="I334" t="s">
        <v>2277</v>
      </c>
      <c r="J334" t="s">
        <v>2277</v>
      </c>
      <c r="K334" t="s">
        <v>2277</v>
      </c>
      <c r="L334" t="s">
        <v>1427</v>
      </c>
      <c r="M334" t="s">
        <v>2277</v>
      </c>
      <c r="N334" t="s">
        <v>2277</v>
      </c>
      <c r="O334" s="190" t="str">
        <f t="shared" si="5"/>
        <v>[S05_DefaultValues][50][InstallationCategory]</v>
      </c>
    </row>
    <row r="335" spans="1:15" x14ac:dyDescent="0.3">
      <c r="A335" t="s">
        <v>2278</v>
      </c>
      <c r="B335" t="s">
        <v>1847</v>
      </c>
      <c r="C335" t="s">
        <v>1855</v>
      </c>
      <c r="D335">
        <v>51</v>
      </c>
      <c r="E335" t="s">
        <v>1447</v>
      </c>
      <c r="F335" t="s">
        <v>1856</v>
      </c>
      <c r="G335" t="s">
        <v>1737</v>
      </c>
      <c r="H335" t="s">
        <v>2277</v>
      </c>
      <c r="I335" t="s">
        <v>2277</v>
      </c>
      <c r="J335" t="s">
        <v>2277</v>
      </c>
      <c r="K335" t="s">
        <v>2277</v>
      </c>
      <c r="L335" t="s">
        <v>1427</v>
      </c>
      <c r="M335" t="s">
        <v>2277</v>
      </c>
      <c r="N335" t="s">
        <v>2277</v>
      </c>
      <c r="O335" s="190" t="str">
        <f t="shared" si="5"/>
        <v>[S05_DefaultValues][51][InstallationCategory]</v>
      </c>
    </row>
    <row r="336" spans="1:15" x14ac:dyDescent="0.3">
      <c r="A336" t="s">
        <v>2278</v>
      </c>
      <c r="B336" t="s">
        <v>1847</v>
      </c>
      <c r="C336" t="s">
        <v>1855</v>
      </c>
      <c r="D336">
        <v>52</v>
      </c>
      <c r="E336" t="s">
        <v>1447</v>
      </c>
      <c r="F336" t="s">
        <v>1856</v>
      </c>
      <c r="G336" t="s">
        <v>1737</v>
      </c>
      <c r="H336" t="s">
        <v>2277</v>
      </c>
      <c r="I336" t="s">
        <v>2277</v>
      </c>
      <c r="J336" t="s">
        <v>2277</v>
      </c>
      <c r="K336" t="s">
        <v>2277</v>
      </c>
      <c r="L336" t="s">
        <v>1427</v>
      </c>
      <c r="M336" t="s">
        <v>2277</v>
      </c>
      <c r="N336" t="s">
        <v>2277</v>
      </c>
      <c r="O336" s="190" t="str">
        <f t="shared" si="5"/>
        <v>[S05_DefaultValues][52][InstallationCategory]</v>
      </c>
    </row>
    <row r="337" spans="1:15" x14ac:dyDescent="0.3">
      <c r="A337" t="s">
        <v>2278</v>
      </c>
      <c r="B337" t="s">
        <v>1847</v>
      </c>
      <c r="C337" t="s">
        <v>1855</v>
      </c>
      <c r="D337">
        <v>53</v>
      </c>
      <c r="E337" t="s">
        <v>1447</v>
      </c>
      <c r="F337" t="s">
        <v>1856</v>
      </c>
      <c r="G337" t="s">
        <v>1737</v>
      </c>
      <c r="H337" t="s">
        <v>2277</v>
      </c>
      <c r="I337" t="s">
        <v>2277</v>
      </c>
      <c r="J337" t="s">
        <v>2277</v>
      </c>
      <c r="K337" t="s">
        <v>2277</v>
      </c>
      <c r="L337" t="s">
        <v>1427</v>
      </c>
      <c r="M337" t="s">
        <v>2277</v>
      </c>
      <c r="N337" t="s">
        <v>2277</v>
      </c>
      <c r="O337" s="190" t="str">
        <f t="shared" si="5"/>
        <v>[S05_DefaultValues][53][InstallationCategory]</v>
      </c>
    </row>
    <row r="338" spans="1:15" x14ac:dyDescent="0.3">
      <c r="A338" t="s">
        <v>2278</v>
      </c>
      <c r="B338" t="s">
        <v>1847</v>
      </c>
      <c r="C338" t="s">
        <v>1855</v>
      </c>
      <c r="D338">
        <v>54</v>
      </c>
      <c r="E338" t="s">
        <v>1447</v>
      </c>
      <c r="F338" t="s">
        <v>1856</v>
      </c>
      <c r="G338" t="s">
        <v>1737</v>
      </c>
      <c r="H338" t="s">
        <v>2277</v>
      </c>
      <c r="I338" t="s">
        <v>2277</v>
      </c>
      <c r="J338" t="s">
        <v>2277</v>
      </c>
      <c r="K338" t="s">
        <v>2277</v>
      </c>
      <c r="L338" t="s">
        <v>1427</v>
      </c>
      <c r="M338" t="s">
        <v>2277</v>
      </c>
      <c r="N338" t="s">
        <v>2277</v>
      </c>
      <c r="O338" s="190" t="str">
        <f t="shared" si="5"/>
        <v>[S05_DefaultValues][54][InstallationCategory]</v>
      </c>
    </row>
    <row r="339" spans="1:15" x14ac:dyDescent="0.3">
      <c r="A339" t="s">
        <v>2278</v>
      </c>
      <c r="B339" t="s">
        <v>1847</v>
      </c>
      <c r="C339" t="s">
        <v>1855</v>
      </c>
      <c r="D339">
        <v>55</v>
      </c>
      <c r="E339" t="s">
        <v>1447</v>
      </c>
      <c r="F339" t="s">
        <v>1856</v>
      </c>
      <c r="G339" t="s">
        <v>1737</v>
      </c>
      <c r="H339" t="s">
        <v>2277</v>
      </c>
      <c r="I339" t="s">
        <v>2277</v>
      </c>
      <c r="J339" t="s">
        <v>2277</v>
      </c>
      <c r="K339" t="s">
        <v>2277</v>
      </c>
      <c r="L339" t="s">
        <v>1427</v>
      </c>
      <c r="M339" t="s">
        <v>2277</v>
      </c>
      <c r="N339" t="s">
        <v>2277</v>
      </c>
      <c r="O339" s="190" t="str">
        <f t="shared" si="5"/>
        <v>[S05_DefaultValues][55][InstallationCategory]</v>
      </c>
    </row>
    <row r="340" spans="1:15" x14ac:dyDescent="0.3">
      <c r="A340" t="s">
        <v>2278</v>
      </c>
      <c r="B340" t="s">
        <v>1847</v>
      </c>
      <c r="C340" t="s">
        <v>1855</v>
      </c>
      <c r="D340">
        <v>56</v>
      </c>
      <c r="E340" t="s">
        <v>1447</v>
      </c>
      <c r="F340" t="s">
        <v>1856</v>
      </c>
      <c r="G340" t="s">
        <v>1737</v>
      </c>
      <c r="H340" t="s">
        <v>2277</v>
      </c>
      <c r="I340" t="s">
        <v>2277</v>
      </c>
      <c r="J340" t="s">
        <v>2277</v>
      </c>
      <c r="K340" t="s">
        <v>2277</v>
      </c>
      <c r="L340" t="s">
        <v>1427</v>
      </c>
      <c r="M340" t="s">
        <v>2277</v>
      </c>
      <c r="N340" t="s">
        <v>2277</v>
      </c>
      <c r="O340" s="190" t="str">
        <f t="shared" si="5"/>
        <v>[S05_DefaultValues][56][InstallationCategory]</v>
      </c>
    </row>
    <row r="341" spans="1:15" x14ac:dyDescent="0.3">
      <c r="A341" t="s">
        <v>2278</v>
      </c>
      <c r="B341" t="s">
        <v>1847</v>
      </c>
      <c r="C341" t="s">
        <v>1855</v>
      </c>
      <c r="D341">
        <v>57</v>
      </c>
      <c r="E341" t="s">
        <v>1447</v>
      </c>
      <c r="F341" t="s">
        <v>1856</v>
      </c>
      <c r="G341" t="s">
        <v>1737</v>
      </c>
      <c r="H341" t="s">
        <v>2277</v>
      </c>
      <c r="I341" t="s">
        <v>2277</v>
      </c>
      <c r="J341" t="s">
        <v>2277</v>
      </c>
      <c r="K341" t="s">
        <v>2277</v>
      </c>
      <c r="L341" t="s">
        <v>1427</v>
      </c>
      <c r="M341" t="s">
        <v>2277</v>
      </c>
      <c r="N341" t="s">
        <v>2277</v>
      </c>
      <c r="O341" s="190" t="str">
        <f t="shared" si="5"/>
        <v>[S05_DefaultValues][57][InstallationCategory]</v>
      </c>
    </row>
    <row r="342" spans="1:15" x14ac:dyDescent="0.3">
      <c r="A342" t="s">
        <v>2278</v>
      </c>
      <c r="B342" t="s">
        <v>1847</v>
      </c>
      <c r="C342" t="s">
        <v>1855</v>
      </c>
      <c r="D342">
        <v>58</v>
      </c>
      <c r="E342" t="s">
        <v>1447</v>
      </c>
      <c r="F342" t="s">
        <v>1856</v>
      </c>
      <c r="G342" t="s">
        <v>1737</v>
      </c>
      <c r="H342" t="s">
        <v>2277</v>
      </c>
      <c r="I342" t="s">
        <v>2277</v>
      </c>
      <c r="J342" t="s">
        <v>2277</v>
      </c>
      <c r="K342" t="s">
        <v>2277</v>
      </c>
      <c r="L342" t="s">
        <v>1427</v>
      </c>
      <c r="M342" t="s">
        <v>2277</v>
      </c>
      <c r="N342" t="s">
        <v>2277</v>
      </c>
      <c r="O342" s="190" t="str">
        <f t="shared" si="5"/>
        <v>[S05_DefaultValues][58][InstallationCategory]</v>
      </c>
    </row>
    <row r="343" spans="1:15" x14ac:dyDescent="0.3">
      <c r="A343" t="s">
        <v>2278</v>
      </c>
      <c r="B343" t="s">
        <v>1847</v>
      </c>
      <c r="C343" t="s">
        <v>1855</v>
      </c>
      <c r="D343">
        <v>59</v>
      </c>
      <c r="E343" t="s">
        <v>1447</v>
      </c>
      <c r="F343" t="s">
        <v>1856</v>
      </c>
      <c r="G343" t="s">
        <v>1737</v>
      </c>
      <c r="H343" t="s">
        <v>2277</v>
      </c>
      <c r="I343" t="s">
        <v>2277</v>
      </c>
      <c r="J343" t="s">
        <v>2277</v>
      </c>
      <c r="K343" t="s">
        <v>2277</v>
      </c>
      <c r="L343" t="s">
        <v>1427</v>
      </c>
      <c r="M343" t="s">
        <v>2277</v>
      </c>
      <c r="N343" t="s">
        <v>2277</v>
      </c>
      <c r="O343" s="190" t="str">
        <f t="shared" si="5"/>
        <v>[S05_DefaultValues][59][InstallationCategory]</v>
      </c>
    </row>
    <row r="344" spans="1:15" x14ac:dyDescent="0.3">
      <c r="A344" t="s">
        <v>2278</v>
      </c>
      <c r="B344" t="s">
        <v>1847</v>
      </c>
      <c r="C344" t="s">
        <v>1855</v>
      </c>
      <c r="D344">
        <v>60</v>
      </c>
      <c r="E344" t="s">
        <v>1447</v>
      </c>
      <c r="F344" t="s">
        <v>1856</v>
      </c>
      <c r="G344" t="s">
        <v>1737</v>
      </c>
      <c r="H344" t="s">
        <v>2277</v>
      </c>
      <c r="I344" t="s">
        <v>2277</v>
      </c>
      <c r="J344" t="s">
        <v>2277</v>
      </c>
      <c r="K344" t="s">
        <v>2277</v>
      </c>
      <c r="L344" t="s">
        <v>1427</v>
      </c>
      <c r="M344" t="s">
        <v>2277</v>
      </c>
      <c r="N344" t="s">
        <v>2277</v>
      </c>
      <c r="O344" s="190" t="str">
        <f t="shared" si="5"/>
        <v>[S05_DefaultValues][60][InstallationCategory]</v>
      </c>
    </row>
    <row r="345" spans="1:15" x14ac:dyDescent="0.3">
      <c r="A345" t="s">
        <v>2278</v>
      </c>
      <c r="B345" t="s">
        <v>1847</v>
      </c>
      <c r="C345" t="s">
        <v>1855</v>
      </c>
      <c r="D345">
        <v>61</v>
      </c>
      <c r="E345" t="s">
        <v>1447</v>
      </c>
      <c r="F345" t="s">
        <v>1856</v>
      </c>
      <c r="G345" t="s">
        <v>1737</v>
      </c>
      <c r="H345" t="s">
        <v>2277</v>
      </c>
      <c r="I345" t="s">
        <v>2277</v>
      </c>
      <c r="J345" t="s">
        <v>2277</v>
      </c>
      <c r="K345" t="s">
        <v>2277</v>
      </c>
      <c r="L345" t="s">
        <v>1427</v>
      </c>
      <c r="M345" t="s">
        <v>2277</v>
      </c>
      <c r="N345" t="s">
        <v>2277</v>
      </c>
      <c r="O345" s="190" t="str">
        <f t="shared" si="5"/>
        <v>[S05_DefaultValues][61][InstallationCategory]</v>
      </c>
    </row>
    <row r="346" spans="1:15" x14ac:dyDescent="0.3">
      <c r="A346" t="s">
        <v>2278</v>
      </c>
      <c r="B346" t="s">
        <v>1847</v>
      </c>
      <c r="C346" t="s">
        <v>1855</v>
      </c>
      <c r="D346">
        <v>62</v>
      </c>
      <c r="E346" t="s">
        <v>1447</v>
      </c>
      <c r="F346" t="s">
        <v>1856</v>
      </c>
      <c r="G346" t="s">
        <v>1737</v>
      </c>
      <c r="H346" t="s">
        <v>2277</v>
      </c>
      <c r="I346" t="s">
        <v>2277</v>
      </c>
      <c r="J346" t="s">
        <v>2277</v>
      </c>
      <c r="K346" t="s">
        <v>2277</v>
      </c>
      <c r="L346" t="s">
        <v>1427</v>
      </c>
      <c r="M346" t="s">
        <v>2277</v>
      </c>
      <c r="N346" t="s">
        <v>2277</v>
      </c>
      <c r="O346" s="190" t="str">
        <f t="shared" si="5"/>
        <v>[S05_DefaultValues][62][InstallationCategory]</v>
      </c>
    </row>
    <row r="347" spans="1:15" x14ac:dyDescent="0.3">
      <c r="A347" t="s">
        <v>2278</v>
      </c>
      <c r="B347" t="s">
        <v>1847</v>
      </c>
      <c r="C347" t="s">
        <v>1855</v>
      </c>
      <c r="D347">
        <v>63</v>
      </c>
      <c r="E347" t="s">
        <v>1447</v>
      </c>
      <c r="F347" t="s">
        <v>1856</v>
      </c>
      <c r="G347" t="s">
        <v>1737</v>
      </c>
      <c r="H347" t="s">
        <v>2277</v>
      </c>
      <c r="I347" t="s">
        <v>2277</v>
      </c>
      <c r="J347" t="s">
        <v>2277</v>
      </c>
      <c r="K347" t="s">
        <v>2277</v>
      </c>
      <c r="L347" t="s">
        <v>1427</v>
      </c>
      <c r="M347" t="s">
        <v>2277</v>
      </c>
      <c r="N347" t="s">
        <v>2277</v>
      </c>
      <c r="O347" s="190" t="str">
        <f t="shared" si="5"/>
        <v>[S05_DefaultValues][63][InstallationCategory]</v>
      </c>
    </row>
    <row r="348" spans="1:15" x14ac:dyDescent="0.3">
      <c r="A348" t="s">
        <v>2278</v>
      </c>
      <c r="B348" t="s">
        <v>1847</v>
      </c>
      <c r="C348" t="s">
        <v>1855</v>
      </c>
      <c r="D348">
        <v>64</v>
      </c>
      <c r="E348" t="s">
        <v>1447</v>
      </c>
      <c r="F348" t="s">
        <v>1856</v>
      </c>
      <c r="G348" t="s">
        <v>1737</v>
      </c>
      <c r="H348" t="s">
        <v>2277</v>
      </c>
      <c r="I348" t="s">
        <v>2277</v>
      </c>
      <c r="J348" t="s">
        <v>2277</v>
      </c>
      <c r="K348" t="s">
        <v>2277</v>
      </c>
      <c r="L348" t="s">
        <v>1427</v>
      </c>
      <c r="M348" t="s">
        <v>2277</v>
      </c>
      <c r="N348" t="s">
        <v>2277</v>
      </c>
      <c r="O348" s="190" t="str">
        <f t="shared" si="5"/>
        <v>[S05_DefaultValues][64][InstallationCategory]</v>
      </c>
    </row>
    <row r="349" spans="1:15" x14ac:dyDescent="0.3">
      <c r="A349" t="s">
        <v>2278</v>
      </c>
      <c r="B349" t="s">
        <v>1847</v>
      </c>
      <c r="C349" t="s">
        <v>1855</v>
      </c>
      <c r="D349">
        <v>65</v>
      </c>
      <c r="E349" t="s">
        <v>1447</v>
      </c>
      <c r="F349" t="s">
        <v>1856</v>
      </c>
      <c r="G349" t="s">
        <v>1737</v>
      </c>
      <c r="H349" t="s">
        <v>2277</v>
      </c>
      <c r="I349" t="s">
        <v>2277</v>
      </c>
      <c r="J349" t="s">
        <v>2277</v>
      </c>
      <c r="K349" t="s">
        <v>2277</v>
      </c>
      <c r="L349" t="s">
        <v>1427</v>
      </c>
      <c r="M349" t="s">
        <v>2277</v>
      </c>
      <c r="N349" t="s">
        <v>2277</v>
      </c>
      <c r="O349" s="190" t="str">
        <f t="shared" si="5"/>
        <v>[S05_DefaultValues][65][InstallationCategory]</v>
      </c>
    </row>
    <row r="350" spans="1:15" x14ac:dyDescent="0.3">
      <c r="A350" t="s">
        <v>2278</v>
      </c>
      <c r="B350" t="s">
        <v>1847</v>
      </c>
      <c r="C350" t="s">
        <v>1855</v>
      </c>
      <c r="D350">
        <v>66</v>
      </c>
      <c r="E350" t="s">
        <v>1447</v>
      </c>
      <c r="F350" t="s">
        <v>1856</v>
      </c>
      <c r="G350" t="s">
        <v>1737</v>
      </c>
      <c r="H350" t="s">
        <v>2277</v>
      </c>
      <c r="I350" t="s">
        <v>2277</v>
      </c>
      <c r="J350" t="s">
        <v>2277</v>
      </c>
      <c r="K350" t="s">
        <v>2277</v>
      </c>
      <c r="L350" t="s">
        <v>1427</v>
      </c>
      <c r="M350" t="s">
        <v>2277</v>
      </c>
      <c r="N350" t="s">
        <v>2277</v>
      </c>
      <c r="O350" s="190" t="str">
        <f t="shared" si="5"/>
        <v>[S05_DefaultValues][66][InstallationCategory]</v>
      </c>
    </row>
    <row r="351" spans="1:15" x14ac:dyDescent="0.3">
      <c r="A351" t="s">
        <v>2278</v>
      </c>
      <c r="B351" t="s">
        <v>1847</v>
      </c>
      <c r="C351" t="s">
        <v>1855</v>
      </c>
      <c r="D351">
        <v>67</v>
      </c>
      <c r="E351" t="s">
        <v>1447</v>
      </c>
      <c r="F351" t="s">
        <v>1856</v>
      </c>
      <c r="G351" t="s">
        <v>1737</v>
      </c>
      <c r="H351" t="s">
        <v>2277</v>
      </c>
      <c r="I351" t="s">
        <v>2277</v>
      </c>
      <c r="J351" t="s">
        <v>2277</v>
      </c>
      <c r="K351" t="s">
        <v>2277</v>
      </c>
      <c r="L351" t="s">
        <v>1427</v>
      </c>
      <c r="M351" t="s">
        <v>2277</v>
      </c>
      <c r="N351" t="s">
        <v>2277</v>
      </c>
      <c r="O351" s="190" t="str">
        <f t="shared" si="5"/>
        <v>[S05_DefaultValues][67][InstallationCategory]</v>
      </c>
    </row>
    <row r="352" spans="1:15" x14ac:dyDescent="0.3">
      <c r="A352" t="s">
        <v>2278</v>
      </c>
      <c r="B352" t="s">
        <v>1847</v>
      </c>
      <c r="C352" t="s">
        <v>1855</v>
      </c>
      <c r="D352">
        <v>68</v>
      </c>
      <c r="E352" t="s">
        <v>1447</v>
      </c>
      <c r="F352" t="s">
        <v>1856</v>
      </c>
      <c r="G352" t="s">
        <v>1737</v>
      </c>
      <c r="H352" t="s">
        <v>2277</v>
      </c>
      <c r="I352" t="s">
        <v>2277</v>
      </c>
      <c r="J352" t="s">
        <v>2277</v>
      </c>
      <c r="K352" t="s">
        <v>2277</v>
      </c>
      <c r="L352" t="s">
        <v>1427</v>
      </c>
      <c r="M352" t="s">
        <v>2277</v>
      </c>
      <c r="N352" t="s">
        <v>2277</v>
      </c>
      <c r="O352" s="190" t="str">
        <f t="shared" si="5"/>
        <v>[S05_DefaultValues][68][InstallationCategory]</v>
      </c>
    </row>
    <row r="353" spans="1:15" x14ac:dyDescent="0.3">
      <c r="A353" t="s">
        <v>2278</v>
      </c>
      <c r="B353" t="s">
        <v>1847</v>
      </c>
      <c r="C353" t="s">
        <v>1855</v>
      </c>
      <c r="D353">
        <v>69</v>
      </c>
      <c r="E353" t="s">
        <v>1447</v>
      </c>
      <c r="F353" t="s">
        <v>1856</v>
      </c>
      <c r="G353" t="s">
        <v>1737</v>
      </c>
      <c r="H353" t="s">
        <v>2277</v>
      </c>
      <c r="I353" t="s">
        <v>2277</v>
      </c>
      <c r="J353" t="s">
        <v>2277</v>
      </c>
      <c r="K353" t="s">
        <v>2277</v>
      </c>
      <c r="L353" t="s">
        <v>1427</v>
      </c>
      <c r="M353" t="s">
        <v>2277</v>
      </c>
      <c r="N353" t="s">
        <v>2277</v>
      </c>
      <c r="O353" s="190" t="str">
        <f t="shared" si="5"/>
        <v>[S05_DefaultValues][69][InstallationCategory]</v>
      </c>
    </row>
    <row r="354" spans="1:15" x14ac:dyDescent="0.3">
      <c r="A354" t="s">
        <v>2278</v>
      </c>
      <c r="B354" t="s">
        <v>1847</v>
      </c>
      <c r="C354" t="s">
        <v>1855</v>
      </c>
      <c r="D354">
        <v>70</v>
      </c>
      <c r="E354" t="s">
        <v>1447</v>
      </c>
      <c r="F354" t="s">
        <v>1856</v>
      </c>
      <c r="G354" t="s">
        <v>1737</v>
      </c>
      <c r="H354" t="s">
        <v>2277</v>
      </c>
      <c r="I354" t="s">
        <v>2277</v>
      </c>
      <c r="J354" t="s">
        <v>2277</v>
      </c>
      <c r="K354" t="s">
        <v>2277</v>
      </c>
      <c r="L354" t="s">
        <v>1427</v>
      </c>
      <c r="M354" t="s">
        <v>2277</v>
      </c>
      <c r="N354" t="s">
        <v>2277</v>
      </c>
      <c r="O354" s="190" t="str">
        <f t="shared" si="5"/>
        <v>[S05_DefaultValues][70][InstallationCategory]</v>
      </c>
    </row>
    <row r="355" spans="1:15" x14ac:dyDescent="0.3">
      <c r="A355" t="s">
        <v>2278</v>
      </c>
      <c r="B355" t="s">
        <v>1847</v>
      </c>
      <c r="C355" t="s">
        <v>1855</v>
      </c>
      <c r="D355">
        <v>71</v>
      </c>
      <c r="E355" t="s">
        <v>1447</v>
      </c>
      <c r="F355" t="s">
        <v>1856</v>
      </c>
      <c r="G355" t="s">
        <v>1737</v>
      </c>
      <c r="H355" t="s">
        <v>2277</v>
      </c>
      <c r="I355" t="s">
        <v>2277</v>
      </c>
      <c r="J355" t="s">
        <v>2277</v>
      </c>
      <c r="K355" t="s">
        <v>2277</v>
      </c>
      <c r="L355" t="s">
        <v>1427</v>
      </c>
      <c r="M355" t="s">
        <v>2277</v>
      </c>
      <c r="N355" t="s">
        <v>2277</v>
      </c>
      <c r="O355" s="190" t="str">
        <f t="shared" si="5"/>
        <v>[S05_DefaultValues][71][InstallationCategory]</v>
      </c>
    </row>
    <row r="356" spans="1:15" x14ac:dyDescent="0.3">
      <c r="A356" t="s">
        <v>2278</v>
      </c>
      <c r="B356" t="s">
        <v>1847</v>
      </c>
      <c r="C356" t="s">
        <v>1855</v>
      </c>
      <c r="D356">
        <v>72</v>
      </c>
      <c r="E356" t="s">
        <v>1447</v>
      </c>
      <c r="F356" t="s">
        <v>1856</v>
      </c>
      <c r="G356" t="s">
        <v>1737</v>
      </c>
      <c r="H356" t="s">
        <v>2277</v>
      </c>
      <c r="I356" t="s">
        <v>2277</v>
      </c>
      <c r="J356" t="s">
        <v>2277</v>
      </c>
      <c r="K356" t="s">
        <v>2277</v>
      </c>
      <c r="L356" t="s">
        <v>1427</v>
      </c>
      <c r="M356" t="s">
        <v>2277</v>
      </c>
      <c r="N356" t="s">
        <v>2277</v>
      </c>
      <c r="O356" s="190" t="str">
        <f t="shared" si="5"/>
        <v>[S05_DefaultValues][72][InstallationCategory]</v>
      </c>
    </row>
    <row r="357" spans="1:15" x14ac:dyDescent="0.3">
      <c r="A357" t="s">
        <v>2278</v>
      </c>
      <c r="B357" t="s">
        <v>1847</v>
      </c>
      <c r="C357" t="s">
        <v>1855</v>
      </c>
      <c r="D357">
        <v>73</v>
      </c>
      <c r="E357" t="s">
        <v>1447</v>
      </c>
      <c r="F357" t="s">
        <v>1856</v>
      </c>
      <c r="G357" t="s">
        <v>1737</v>
      </c>
      <c r="H357" t="s">
        <v>2277</v>
      </c>
      <c r="I357" t="s">
        <v>2277</v>
      </c>
      <c r="J357" t="s">
        <v>2277</v>
      </c>
      <c r="K357" t="s">
        <v>2277</v>
      </c>
      <c r="L357" t="s">
        <v>1427</v>
      </c>
      <c r="M357" t="s">
        <v>2277</v>
      </c>
      <c r="N357" t="s">
        <v>2277</v>
      </c>
      <c r="O357" s="190" t="str">
        <f t="shared" si="5"/>
        <v>[S05_DefaultValues][73][InstallationCategory]</v>
      </c>
    </row>
    <row r="358" spans="1:15" x14ac:dyDescent="0.3">
      <c r="A358" t="s">
        <v>2278</v>
      </c>
      <c r="B358" t="s">
        <v>1847</v>
      </c>
      <c r="C358" t="s">
        <v>1855</v>
      </c>
      <c r="D358">
        <v>74</v>
      </c>
      <c r="E358" t="s">
        <v>1447</v>
      </c>
      <c r="F358" t="s">
        <v>1856</v>
      </c>
      <c r="G358" t="s">
        <v>1737</v>
      </c>
      <c r="H358" t="s">
        <v>2277</v>
      </c>
      <c r="I358" t="s">
        <v>2277</v>
      </c>
      <c r="J358" t="s">
        <v>2277</v>
      </c>
      <c r="K358" t="s">
        <v>2277</v>
      </c>
      <c r="L358" t="s">
        <v>1427</v>
      </c>
      <c r="M358" t="s">
        <v>2277</v>
      </c>
      <c r="N358" t="s">
        <v>2277</v>
      </c>
      <c r="O358" s="190" t="str">
        <f t="shared" si="5"/>
        <v>[S05_DefaultValues][74][InstallationCategory]</v>
      </c>
    </row>
    <row r="359" spans="1:15" x14ac:dyDescent="0.3">
      <c r="A359" t="s">
        <v>2278</v>
      </c>
      <c r="B359" t="s">
        <v>1847</v>
      </c>
      <c r="C359" t="s">
        <v>1855</v>
      </c>
      <c r="D359">
        <v>75</v>
      </c>
      <c r="E359" t="s">
        <v>1447</v>
      </c>
      <c r="F359" t="s">
        <v>1856</v>
      </c>
      <c r="G359" t="s">
        <v>1737</v>
      </c>
      <c r="H359" t="s">
        <v>2277</v>
      </c>
      <c r="I359" t="s">
        <v>2277</v>
      </c>
      <c r="J359" t="s">
        <v>2277</v>
      </c>
      <c r="K359" t="s">
        <v>2277</v>
      </c>
      <c r="L359" t="s">
        <v>1427</v>
      </c>
      <c r="M359" t="s">
        <v>2277</v>
      </c>
      <c r="N359" t="s">
        <v>2277</v>
      </c>
      <c r="O359" s="190" t="str">
        <f t="shared" si="5"/>
        <v>[S05_DefaultValues][75][InstallationCategory]</v>
      </c>
    </row>
    <row r="360" spans="1:15" x14ac:dyDescent="0.3">
      <c r="A360" t="s">
        <v>2278</v>
      </c>
      <c r="B360" t="s">
        <v>1847</v>
      </c>
      <c r="C360" t="s">
        <v>1855</v>
      </c>
      <c r="D360">
        <v>76</v>
      </c>
      <c r="E360" t="s">
        <v>1447</v>
      </c>
      <c r="F360" t="s">
        <v>1856</v>
      </c>
      <c r="G360" t="s">
        <v>1737</v>
      </c>
      <c r="H360" t="s">
        <v>2277</v>
      </c>
      <c r="I360" t="s">
        <v>2277</v>
      </c>
      <c r="J360" t="s">
        <v>2277</v>
      </c>
      <c r="K360" t="s">
        <v>2277</v>
      </c>
      <c r="L360" t="s">
        <v>1427</v>
      </c>
      <c r="M360" t="s">
        <v>2277</v>
      </c>
      <c r="N360" t="s">
        <v>2277</v>
      </c>
      <c r="O360" s="190" t="str">
        <f t="shared" si="5"/>
        <v>[S05_DefaultValues][76][InstallationCategory]</v>
      </c>
    </row>
    <row r="361" spans="1:15" x14ac:dyDescent="0.3">
      <c r="A361" t="s">
        <v>2278</v>
      </c>
      <c r="B361" t="s">
        <v>1847</v>
      </c>
      <c r="C361" t="s">
        <v>1855</v>
      </c>
      <c r="D361">
        <v>77</v>
      </c>
      <c r="E361" t="s">
        <v>1447</v>
      </c>
      <c r="F361" t="s">
        <v>1856</v>
      </c>
      <c r="G361" t="s">
        <v>1737</v>
      </c>
      <c r="H361" t="s">
        <v>2277</v>
      </c>
      <c r="I361" t="s">
        <v>2277</v>
      </c>
      <c r="J361" t="s">
        <v>2277</v>
      </c>
      <c r="K361" t="s">
        <v>2277</v>
      </c>
      <c r="L361" t="s">
        <v>1427</v>
      </c>
      <c r="M361" t="s">
        <v>2277</v>
      </c>
      <c r="N361" t="s">
        <v>2277</v>
      </c>
      <c r="O361" s="190" t="str">
        <f t="shared" si="5"/>
        <v>[S05_DefaultValues][77][InstallationCategory]</v>
      </c>
    </row>
    <row r="362" spans="1:15" x14ac:dyDescent="0.3">
      <c r="A362" t="s">
        <v>2278</v>
      </c>
      <c r="B362" t="s">
        <v>1847</v>
      </c>
      <c r="C362" t="s">
        <v>1855</v>
      </c>
      <c r="D362">
        <v>78</v>
      </c>
      <c r="E362" t="s">
        <v>1447</v>
      </c>
      <c r="F362" t="s">
        <v>1856</v>
      </c>
      <c r="G362" t="s">
        <v>1737</v>
      </c>
      <c r="H362" t="s">
        <v>2277</v>
      </c>
      <c r="I362" t="s">
        <v>2277</v>
      </c>
      <c r="J362" t="s">
        <v>2277</v>
      </c>
      <c r="K362" t="s">
        <v>2277</v>
      </c>
      <c r="L362" t="s">
        <v>1427</v>
      </c>
      <c r="M362" t="s">
        <v>2277</v>
      </c>
      <c r="N362" t="s">
        <v>2277</v>
      </c>
      <c r="O362" s="190" t="str">
        <f t="shared" si="5"/>
        <v>[S05_DefaultValues][78][InstallationCategory]</v>
      </c>
    </row>
    <row r="363" spans="1:15" x14ac:dyDescent="0.3">
      <c r="A363" t="s">
        <v>2278</v>
      </c>
      <c r="B363" t="s">
        <v>1847</v>
      </c>
      <c r="C363" t="s">
        <v>1855</v>
      </c>
      <c r="D363">
        <v>79</v>
      </c>
      <c r="E363" t="s">
        <v>1447</v>
      </c>
      <c r="F363" t="s">
        <v>1856</v>
      </c>
      <c r="G363" t="s">
        <v>1737</v>
      </c>
      <c r="H363" t="s">
        <v>2277</v>
      </c>
      <c r="I363" t="s">
        <v>2277</v>
      </c>
      <c r="J363" t="s">
        <v>2277</v>
      </c>
      <c r="K363" t="s">
        <v>2277</v>
      </c>
      <c r="L363" t="s">
        <v>1427</v>
      </c>
      <c r="M363" t="s">
        <v>2277</v>
      </c>
      <c r="N363" t="s">
        <v>2277</v>
      </c>
      <c r="O363" s="190" t="str">
        <f t="shared" si="5"/>
        <v>[S05_DefaultValues][79][InstallationCategory]</v>
      </c>
    </row>
    <row r="364" spans="1:15" x14ac:dyDescent="0.3">
      <c r="A364" t="s">
        <v>2278</v>
      </c>
      <c r="B364" t="s">
        <v>1847</v>
      </c>
      <c r="C364" t="s">
        <v>1855</v>
      </c>
      <c r="D364">
        <v>80</v>
      </c>
      <c r="E364" t="s">
        <v>1447</v>
      </c>
      <c r="F364" t="s">
        <v>1856</v>
      </c>
      <c r="G364" t="s">
        <v>1737</v>
      </c>
      <c r="H364" t="s">
        <v>2277</v>
      </c>
      <c r="I364" t="s">
        <v>2277</v>
      </c>
      <c r="J364" t="s">
        <v>2277</v>
      </c>
      <c r="K364" t="s">
        <v>2277</v>
      </c>
      <c r="L364" t="s">
        <v>1427</v>
      </c>
      <c r="M364" t="s">
        <v>2277</v>
      </c>
      <c r="N364" t="s">
        <v>2277</v>
      </c>
      <c r="O364" s="190" t="str">
        <f t="shared" si="5"/>
        <v>[S05_DefaultValues][80][InstallationCategory]</v>
      </c>
    </row>
    <row r="365" spans="1:15" x14ac:dyDescent="0.3">
      <c r="A365" t="s">
        <v>2278</v>
      </c>
      <c r="B365" t="s">
        <v>1847</v>
      </c>
      <c r="C365" t="s">
        <v>1855</v>
      </c>
      <c r="D365">
        <v>81</v>
      </c>
      <c r="E365" t="s">
        <v>1447</v>
      </c>
      <c r="F365" t="s">
        <v>1856</v>
      </c>
      <c r="G365" t="s">
        <v>1737</v>
      </c>
      <c r="H365" t="s">
        <v>2277</v>
      </c>
      <c r="I365" t="s">
        <v>2277</v>
      </c>
      <c r="J365" t="s">
        <v>2277</v>
      </c>
      <c r="K365" t="s">
        <v>2277</v>
      </c>
      <c r="L365" t="s">
        <v>1427</v>
      </c>
      <c r="M365" t="s">
        <v>2277</v>
      </c>
      <c r="N365" t="s">
        <v>2277</v>
      </c>
      <c r="O365" s="190" t="str">
        <f t="shared" si="5"/>
        <v>[S05_DefaultValues][81][InstallationCategory]</v>
      </c>
    </row>
    <row r="366" spans="1:15" x14ac:dyDescent="0.3">
      <c r="A366" t="s">
        <v>2278</v>
      </c>
      <c r="B366" t="s">
        <v>1847</v>
      </c>
      <c r="C366" t="s">
        <v>1855</v>
      </c>
      <c r="D366">
        <v>82</v>
      </c>
      <c r="E366" t="s">
        <v>1447</v>
      </c>
      <c r="F366" t="s">
        <v>1856</v>
      </c>
      <c r="G366" t="s">
        <v>1737</v>
      </c>
      <c r="H366" t="s">
        <v>2277</v>
      </c>
      <c r="I366" t="s">
        <v>2277</v>
      </c>
      <c r="J366" t="s">
        <v>2277</v>
      </c>
      <c r="K366" t="s">
        <v>2277</v>
      </c>
      <c r="L366" t="s">
        <v>1427</v>
      </c>
      <c r="M366" t="s">
        <v>2277</v>
      </c>
      <c r="N366" t="s">
        <v>2277</v>
      </c>
      <c r="O366" s="190" t="str">
        <f t="shared" si="5"/>
        <v>[S05_DefaultValues][82][InstallationCategory]</v>
      </c>
    </row>
    <row r="367" spans="1:15" x14ac:dyDescent="0.3">
      <c r="A367" t="s">
        <v>2278</v>
      </c>
      <c r="B367" t="s">
        <v>1847</v>
      </c>
      <c r="C367" t="s">
        <v>1855</v>
      </c>
      <c r="D367">
        <v>83</v>
      </c>
      <c r="E367" t="s">
        <v>1447</v>
      </c>
      <c r="F367" t="s">
        <v>1856</v>
      </c>
      <c r="G367" t="s">
        <v>1737</v>
      </c>
      <c r="H367" t="s">
        <v>2277</v>
      </c>
      <c r="I367" t="s">
        <v>2277</v>
      </c>
      <c r="J367" t="s">
        <v>2277</v>
      </c>
      <c r="K367" t="s">
        <v>2277</v>
      </c>
      <c r="L367" t="s">
        <v>1427</v>
      </c>
      <c r="M367" t="s">
        <v>2277</v>
      </c>
      <c r="N367" t="s">
        <v>2277</v>
      </c>
      <c r="O367" s="190" t="str">
        <f t="shared" si="5"/>
        <v>[S05_DefaultValues][83][InstallationCategory]</v>
      </c>
    </row>
    <row r="368" spans="1:15" x14ac:dyDescent="0.3">
      <c r="A368" t="s">
        <v>2278</v>
      </c>
      <c r="B368" t="s">
        <v>1847</v>
      </c>
      <c r="C368" t="s">
        <v>1855</v>
      </c>
      <c r="D368">
        <v>84</v>
      </c>
      <c r="E368" t="s">
        <v>1447</v>
      </c>
      <c r="F368" t="s">
        <v>1856</v>
      </c>
      <c r="G368" t="s">
        <v>1737</v>
      </c>
      <c r="H368" t="s">
        <v>2277</v>
      </c>
      <c r="I368" t="s">
        <v>2277</v>
      </c>
      <c r="J368" t="s">
        <v>2277</v>
      </c>
      <c r="K368" t="s">
        <v>2277</v>
      </c>
      <c r="L368" t="s">
        <v>1427</v>
      </c>
      <c r="M368" t="s">
        <v>2277</v>
      </c>
      <c r="N368" t="s">
        <v>2277</v>
      </c>
      <c r="O368" s="190" t="str">
        <f t="shared" si="5"/>
        <v>[S05_DefaultValues][84][InstallationCategory]</v>
      </c>
    </row>
    <row r="369" spans="1:15" x14ac:dyDescent="0.3">
      <c r="A369" t="s">
        <v>2278</v>
      </c>
      <c r="B369" t="s">
        <v>1847</v>
      </c>
      <c r="C369" t="s">
        <v>1855</v>
      </c>
      <c r="D369">
        <v>85</v>
      </c>
      <c r="E369" t="s">
        <v>1447</v>
      </c>
      <c r="F369" t="s">
        <v>1856</v>
      </c>
      <c r="G369" t="s">
        <v>1737</v>
      </c>
      <c r="H369" t="s">
        <v>2277</v>
      </c>
      <c r="I369" t="s">
        <v>2277</v>
      </c>
      <c r="J369" t="s">
        <v>2277</v>
      </c>
      <c r="K369" t="s">
        <v>2277</v>
      </c>
      <c r="L369" t="s">
        <v>1427</v>
      </c>
      <c r="M369" t="s">
        <v>2277</v>
      </c>
      <c r="N369" t="s">
        <v>2277</v>
      </c>
      <c r="O369" s="190" t="str">
        <f t="shared" si="5"/>
        <v>[S05_DefaultValues][85][InstallationCategory]</v>
      </c>
    </row>
    <row r="370" spans="1:15" x14ac:dyDescent="0.3">
      <c r="A370" t="s">
        <v>2278</v>
      </c>
      <c r="B370" t="s">
        <v>1847</v>
      </c>
      <c r="C370" t="s">
        <v>1855</v>
      </c>
      <c r="D370">
        <v>86</v>
      </c>
      <c r="E370" t="s">
        <v>1447</v>
      </c>
      <c r="F370" t="s">
        <v>1856</v>
      </c>
      <c r="G370" t="s">
        <v>1737</v>
      </c>
      <c r="H370" t="s">
        <v>2277</v>
      </c>
      <c r="I370" t="s">
        <v>2277</v>
      </c>
      <c r="J370" t="s">
        <v>2277</v>
      </c>
      <c r="K370" t="s">
        <v>2277</v>
      </c>
      <c r="L370" t="s">
        <v>1427</v>
      </c>
      <c r="M370" t="s">
        <v>2277</v>
      </c>
      <c r="N370" t="s">
        <v>2277</v>
      </c>
      <c r="O370" s="190" t="str">
        <f t="shared" si="5"/>
        <v>[S05_DefaultValues][86][InstallationCategory]</v>
      </c>
    </row>
    <row r="371" spans="1:15" x14ac:dyDescent="0.3">
      <c r="A371" t="s">
        <v>2278</v>
      </c>
      <c r="B371" t="s">
        <v>1847</v>
      </c>
      <c r="C371" t="s">
        <v>1855</v>
      </c>
      <c r="D371">
        <v>87</v>
      </c>
      <c r="E371" t="s">
        <v>1447</v>
      </c>
      <c r="F371" t="s">
        <v>1856</v>
      </c>
      <c r="G371" t="s">
        <v>1737</v>
      </c>
      <c r="H371" t="s">
        <v>2277</v>
      </c>
      <c r="I371" t="s">
        <v>2277</v>
      </c>
      <c r="J371" t="s">
        <v>2277</v>
      </c>
      <c r="K371" t="s">
        <v>2277</v>
      </c>
      <c r="L371" t="s">
        <v>1427</v>
      </c>
      <c r="M371" t="s">
        <v>2277</v>
      </c>
      <c r="N371" t="s">
        <v>2277</v>
      </c>
      <c r="O371" s="190" t="str">
        <f t="shared" si="5"/>
        <v>[S05_DefaultValues][87][InstallationCategory]</v>
      </c>
    </row>
    <row r="372" spans="1:15" x14ac:dyDescent="0.3">
      <c r="A372" t="s">
        <v>2278</v>
      </c>
      <c r="B372" t="s">
        <v>1847</v>
      </c>
      <c r="C372" t="s">
        <v>1855</v>
      </c>
      <c r="D372">
        <v>88</v>
      </c>
      <c r="E372" t="s">
        <v>1447</v>
      </c>
      <c r="F372" t="s">
        <v>1856</v>
      </c>
      <c r="G372" t="s">
        <v>1737</v>
      </c>
      <c r="H372" t="s">
        <v>2277</v>
      </c>
      <c r="I372" t="s">
        <v>2277</v>
      </c>
      <c r="J372" t="s">
        <v>2277</v>
      </c>
      <c r="K372" t="s">
        <v>2277</v>
      </c>
      <c r="L372" t="s">
        <v>1427</v>
      </c>
      <c r="M372" t="s">
        <v>2277</v>
      </c>
      <c r="N372" t="s">
        <v>2277</v>
      </c>
      <c r="O372" s="190" t="str">
        <f t="shared" si="5"/>
        <v>[S05_DefaultValues][88][InstallationCategory]</v>
      </c>
    </row>
    <row r="373" spans="1:15" x14ac:dyDescent="0.3">
      <c r="A373" t="s">
        <v>2278</v>
      </c>
      <c r="B373" t="s">
        <v>1847</v>
      </c>
      <c r="C373" t="s">
        <v>1855</v>
      </c>
      <c r="D373">
        <v>89</v>
      </c>
      <c r="E373" t="s">
        <v>1447</v>
      </c>
      <c r="F373" t="s">
        <v>1856</v>
      </c>
      <c r="G373" t="s">
        <v>1737</v>
      </c>
      <c r="H373" t="s">
        <v>2277</v>
      </c>
      <c r="I373" t="s">
        <v>2277</v>
      </c>
      <c r="J373" t="s">
        <v>2277</v>
      </c>
      <c r="K373" t="s">
        <v>2277</v>
      </c>
      <c r="L373" t="s">
        <v>1427</v>
      </c>
      <c r="M373" t="s">
        <v>2277</v>
      </c>
      <c r="N373" t="s">
        <v>2277</v>
      </c>
      <c r="O373" s="190" t="str">
        <f t="shared" si="5"/>
        <v>[S05_DefaultValues][89][InstallationCategory]</v>
      </c>
    </row>
    <row r="374" spans="1:15" x14ac:dyDescent="0.3">
      <c r="A374" t="s">
        <v>2278</v>
      </c>
      <c r="B374" t="s">
        <v>1847</v>
      </c>
      <c r="C374" t="s">
        <v>1855</v>
      </c>
      <c r="D374">
        <v>90</v>
      </c>
      <c r="E374" t="s">
        <v>1447</v>
      </c>
      <c r="F374" t="s">
        <v>1856</v>
      </c>
      <c r="G374" t="s">
        <v>1737</v>
      </c>
      <c r="H374" t="s">
        <v>2277</v>
      </c>
      <c r="I374" t="s">
        <v>2277</v>
      </c>
      <c r="J374" t="s">
        <v>2277</v>
      </c>
      <c r="K374" t="s">
        <v>2277</v>
      </c>
      <c r="L374" t="s">
        <v>1427</v>
      </c>
      <c r="M374" t="s">
        <v>2277</v>
      </c>
      <c r="N374" t="s">
        <v>2277</v>
      </c>
      <c r="O374" s="190" t="str">
        <f t="shared" si="5"/>
        <v>[S05_DefaultValues][90][InstallationCategory]</v>
      </c>
    </row>
    <row r="375" spans="1:15" x14ac:dyDescent="0.3">
      <c r="A375" t="s">
        <v>2278</v>
      </c>
      <c r="B375" t="s">
        <v>1847</v>
      </c>
      <c r="C375" t="s">
        <v>1855</v>
      </c>
      <c r="D375">
        <v>91</v>
      </c>
      <c r="E375" t="s">
        <v>1447</v>
      </c>
      <c r="F375" t="s">
        <v>1856</v>
      </c>
      <c r="G375" t="s">
        <v>1737</v>
      </c>
      <c r="H375" t="s">
        <v>2277</v>
      </c>
      <c r="I375" t="s">
        <v>2277</v>
      </c>
      <c r="J375" t="s">
        <v>2277</v>
      </c>
      <c r="K375" t="s">
        <v>2277</v>
      </c>
      <c r="L375" t="s">
        <v>1427</v>
      </c>
      <c r="M375" t="s">
        <v>2277</v>
      </c>
      <c r="N375" t="s">
        <v>2277</v>
      </c>
      <c r="O375" s="190" t="str">
        <f t="shared" si="5"/>
        <v>[S05_DefaultValues][91][InstallationCategory]</v>
      </c>
    </row>
    <row r="376" spans="1:15" x14ac:dyDescent="0.3">
      <c r="A376" t="s">
        <v>2278</v>
      </c>
      <c r="B376" t="s">
        <v>1847</v>
      </c>
      <c r="C376" t="s">
        <v>1855</v>
      </c>
      <c r="D376">
        <v>92</v>
      </c>
      <c r="E376" t="s">
        <v>1447</v>
      </c>
      <c r="F376" t="s">
        <v>1856</v>
      </c>
      <c r="G376" t="s">
        <v>1737</v>
      </c>
      <c r="H376" t="s">
        <v>2277</v>
      </c>
      <c r="I376" t="s">
        <v>2277</v>
      </c>
      <c r="J376" t="s">
        <v>2277</v>
      </c>
      <c r="K376" t="s">
        <v>2277</v>
      </c>
      <c r="L376" t="s">
        <v>1427</v>
      </c>
      <c r="M376" t="s">
        <v>2277</v>
      </c>
      <c r="N376" t="s">
        <v>2277</v>
      </c>
      <c r="O376" s="190" t="str">
        <f t="shared" si="5"/>
        <v>[S05_DefaultValues][92][InstallationCategory]</v>
      </c>
    </row>
    <row r="377" spans="1:15" x14ac:dyDescent="0.3">
      <c r="A377" t="s">
        <v>2278</v>
      </c>
      <c r="B377" t="s">
        <v>1847</v>
      </c>
      <c r="C377" t="s">
        <v>1855</v>
      </c>
      <c r="D377">
        <v>93</v>
      </c>
      <c r="E377" t="s">
        <v>1447</v>
      </c>
      <c r="F377" t="s">
        <v>1856</v>
      </c>
      <c r="G377" t="s">
        <v>1737</v>
      </c>
      <c r="H377" t="s">
        <v>2277</v>
      </c>
      <c r="I377" t="s">
        <v>2277</v>
      </c>
      <c r="J377" t="s">
        <v>2277</v>
      </c>
      <c r="K377" t="s">
        <v>2277</v>
      </c>
      <c r="L377" t="s">
        <v>1427</v>
      </c>
      <c r="M377" t="s">
        <v>2277</v>
      </c>
      <c r="N377" t="s">
        <v>2277</v>
      </c>
      <c r="O377" s="190" t="str">
        <f t="shared" si="5"/>
        <v>[S05_DefaultValues][93][InstallationCategory]</v>
      </c>
    </row>
    <row r="378" spans="1:15" x14ac:dyDescent="0.3">
      <c r="A378" t="s">
        <v>2278</v>
      </c>
      <c r="B378" t="s">
        <v>1847</v>
      </c>
      <c r="C378" t="s">
        <v>1855</v>
      </c>
      <c r="D378">
        <v>94</v>
      </c>
      <c r="E378" t="s">
        <v>1447</v>
      </c>
      <c r="F378" t="s">
        <v>1856</v>
      </c>
      <c r="G378" t="s">
        <v>1737</v>
      </c>
      <c r="H378" t="s">
        <v>2277</v>
      </c>
      <c r="I378" t="s">
        <v>2277</v>
      </c>
      <c r="J378" t="s">
        <v>2277</v>
      </c>
      <c r="K378" t="s">
        <v>2277</v>
      </c>
      <c r="L378" t="s">
        <v>1427</v>
      </c>
      <c r="M378" t="s">
        <v>2277</v>
      </c>
      <c r="N378" t="s">
        <v>2277</v>
      </c>
      <c r="O378" s="190" t="str">
        <f t="shared" si="5"/>
        <v>[S05_DefaultValues][94][InstallationCategory]</v>
      </c>
    </row>
    <row r="379" spans="1:15" x14ac:dyDescent="0.3">
      <c r="A379" t="s">
        <v>2278</v>
      </c>
      <c r="B379" t="s">
        <v>1847</v>
      </c>
      <c r="C379" t="s">
        <v>1855</v>
      </c>
      <c r="D379">
        <v>95</v>
      </c>
      <c r="E379" t="s">
        <v>1447</v>
      </c>
      <c r="F379" t="s">
        <v>1856</v>
      </c>
      <c r="G379" t="s">
        <v>1737</v>
      </c>
      <c r="H379" t="s">
        <v>2277</v>
      </c>
      <c r="I379" t="s">
        <v>2277</v>
      </c>
      <c r="J379" t="s">
        <v>2277</v>
      </c>
      <c r="K379" t="s">
        <v>2277</v>
      </c>
      <c r="L379" t="s">
        <v>1427</v>
      </c>
      <c r="M379" t="s">
        <v>2277</v>
      </c>
      <c r="N379" t="s">
        <v>2277</v>
      </c>
      <c r="O379" s="190" t="str">
        <f t="shared" si="5"/>
        <v>[S05_DefaultValues][95][InstallationCategory]</v>
      </c>
    </row>
    <row r="380" spans="1:15" x14ac:dyDescent="0.3">
      <c r="A380" t="s">
        <v>2278</v>
      </c>
      <c r="B380" t="s">
        <v>1847</v>
      </c>
      <c r="C380" t="s">
        <v>1855</v>
      </c>
      <c r="D380">
        <v>96</v>
      </c>
      <c r="E380" t="s">
        <v>1447</v>
      </c>
      <c r="F380" t="s">
        <v>1856</v>
      </c>
      <c r="G380" t="s">
        <v>1737</v>
      </c>
      <c r="H380" t="s">
        <v>2277</v>
      </c>
      <c r="I380" t="s">
        <v>2277</v>
      </c>
      <c r="J380" t="s">
        <v>2277</v>
      </c>
      <c r="K380" t="s">
        <v>2277</v>
      </c>
      <c r="L380" t="s">
        <v>1427</v>
      </c>
      <c r="M380" t="s">
        <v>2277</v>
      </c>
      <c r="N380" t="s">
        <v>2277</v>
      </c>
      <c r="O380" s="190" t="str">
        <f t="shared" si="5"/>
        <v>[S05_DefaultValues][96][InstallationCategory]</v>
      </c>
    </row>
    <row r="381" spans="1:15" x14ac:dyDescent="0.3">
      <c r="A381" t="s">
        <v>2278</v>
      </c>
      <c r="B381" t="s">
        <v>1847</v>
      </c>
      <c r="C381" t="s">
        <v>1855</v>
      </c>
      <c r="D381">
        <v>97</v>
      </c>
      <c r="E381" t="s">
        <v>1447</v>
      </c>
      <c r="F381" t="s">
        <v>1856</v>
      </c>
      <c r="G381" t="s">
        <v>1737</v>
      </c>
      <c r="H381" t="s">
        <v>2277</v>
      </c>
      <c r="I381" t="s">
        <v>2277</v>
      </c>
      <c r="J381" t="s">
        <v>2277</v>
      </c>
      <c r="K381" t="s">
        <v>2277</v>
      </c>
      <c r="L381" t="s">
        <v>1427</v>
      </c>
      <c r="M381" t="s">
        <v>2277</v>
      </c>
      <c r="N381" t="s">
        <v>2277</v>
      </c>
      <c r="O381" s="190" t="str">
        <f t="shared" si="5"/>
        <v>[S05_DefaultValues][97][InstallationCategory]</v>
      </c>
    </row>
    <row r="382" spans="1:15" x14ac:dyDescent="0.3">
      <c r="A382" t="s">
        <v>2278</v>
      </c>
      <c r="B382" t="s">
        <v>1847</v>
      </c>
      <c r="C382" t="s">
        <v>1855</v>
      </c>
      <c r="D382">
        <v>98</v>
      </c>
      <c r="E382" t="s">
        <v>1447</v>
      </c>
      <c r="F382" t="s">
        <v>1856</v>
      </c>
      <c r="G382" t="s">
        <v>1737</v>
      </c>
      <c r="H382" t="s">
        <v>2277</v>
      </c>
      <c r="I382" t="s">
        <v>2277</v>
      </c>
      <c r="J382" t="s">
        <v>2277</v>
      </c>
      <c r="K382" t="s">
        <v>2277</v>
      </c>
      <c r="L382" t="s">
        <v>1427</v>
      </c>
      <c r="M382" t="s">
        <v>2277</v>
      </c>
      <c r="N382" t="s">
        <v>2277</v>
      </c>
      <c r="O382" s="190" t="str">
        <f t="shared" si="5"/>
        <v>[S05_DefaultValues][98][InstallationCategory]</v>
      </c>
    </row>
    <row r="383" spans="1:15" x14ac:dyDescent="0.3">
      <c r="A383" t="s">
        <v>2278</v>
      </c>
      <c r="B383" t="s">
        <v>1847</v>
      </c>
      <c r="C383" t="s">
        <v>1855</v>
      </c>
      <c r="D383">
        <v>99</v>
      </c>
      <c r="E383" t="s">
        <v>1447</v>
      </c>
      <c r="F383" t="s">
        <v>1856</v>
      </c>
      <c r="G383" t="s">
        <v>1737</v>
      </c>
      <c r="H383" t="s">
        <v>2277</v>
      </c>
      <c r="I383" t="s">
        <v>2277</v>
      </c>
      <c r="J383" t="s">
        <v>2277</v>
      </c>
      <c r="K383" t="s">
        <v>2277</v>
      </c>
      <c r="L383" t="s">
        <v>1427</v>
      </c>
      <c r="M383" t="s">
        <v>2277</v>
      </c>
      <c r="N383" t="s">
        <v>2277</v>
      </c>
      <c r="O383" s="190" t="str">
        <f t="shared" si="5"/>
        <v>[S05_DefaultValues][99][InstallationCategory]</v>
      </c>
    </row>
    <row r="384" spans="1:15" x14ac:dyDescent="0.3">
      <c r="A384" t="s">
        <v>2278</v>
      </c>
      <c r="B384" t="s">
        <v>1847</v>
      </c>
      <c r="C384" t="s">
        <v>1855</v>
      </c>
      <c r="D384">
        <v>100</v>
      </c>
      <c r="E384" t="s">
        <v>1447</v>
      </c>
      <c r="F384" t="s">
        <v>1856</v>
      </c>
      <c r="G384" t="s">
        <v>1737</v>
      </c>
      <c r="H384" t="s">
        <v>2277</v>
      </c>
      <c r="I384" t="s">
        <v>2277</v>
      </c>
      <c r="J384" t="s">
        <v>2277</v>
      </c>
      <c r="K384" t="s">
        <v>2277</v>
      </c>
      <c r="L384" t="s">
        <v>1427</v>
      </c>
      <c r="M384" t="s">
        <v>2277</v>
      </c>
      <c r="N384" t="s">
        <v>2277</v>
      </c>
      <c r="O384" s="190" t="str">
        <f t="shared" si="5"/>
        <v>[S05_DefaultValues][100][InstallationCategory]</v>
      </c>
    </row>
    <row r="385" spans="1:15" x14ac:dyDescent="0.3">
      <c r="A385" t="s">
        <v>2278</v>
      </c>
      <c r="B385" t="s">
        <v>1847</v>
      </c>
      <c r="C385" t="s">
        <v>1855</v>
      </c>
      <c r="D385">
        <v>101</v>
      </c>
      <c r="E385" t="s">
        <v>1447</v>
      </c>
      <c r="F385" t="s">
        <v>1856</v>
      </c>
      <c r="G385" t="s">
        <v>1737</v>
      </c>
      <c r="H385" t="s">
        <v>2277</v>
      </c>
      <c r="I385" t="s">
        <v>2277</v>
      </c>
      <c r="J385" t="s">
        <v>2277</v>
      </c>
      <c r="K385" t="s">
        <v>2277</v>
      </c>
      <c r="L385" t="s">
        <v>1427</v>
      </c>
      <c r="M385" t="s">
        <v>2277</v>
      </c>
      <c r="N385" t="s">
        <v>2277</v>
      </c>
      <c r="O385" s="190" t="str">
        <f t="shared" si="5"/>
        <v>[S05_DefaultValues][101][InstallationCategory]</v>
      </c>
    </row>
    <row r="386" spans="1:15" x14ac:dyDescent="0.3">
      <c r="A386" t="s">
        <v>2278</v>
      </c>
      <c r="B386" t="s">
        <v>1847</v>
      </c>
      <c r="C386" t="s">
        <v>1855</v>
      </c>
      <c r="D386">
        <v>102</v>
      </c>
      <c r="E386" t="s">
        <v>1447</v>
      </c>
      <c r="F386" t="s">
        <v>1856</v>
      </c>
      <c r="G386" t="s">
        <v>1737</v>
      </c>
      <c r="H386" t="s">
        <v>2277</v>
      </c>
      <c r="I386" t="s">
        <v>2277</v>
      </c>
      <c r="J386" t="s">
        <v>2277</v>
      </c>
      <c r="K386" t="s">
        <v>2277</v>
      </c>
      <c r="L386" t="s">
        <v>1427</v>
      </c>
      <c r="M386" t="s">
        <v>2277</v>
      </c>
      <c r="N386" t="s">
        <v>2277</v>
      </c>
      <c r="O386" s="190" t="str">
        <f t="shared" ref="O386:O449" si="6">"["&amp;$C386&amp;"]["&amp;$D386&amp;"]["&amp;$F386&amp;"]"</f>
        <v>[S05_DefaultValues][102][InstallationCategory]</v>
      </c>
    </row>
    <row r="387" spans="1:15" x14ac:dyDescent="0.3">
      <c r="A387" t="s">
        <v>2278</v>
      </c>
      <c r="B387" t="s">
        <v>1847</v>
      </c>
      <c r="C387" t="s">
        <v>1855</v>
      </c>
      <c r="D387">
        <v>103</v>
      </c>
      <c r="E387" t="s">
        <v>1447</v>
      </c>
      <c r="F387" t="s">
        <v>1856</v>
      </c>
      <c r="G387" t="s">
        <v>1737</v>
      </c>
      <c r="H387" t="s">
        <v>2277</v>
      </c>
      <c r="I387" t="s">
        <v>2277</v>
      </c>
      <c r="J387" t="s">
        <v>2277</v>
      </c>
      <c r="K387" t="s">
        <v>2277</v>
      </c>
      <c r="L387" t="s">
        <v>1427</v>
      </c>
      <c r="M387" t="s">
        <v>2277</v>
      </c>
      <c r="N387" t="s">
        <v>2277</v>
      </c>
      <c r="O387" s="190" t="str">
        <f t="shared" si="6"/>
        <v>[S05_DefaultValues][103][InstallationCategory]</v>
      </c>
    </row>
    <row r="388" spans="1:15" x14ac:dyDescent="0.3">
      <c r="A388" t="s">
        <v>2278</v>
      </c>
      <c r="B388" t="s">
        <v>1847</v>
      </c>
      <c r="C388" t="s">
        <v>1855</v>
      </c>
      <c r="D388">
        <v>104</v>
      </c>
      <c r="E388" t="s">
        <v>1447</v>
      </c>
      <c r="F388" t="s">
        <v>1856</v>
      </c>
      <c r="G388" t="s">
        <v>1737</v>
      </c>
      <c r="H388" t="s">
        <v>2277</v>
      </c>
      <c r="I388" t="s">
        <v>2277</v>
      </c>
      <c r="J388" t="s">
        <v>2277</v>
      </c>
      <c r="K388" t="s">
        <v>2277</v>
      </c>
      <c r="L388" t="s">
        <v>1427</v>
      </c>
      <c r="M388" t="s">
        <v>2277</v>
      </c>
      <c r="N388" t="s">
        <v>2277</v>
      </c>
      <c r="O388" s="190" t="str">
        <f t="shared" si="6"/>
        <v>[S05_DefaultValues][104][InstallationCategory]</v>
      </c>
    </row>
    <row r="389" spans="1:15" x14ac:dyDescent="0.3">
      <c r="A389" t="s">
        <v>2278</v>
      </c>
      <c r="B389" t="s">
        <v>1847</v>
      </c>
      <c r="C389" t="s">
        <v>1855</v>
      </c>
      <c r="D389">
        <v>105</v>
      </c>
      <c r="E389" t="s">
        <v>1447</v>
      </c>
      <c r="F389" t="s">
        <v>1856</v>
      </c>
      <c r="G389" t="s">
        <v>1737</v>
      </c>
      <c r="H389" t="s">
        <v>2277</v>
      </c>
      <c r="I389" t="s">
        <v>2277</v>
      </c>
      <c r="J389" t="s">
        <v>2277</v>
      </c>
      <c r="K389" t="s">
        <v>2277</v>
      </c>
      <c r="L389" t="s">
        <v>1427</v>
      </c>
      <c r="M389" t="s">
        <v>2277</v>
      </c>
      <c r="N389" t="s">
        <v>2277</v>
      </c>
      <c r="O389" s="190" t="str">
        <f t="shared" si="6"/>
        <v>[S05_DefaultValues][105][InstallationCategory]</v>
      </c>
    </row>
    <row r="390" spans="1:15" x14ac:dyDescent="0.3">
      <c r="A390" t="s">
        <v>2278</v>
      </c>
      <c r="B390" t="s">
        <v>1847</v>
      </c>
      <c r="C390" t="s">
        <v>1855</v>
      </c>
      <c r="D390">
        <v>106</v>
      </c>
      <c r="E390" t="s">
        <v>1447</v>
      </c>
      <c r="F390" t="s">
        <v>1856</v>
      </c>
      <c r="G390" t="s">
        <v>1737</v>
      </c>
      <c r="H390" t="s">
        <v>2277</v>
      </c>
      <c r="I390" t="s">
        <v>2277</v>
      </c>
      <c r="J390" t="s">
        <v>2277</v>
      </c>
      <c r="K390" t="s">
        <v>2277</v>
      </c>
      <c r="L390" t="s">
        <v>1427</v>
      </c>
      <c r="M390" t="s">
        <v>2277</v>
      </c>
      <c r="N390" t="s">
        <v>2277</v>
      </c>
      <c r="O390" s="190" t="str">
        <f t="shared" si="6"/>
        <v>[S05_DefaultValues][106][InstallationCategory]</v>
      </c>
    </row>
    <row r="391" spans="1:15" x14ac:dyDescent="0.3">
      <c r="A391" t="s">
        <v>2278</v>
      </c>
      <c r="B391" t="s">
        <v>1847</v>
      </c>
      <c r="C391" t="s">
        <v>1855</v>
      </c>
      <c r="D391">
        <v>107</v>
      </c>
      <c r="E391" t="s">
        <v>1447</v>
      </c>
      <c r="F391" t="s">
        <v>1856</v>
      </c>
      <c r="G391" t="s">
        <v>1737</v>
      </c>
      <c r="H391" t="s">
        <v>2277</v>
      </c>
      <c r="I391" t="s">
        <v>2277</v>
      </c>
      <c r="J391" t="s">
        <v>2277</v>
      </c>
      <c r="K391" t="s">
        <v>2277</v>
      </c>
      <c r="L391" t="s">
        <v>1427</v>
      </c>
      <c r="M391" t="s">
        <v>2277</v>
      </c>
      <c r="N391" t="s">
        <v>2277</v>
      </c>
      <c r="O391" s="190" t="str">
        <f t="shared" si="6"/>
        <v>[S05_DefaultValues][107][InstallationCategory]</v>
      </c>
    </row>
    <row r="392" spans="1:15" x14ac:dyDescent="0.3">
      <c r="A392" t="s">
        <v>2278</v>
      </c>
      <c r="B392" t="s">
        <v>1847</v>
      </c>
      <c r="C392" t="s">
        <v>1855</v>
      </c>
      <c r="D392">
        <v>108</v>
      </c>
      <c r="E392" t="s">
        <v>1447</v>
      </c>
      <c r="F392" t="s">
        <v>1856</v>
      </c>
      <c r="G392" t="s">
        <v>1737</v>
      </c>
      <c r="H392" t="s">
        <v>2277</v>
      </c>
      <c r="I392" t="s">
        <v>2277</v>
      </c>
      <c r="J392" t="s">
        <v>2277</v>
      </c>
      <c r="K392" t="s">
        <v>2277</v>
      </c>
      <c r="L392" t="s">
        <v>1427</v>
      </c>
      <c r="M392" t="s">
        <v>2277</v>
      </c>
      <c r="N392" t="s">
        <v>2277</v>
      </c>
      <c r="O392" s="190" t="str">
        <f t="shared" si="6"/>
        <v>[S05_DefaultValues][108][InstallationCategory]</v>
      </c>
    </row>
    <row r="393" spans="1:15" x14ac:dyDescent="0.3">
      <c r="A393" t="s">
        <v>2278</v>
      </c>
      <c r="B393" t="s">
        <v>1847</v>
      </c>
      <c r="C393" t="s">
        <v>1855</v>
      </c>
      <c r="D393">
        <v>109</v>
      </c>
      <c r="E393" t="s">
        <v>1447</v>
      </c>
      <c r="F393" t="s">
        <v>1856</v>
      </c>
      <c r="G393" t="s">
        <v>1737</v>
      </c>
      <c r="H393" t="s">
        <v>2277</v>
      </c>
      <c r="I393" t="s">
        <v>2277</v>
      </c>
      <c r="J393" t="s">
        <v>2277</v>
      </c>
      <c r="K393" t="s">
        <v>2277</v>
      </c>
      <c r="L393" t="s">
        <v>1427</v>
      </c>
      <c r="M393" t="s">
        <v>2277</v>
      </c>
      <c r="N393" t="s">
        <v>2277</v>
      </c>
      <c r="O393" s="190" t="str">
        <f t="shared" si="6"/>
        <v>[S05_DefaultValues][109][InstallationCategory]</v>
      </c>
    </row>
    <row r="394" spans="1:15" x14ac:dyDescent="0.3">
      <c r="A394" t="s">
        <v>2278</v>
      </c>
      <c r="B394" t="s">
        <v>1847</v>
      </c>
      <c r="C394" t="s">
        <v>1855</v>
      </c>
      <c r="D394">
        <v>110</v>
      </c>
      <c r="E394" t="s">
        <v>1447</v>
      </c>
      <c r="F394" t="s">
        <v>1856</v>
      </c>
      <c r="G394" t="s">
        <v>1737</v>
      </c>
      <c r="H394" t="s">
        <v>2277</v>
      </c>
      <c r="I394" t="s">
        <v>2277</v>
      </c>
      <c r="J394" t="s">
        <v>2277</v>
      </c>
      <c r="K394" t="s">
        <v>2277</v>
      </c>
      <c r="L394" t="s">
        <v>1427</v>
      </c>
      <c r="M394" t="s">
        <v>2277</v>
      </c>
      <c r="N394" t="s">
        <v>2277</v>
      </c>
      <c r="O394" s="190" t="str">
        <f t="shared" si="6"/>
        <v>[S05_DefaultValues][110][InstallationCategory]</v>
      </c>
    </row>
    <row r="395" spans="1:15" x14ac:dyDescent="0.3">
      <c r="A395" t="s">
        <v>2278</v>
      </c>
      <c r="B395" t="s">
        <v>1847</v>
      </c>
      <c r="C395" t="s">
        <v>1855</v>
      </c>
      <c r="D395">
        <v>111</v>
      </c>
      <c r="E395" t="s">
        <v>1447</v>
      </c>
      <c r="F395" t="s">
        <v>1856</v>
      </c>
      <c r="G395" t="s">
        <v>1737</v>
      </c>
      <c r="H395" t="s">
        <v>2277</v>
      </c>
      <c r="I395" t="s">
        <v>2277</v>
      </c>
      <c r="J395" t="s">
        <v>2277</v>
      </c>
      <c r="K395" t="s">
        <v>2277</v>
      </c>
      <c r="L395" t="s">
        <v>1427</v>
      </c>
      <c r="M395" t="s">
        <v>2277</v>
      </c>
      <c r="N395" t="s">
        <v>2277</v>
      </c>
      <c r="O395" s="190" t="str">
        <f t="shared" si="6"/>
        <v>[S05_DefaultValues][111][InstallationCategory]</v>
      </c>
    </row>
    <row r="396" spans="1:15" x14ac:dyDescent="0.3">
      <c r="A396" t="s">
        <v>2278</v>
      </c>
      <c r="B396" t="s">
        <v>1847</v>
      </c>
      <c r="C396" t="s">
        <v>1855</v>
      </c>
      <c r="D396">
        <v>112</v>
      </c>
      <c r="E396" t="s">
        <v>1447</v>
      </c>
      <c r="F396" t="s">
        <v>1856</v>
      </c>
      <c r="G396" t="s">
        <v>1737</v>
      </c>
      <c r="H396" t="s">
        <v>2277</v>
      </c>
      <c r="I396" t="s">
        <v>2277</v>
      </c>
      <c r="J396" t="s">
        <v>2277</v>
      </c>
      <c r="K396" t="s">
        <v>2277</v>
      </c>
      <c r="L396" t="s">
        <v>1427</v>
      </c>
      <c r="M396" t="s">
        <v>2277</v>
      </c>
      <c r="N396" t="s">
        <v>2277</v>
      </c>
      <c r="O396" s="190" t="str">
        <f t="shared" si="6"/>
        <v>[S05_DefaultValues][112][InstallationCategory]</v>
      </c>
    </row>
    <row r="397" spans="1:15" x14ac:dyDescent="0.3">
      <c r="A397" t="s">
        <v>2278</v>
      </c>
      <c r="B397" t="s">
        <v>1847</v>
      </c>
      <c r="C397" t="s">
        <v>1855</v>
      </c>
      <c r="D397">
        <v>113</v>
      </c>
      <c r="E397" t="s">
        <v>1447</v>
      </c>
      <c r="F397" t="s">
        <v>1856</v>
      </c>
      <c r="G397" t="s">
        <v>1737</v>
      </c>
      <c r="H397" t="s">
        <v>2277</v>
      </c>
      <c r="I397" t="s">
        <v>2277</v>
      </c>
      <c r="J397" t="s">
        <v>2277</v>
      </c>
      <c r="K397" t="s">
        <v>2277</v>
      </c>
      <c r="L397" t="s">
        <v>1427</v>
      </c>
      <c r="M397" t="s">
        <v>2277</v>
      </c>
      <c r="N397" t="s">
        <v>2277</v>
      </c>
      <c r="O397" s="190" t="str">
        <f t="shared" si="6"/>
        <v>[S05_DefaultValues][113][InstallationCategory]</v>
      </c>
    </row>
    <row r="398" spans="1:15" x14ac:dyDescent="0.3">
      <c r="A398" t="s">
        <v>2278</v>
      </c>
      <c r="B398" t="s">
        <v>1847</v>
      </c>
      <c r="C398" t="s">
        <v>1855</v>
      </c>
      <c r="D398">
        <v>114</v>
      </c>
      <c r="E398" t="s">
        <v>1447</v>
      </c>
      <c r="F398" t="s">
        <v>1856</v>
      </c>
      <c r="G398" t="s">
        <v>1737</v>
      </c>
      <c r="H398" t="s">
        <v>2277</v>
      </c>
      <c r="I398" t="s">
        <v>2277</v>
      </c>
      <c r="J398" t="s">
        <v>2277</v>
      </c>
      <c r="K398" t="s">
        <v>2277</v>
      </c>
      <c r="L398" t="s">
        <v>1427</v>
      </c>
      <c r="M398" t="s">
        <v>2277</v>
      </c>
      <c r="N398" t="s">
        <v>2277</v>
      </c>
      <c r="O398" s="190" t="str">
        <f t="shared" si="6"/>
        <v>[S05_DefaultValues][114][InstallationCategory]</v>
      </c>
    </row>
    <row r="399" spans="1:15" x14ac:dyDescent="0.3">
      <c r="A399" t="s">
        <v>2278</v>
      </c>
      <c r="B399" t="s">
        <v>1847</v>
      </c>
      <c r="C399" t="s">
        <v>1855</v>
      </c>
      <c r="D399">
        <v>115</v>
      </c>
      <c r="E399" t="s">
        <v>1447</v>
      </c>
      <c r="F399" t="s">
        <v>1856</v>
      </c>
      <c r="G399" t="s">
        <v>1737</v>
      </c>
      <c r="H399" t="s">
        <v>2277</v>
      </c>
      <c r="I399" t="s">
        <v>2277</v>
      </c>
      <c r="J399" t="s">
        <v>2277</v>
      </c>
      <c r="K399" t="s">
        <v>2277</v>
      </c>
      <c r="L399" t="s">
        <v>1427</v>
      </c>
      <c r="M399" t="s">
        <v>2277</v>
      </c>
      <c r="N399" t="s">
        <v>2277</v>
      </c>
      <c r="O399" s="190" t="str">
        <f t="shared" si="6"/>
        <v>[S05_DefaultValues][115][InstallationCategory]</v>
      </c>
    </row>
    <row r="400" spans="1:15" x14ac:dyDescent="0.3">
      <c r="A400" t="s">
        <v>2278</v>
      </c>
      <c r="B400" t="s">
        <v>1847</v>
      </c>
      <c r="C400" t="s">
        <v>1855</v>
      </c>
      <c r="D400">
        <v>116</v>
      </c>
      <c r="E400" t="s">
        <v>1447</v>
      </c>
      <c r="F400" t="s">
        <v>1856</v>
      </c>
      <c r="G400" t="s">
        <v>1737</v>
      </c>
      <c r="H400" t="s">
        <v>2277</v>
      </c>
      <c r="I400" t="s">
        <v>2277</v>
      </c>
      <c r="J400" t="s">
        <v>2277</v>
      </c>
      <c r="K400" t="s">
        <v>2277</v>
      </c>
      <c r="L400" t="s">
        <v>1427</v>
      </c>
      <c r="M400" t="s">
        <v>2277</v>
      </c>
      <c r="N400" t="s">
        <v>2277</v>
      </c>
      <c r="O400" s="190" t="str">
        <f t="shared" si="6"/>
        <v>[S05_DefaultValues][116][InstallationCategory]</v>
      </c>
    </row>
    <row r="401" spans="1:15" x14ac:dyDescent="0.3">
      <c r="A401" t="s">
        <v>2278</v>
      </c>
      <c r="B401" t="s">
        <v>1847</v>
      </c>
      <c r="C401" t="s">
        <v>1855</v>
      </c>
      <c r="D401">
        <v>117</v>
      </c>
      <c r="E401" t="s">
        <v>1447</v>
      </c>
      <c r="F401" t="s">
        <v>1856</v>
      </c>
      <c r="G401" t="s">
        <v>1737</v>
      </c>
      <c r="H401" t="s">
        <v>2277</v>
      </c>
      <c r="I401" t="s">
        <v>2277</v>
      </c>
      <c r="J401" t="s">
        <v>2277</v>
      </c>
      <c r="K401" t="s">
        <v>2277</v>
      </c>
      <c r="L401" t="s">
        <v>1427</v>
      </c>
      <c r="M401" t="s">
        <v>2277</v>
      </c>
      <c r="N401" t="s">
        <v>2277</v>
      </c>
      <c r="O401" s="190" t="str">
        <f t="shared" si="6"/>
        <v>[S05_DefaultValues][117][InstallationCategory]</v>
      </c>
    </row>
    <row r="402" spans="1:15" x14ac:dyDescent="0.3">
      <c r="A402" t="s">
        <v>2278</v>
      </c>
      <c r="B402" t="s">
        <v>1847</v>
      </c>
      <c r="C402" t="s">
        <v>1855</v>
      </c>
      <c r="D402">
        <v>118</v>
      </c>
      <c r="E402" t="s">
        <v>1447</v>
      </c>
      <c r="F402" t="s">
        <v>1856</v>
      </c>
      <c r="G402" t="s">
        <v>1737</v>
      </c>
      <c r="H402" t="s">
        <v>2277</v>
      </c>
      <c r="I402" t="s">
        <v>2277</v>
      </c>
      <c r="J402" t="s">
        <v>2277</v>
      </c>
      <c r="K402" t="s">
        <v>2277</v>
      </c>
      <c r="L402" t="s">
        <v>1427</v>
      </c>
      <c r="M402" t="s">
        <v>2277</v>
      </c>
      <c r="N402" t="s">
        <v>2277</v>
      </c>
      <c r="O402" s="190" t="str">
        <f t="shared" si="6"/>
        <v>[S05_DefaultValues][118][InstallationCategory]</v>
      </c>
    </row>
    <row r="403" spans="1:15" x14ac:dyDescent="0.3">
      <c r="A403" t="s">
        <v>2278</v>
      </c>
      <c r="B403" t="s">
        <v>1847</v>
      </c>
      <c r="C403" t="s">
        <v>1855</v>
      </c>
      <c r="D403">
        <v>119</v>
      </c>
      <c r="E403" t="s">
        <v>1447</v>
      </c>
      <c r="F403" t="s">
        <v>1856</v>
      </c>
      <c r="G403" t="s">
        <v>1737</v>
      </c>
      <c r="H403" t="s">
        <v>2277</v>
      </c>
      <c r="I403" t="s">
        <v>2277</v>
      </c>
      <c r="J403" t="s">
        <v>2277</v>
      </c>
      <c r="K403" t="s">
        <v>2277</v>
      </c>
      <c r="L403" t="s">
        <v>1427</v>
      </c>
      <c r="M403" t="s">
        <v>2277</v>
      </c>
      <c r="N403" t="s">
        <v>2277</v>
      </c>
      <c r="O403" s="190" t="str">
        <f t="shared" si="6"/>
        <v>[S05_DefaultValues][119][InstallationCategory]</v>
      </c>
    </row>
    <row r="404" spans="1:15" x14ac:dyDescent="0.3">
      <c r="A404" t="s">
        <v>2278</v>
      </c>
      <c r="B404" t="s">
        <v>1847</v>
      </c>
      <c r="C404" t="s">
        <v>1855</v>
      </c>
      <c r="D404">
        <v>120</v>
      </c>
      <c r="E404" t="s">
        <v>1447</v>
      </c>
      <c r="F404" t="s">
        <v>1856</v>
      </c>
      <c r="G404" t="s">
        <v>1737</v>
      </c>
      <c r="H404" t="s">
        <v>2277</v>
      </c>
      <c r="I404" t="s">
        <v>2277</v>
      </c>
      <c r="J404" t="s">
        <v>2277</v>
      </c>
      <c r="K404" t="s">
        <v>2277</v>
      </c>
      <c r="L404" t="s">
        <v>1427</v>
      </c>
      <c r="M404" t="s">
        <v>2277</v>
      </c>
      <c r="N404" t="s">
        <v>2277</v>
      </c>
      <c r="O404" s="190" t="str">
        <f t="shared" si="6"/>
        <v>[S05_DefaultValues][120][InstallationCategory]</v>
      </c>
    </row>
    <row r="405" spans="1:15" x14ac:dyDescent="0.3">
      <c r="A405" t="s">
        <v>2278</v>
      </c>
      <c r="B405" t="s">
        <v>1847</v>
      </c>
      <c r="C405" t="s">
        <v>1855</v>
      </c>
      <c r="D405">
        <v>121</v>
      </c>
      <c r="E405" t="s">
        <v>1447</v>
      </c>
      <c r="F405" t="s">
        <v>1856</v>
      </c>
      <c r="G405" t="s">
        <v>1737</v>
      </c>
      <c r="H405" t="s">
        <v>2277</v>
      </c>
      <c r="I405" t="s">
        <v>2277</v>
      </c>
      <c r="J405" t="s">
        <v>2277</v>
      </c>
      <c r="K405" t="s">
        <v>2277</v>
      </c>
      <c r="L405" t="s">
        <v>1427</v>
      </c>
      <c r="M405" t="s">
        <v>2277</v>
      </c>
      <c r="N405" t="s">
        <v>2277</v>
      </c>
      <c r="O405" s="190" t="str">
        <f t="shared" si="6"/>
        <v>[S05_DefaultValues][121][InstallationCategory]</v>
      </c>
    </row>
    <row r="406" spans="1:15" x14ac:dyDescent="0.3">
      <c r="A406" t="s">
        <v>2278</v>
      </c>
      <c r="B406" t="s">
        <v>1847</v>
      </c>
      <c r="C406" t="s">
        <v>1855</v>
      </c>
      <c r="D406">
        <v>122</v>
      </c>
      <c r="E406" t="s">
        <v>1447</v>
      </c>
      <c r="F406" t="s">
        <v>1856</v>
      </c>
      <c r="G406" t="s">
        <v>1737</v>
      </c>
      <c r="H406" t="s">
        <v>2277</v>
      </c>
      <c r="I406" t="s">
        <v>2277</v>
      </c>
      <c r="J406" t="s">
        <v>2277</v>
      </c>
      <c r="K406" t="s">
        <v>2277</v>
      </c>
      <c r="L406" t="s">
        <v>1427</v>
      </c>
      <c r="M406" t="s">
        <v>2277</v>
      </c>
      <c r="N406" t="s">
        <v>2277</v>
      </c>
      <c r="O406" s="190" t="str">
        <f t="shared" si="6"/>
        <v>[S05_DefaultValues][122][InstallationCategory]</v>
      </c>
    </row>
    <row r="407" spans="1:15" x14ac:dyDescent="0.3">
      <c r="A407" t="s">
        <v>2278</v>
      </c>
      <c r="B407" t="s">
        <v>1847</v>
      </c>
      <c r="C407" t="s">
        <v>1855</v>
      </c>
      <c r="D407">
        <v>123</v>
      </c>
      <c r="E407" t="s">
        <v>1447</v>
      </c>
      <c r="F407" t="s">
        <v>1856</v>
      </c>
      <c r="G407" t="s">
        <v>1737</v>
      </c>
      <c r="H407" t="s">
        <v>2277</v>
      </c>
      <c r="I407" t="s">
        <v>2277</v>
      </c>
      <c r="J407" t="s">
        <v>2277</v>
      </c>
      <c r="K407" t="s">
        <v>2277</v>
      </c>
      <c r="L407" t="s">
        <v>1427</v>
      </c>
      <c r="M407" t="s">
        <v>2277</v>
      </c>
      <c r="N407" t="s">
        <v>2277</v>
      </c>
      <c r="O407" s="190" t="str">
        <f t="shared" si="6"/>
        <v>[S05_DefaultValues][123][InstallationCategory]</v>
      </c>
    </row>
    <row r="408" spans="1:15" x14ac:dyDescent="0.3">
      <c r="A408" t="s">
        <v>2278</v>
      </c>
      <c r="B408" t="s">
        <v>1847</v>
      </c>
      <c r="C408" t="s">
        <v>1855</v>
      </c>
      <c r="D408">
        <v>124</v>
      </c>
      <c r="E408" t="s">
        <v>1447</v>
      </c>
      <c r="F408" t="s">
        <v>1856</v>
      </c>
      <c r="G408" t="s">
        <v>1737</v>
      </c>
      <c r="H408" t="s">
        <v>2277</v>
      </c>
      <c r="I408" t="s">
        <v>2277</v>
      </c>
      <c r="J408" t="s">
        <v>2277</v>
      </c>
      <c r="K408" t="s">
        <v>2277</v>
      </c>
      <c r="L408" t="s">
        <v>1427</v>
      </c>
      <c r="M408" t="s">
        <v>2277</v>
      </c>
      <c r="N408" t="s">
        <v>2277</v>
      </c>
      <c r="O408" s="190" t="str">
        <f t="shared" si="6"/>
        <v>[S05_DefaultValues][124][InstallationCategory]</v>
      </c>
    </row>
    <row r="409" spans="1:15" x14ac:dyDescent="0.3">
      <c r="A409" t="s">
        <v>2278</v>
      </c>
      <c r="B409" t="s">
        <v>1847</v>
      </c>
      <c r="C409" t="s">
        <v>1855</v>
      </c>
      <c r="D409">
        <v>125</v>
      </c>
      <c r="E409" t="s">
        <v>1447</v>
      </c>
      <c r="F409" t="s">
        <v>1856</v>
      </c>
      <c r="G409" t="s">
        <v>1737</v>
      </c>
      <c r="H409" t="s">
        <v>2277</v>
      </c>
      <c r="I409" t="s">
        <v>2277</v>
      </c>
      <c r="J409" t="s">
        <v>2277</v>
      </c>
      <c r="K409" t="s">
        <v>2277</v>
      </c>
      <c r="L409" t="s">
        <v>1427</v>
      </c>
      <c r="M409" t="s">
        <v>2277</v>
      </c>
      <c r="N409" t="s">
        <v>2277</v>
      </c>
      <c r="O409" s="190" t="str">
        <f t="shared" si="6"/>
        <v>[S05_DefaultValues][125][InstallationCategory]</v>
      </c>
    </row>
    <row r="410" spans="1:15" x14ac:dyDescent="0.3">
      <c r="A410" t="s">
        <v>2278</v>
      </c>
      <c r="B410" t="s">
        <v>1847</v>
      </c>
      <c r="C410" t="s">
        <v>1855</v>
      </c>
      <c r="D410">
        <v>126</v>
      </c>
      <c r="E410" t="s">
        <v>1447</v>
      </c>
      <c r="F410" t="s">
        <v>1856</v>
      </c>
      <c r="G410" t="s">
        <v>1737</v>
      </c>
      <c r="H410" t="s">
        <v>2277</v>
      </c>
      <c r="I410" t="s">
        <v>2277</v>
      </c>
      <c r="J410" t="s">
        <v>2277</v>
      </c>
      <c r="K410" t="s">
        <v>2277</v>
      </c>
      <c r="L410" t="s">
        <v>1427</v>
      </c>
      <c r="M410" t="s">
        <v>2277</v>
      </c>
      <c r="N410" t="s">
        <v>2277</v>
      </c>
      <c r="O410" s="190" t="str">
        <f t="shared" si="6"/>
        <v>[S05_DefaultValues][126][InstallationCategory]</v>
      </c>
    </row>
    <row r="411" spans="1:15" x14ac:dyDescent="0.3">
      <c r="A411" t="s">
        <v>2278</v>
      </c>
      <c r="B411" t="s">
        <v>1847</v>
      </c>
      <c r="C411" t="s">
        <v>1855</v>
      </c>
      <c r="D411">
        <v>127</v>
      </c>
      <c r="E411" t="s">
        <v>1447</v>
      </c>
      <c r="F411" t="s">
        <v>1856</v>
      </c>
      <c r="G411" t="s">
        <v>1737</v>
      </c>
      <c r="H411" t="s">
        <v>2277</v>
      </c>
      <c r="I411" t="s">
        <v>2277</v>
      </c>
      <c r="J411" t="s">
        <v>2277</v>
      </c>
      <c r="K411" t="s">
        <v>2277</v>
      </c>
      <c r="L411" t="s">
        <v>1455</v>
      </c>
      <c r="M411" t="s">
        <v>2277</v>
      </c>
      <c r="N411" t="s">
        <v>2277</v>
      </c>
      <c r="O411" s="190" t="str">
        <f t="shared" si="6"/>
        <v>[S05_DefaultValues][127][InstallationCategory]</v>
      </c>
    </row>
    <row r="412" spans="1:15" x14ac:dyDescent="0.3">
      <c r="A412" t="s">
        <v>2278</v>
      </c>
      <c r="B412" t="s">
        <v>1847</v>
      </c>
      <c r="C412" t="s">
        <v>1855</v>
      </c>
      <c r="D412">
        <v>128</v>
      </c>
      <c r="E412" t="s">
        <v>1447</v>
      </c>
      <c r="F412" t="s">
        <v>1856</v>
      </c>
      <c r="G412" t="s">
        <v>1737</v>
      </c>
      <c r="H412" t="s">
        <v>2277</v>
      </c>
      <c r="I412" t="s">
        <v>2277</v>
      </c>
      <c r="J412" t="s">
        <v>2277</v>
      </c>
      <c r="K412" t="s">
        <v>2277</v>
      </c>
      <c r="L412" t="s">
        <v>1455</v>
      </c>
      <c r="M412" t="s">
        <v>2277</v>
      </c>
      <c r="N412" t="s">
        <v>2277</v>
      </c>
      <c r="O412" s="190" t="str">
        <f t="shared" si="6"/>
        <v>[S05_DefaultValues][128][InstallationCategory]</v>
      </c>
    </row>
    <row r="413" spans="1:15" x14ac:dyDescent="0.3">
      <c r="A413" t="s">
        <v>2278</v>
      </c>
      <c r="B413" t="s">
        <v>1847</v>
      </c>
      <c r="C413" t="s">
        <v>1855</v>
      </c>
      <c r="D413">
        <v>129</v>
      </c>
      <c r="E413" t="s">
        <v>1447</v>
      </c>
      <c r="F413" t="s">
        <v>1856</v>
      </c>
      <c r="G413" t="s">
        <v>1737</v>
      </c>
      <c r="H413" t="s">
        <v>2277</v>
      </c>
      <c r="I413" t="s">
        <v>2277</v>
      </c>
      <c r="J413" t="s">
        <v>2277</v>
      </c>
      <c r="K413" t="s">
        <v>2277</v>
      </c>
      <c r="L413" t="s">
        <v>1455</v>
      </c>
      <c r="M413" t="s">
        <v>2277</v>
      </c>
      <c r="N413" t="s">
        <v>2277</v>
      </c>
      <c r="O413" s="190" t="str">
        <f t="shared" si="6"/>
        <v>[S05_DefaultValues][129][InstallationCategory]</v>
      </c>
    </row>
    <row r="414" spans="1:15" x14ac:dyDescent="0.3">
      <c r="A414" t="s">
        <v>2278</v>
      </c>
      <c r="B414" t="s">
        <v>1847</v>
      </c>
      <c r="C414" t="s">
        <v>1855</v>
      </c>
      <c r="D414">
        <v>130</v>
      </c>
      <c r="E414" t="s">
        <v>1447</v>
      </c>
      <c r="F414" t="s">
        <v>1856</v>
      </c>
      <c r="G414" t="s">
        <v>1737</v>
      </c>
      <c r="H414" t="s">
        <v>2277</v>
      </c>
      <c r="I414" t="s">
        <v>2277</v>
      </c>
      <c r="J414" t="s">
        <v>2277</v>
      </c>
      <c r="K414" t="s">
        <v>2277</v>
      </c>
      <c r="L414" t="s">
        <v>1455</v>
      </c>
      <c r="M414" t="s">
        <v>2277</v>
      </c>
      <c r="N414" t="s">
        <v>2277</v>
      </c>
      <c r="O414" s="190" t="str">
        <f t="shared" si="6"/>
        <v>[S05_DefaultValues][130][InstallationCategory]</v>
      </c>
    </row>
    <row r="415" spans="1:15" x14ac:dyDescent="0.3">
      <c r="A415" t="s">
        <v>2278</v>
      </c>
      <c r="B415" t="s">
        <v>1847</v>
      </c>
      <c r="C415" t="s">
        <v>1855</v>
      </c>
      <c r="D415">
        <v>131</v>
      </c>
      <c r="E415" t="s">
        <v>1447</v>
      </c>
      <c r="F415" t="s">
        <v>1856</v>
      </c>
      <c r="G415" t="s">
        <v>1737</v>
      </c>
      <c r="H415" t="s">
        <v>2277</v>
      </c>
      <c r="I415" t="s">
        <v>2277</v>
      </c>
      <c r="J415" t="s">
        <v>2277</v>
      </c>
      <c r="K415" t="s">
        <v>2277</v>
      </c>
      <c r="L415" t="s">
        <v>1455</v>
      </c>
      <c r="M415" t="s">
        <v>2277</v>
      </c>
      <c r="N415" t="s">
        <v>2277</v>
      </c>
      <c r="O415" s="190" t="str">
        <f t="shared" si="6"/>
        <v>[S05_DefaultValues][131][InstallationCategory]</v>
      </c>
    </row>
    <row r="416" spans="1:15" x14ac:dyDescent="0.3">
      <c r="A416" t="s">
        <v>2278</v>
      </c>
      <c r="B416" t="s">
        <v>1847</v>
      </c>
      <c r="C416" t="s">
        <v>1855</v>
      </c>
      <c r="D416">
        <v>132</v>
      </c>
      <c r="E416" t="s">
        <v>1447</v>
      </c>
      <c r="F416" t="s">
        <v>1856</v>
      </c>
      <c r="G416" t="s">
        <v>1737</v>
      </c>
      <c r="H416" t="s">
        <v>2277</v>
      </c>
      <c r="I416" t="s">
        <v>2277</v>
      </c>
      <c r="J416" t="s">
        <v>2277</v>
      </c>
      <c r="K416" t="s">
        <v>2277</v>
      </c>
      <c r="L416" t="s">
        <v>1455</v>
      </c>
      <c r="M416" t="s">
        <v>2277</v>
      </c>
      <c r="N416" t="s">
        <v>2277</v>
      </c>
      <c r="O416" s="190" t="str">
        <f t="shared" si="6"/>
        <v>[S05_DefaultValues][132][InstallationCategory]</v>
      </c>
    </row>
    <row r="417" spans="1:15" x14ac:dyDescent="0.3">
      <c r="A417" t="s">
        <v>2278</v>
      </c>
      <c r="B417" t="s">
        <v>1847</v>
      </c>
      <c r="C417" t="s">
        <v>1855</v>
      </c>
      <c r="D417">
        <v>133</v>
      </c>
      <c r="E417" t="s">
        <v>1447</v>
      </c>
      <c r="F417" t="s">
        <v>1856</v>
      </c>
      <c r="G417" t="s">
        <v>1737</v>
      </c>
      <c r="H417" t="s">
        <v>2277</v>
      </c>
      <c r="I417" t="s">
        <v>2277</v>
      </c>
      <c r="J417" t="s">
        <v>2277</v>
      </c>
      <c r="K417" t="s">
        <v>2277</v>
      </c>
      <c r="L417" t="s">
        <v>1455</v>
      </c>
      <c r="M417" t="s">
        <v>2277</v>
      </c>
      <c r="N417" t="s">
        <v>2277</v>
      </c>
      <c r="O417" s="190" t="str">
        <f t="shared" si="6"/>
        <v>[S05_DefaultValues][133][InstallationCategory]</v>
      </c>
    </row>
    <row r="418" spans="1:15" x14ac:dyDescent="0.3">
      <c r="A418" t="s">
        <v>2278</v>
      </c>
      <c r="B418" t="s">
        <v>1847</v>
      </c>
      <c r="C418" t="s">
        <v>1855</v>
      </c>
      <c r="D418">
        <v>134</v>
      </c>
      <c r="E418" t="s">
        <v>1447</v>
      </c>
      <c r="F418" t="s">
        <v>1856</v>
      </c>
      <c r="G418" t="s">
        <v>1737</v>
      </c>
      <c r="H418" t="s">
        <v>2277</v>
      </c>
      <c r="I418" t="s">
        <v>2277</v>
      </c>
      <c r="J418" t="s">
        <v>2277</v>
      </c>
      <c r="K418" t="s">
        <v>2277</v>
      </c>
      <c r="L418" t="s">
        <v>1455</v>
      </c>
      <c r="M418" t="s">
        <v>2277</v>
      </c>
      <c r="N418" t="s">
        <v>2277</v>
      </c>
      <c r="O418" s="190" t="str">
        <f t="shared" si="6"/>
        <v>[S05_DefaultValues][134][InstallationCategory]</v>
      </c>
    </row>
    <row r="419" spans="1:15" x14ac:dyDescent="0.3">
      <c r="A419" t="s">
        <v>2278</v>
      </c>
      <c r="B419" t="s">
        <v>1847</v>
      </c>
      <c r="C419" t="s">
        <v>1855</v>
      </c>
      <c r="D419">
        <v>135</v>
      </c>
      <c r="E419" t="s">
        <v>1447</v>
      </c>
      <c r="F419" t="s">
        <v>1856</v>
      </c>
      <c r="G419" t="s">
        <v>1737</v>
      </c>
      <c r="H419" t="s">
        <v>2277</v>
      </c>
      <c r="I419" t="s">
        <v>2277</v>
      </c>
      <c r="J419" t="s">
        <v>2277</v>
      </c>
      <c r="K419" t="s">
        <v>2277</v>
      </c>
      <c r="L419" t="s">
        <v>1455</v>
      </c>
      <c r="M419" t="s">
        <v>2277</v>
      </c>
      <c r="N419" t="s">
        <v>2277</v>
      </c>
      <c r="O419" s="190" t="str">
        <f t="shared" si="6"/>
        <v>[S05_DefaultValues][135][InstallationCategory]</v>
      </c>
    </row>
    <row r="420" spans="1:15" x14ac:dyDescent="0.3">
      <c r="A420" t="s">
        <v>2278</v>
      </c>
      <c r="B420" t="s">
        <v>1847</v>
      </c>
      <c r="C420" t="s">
        <v>1855</v>
      </c>
      <c r="D420">
        <v>136</v>
      </c>
      <c r="E420" t="s">
        <v>1447</v>
      </c>
      <c r="F420" t="s">
        <v>1856</v>
      </c>
      <c r="G420" t="s">
        <v>1737</v>
      </c>
      <c r="H420" t="s">
        <v>2277</v>
      </c>
      <c r="I420" t="s">
        <v>2277</v>
      </c>
      <c r="J420" t="s">
        <v>2277</v>
      </c>
      <c r="K420" t="s">
        <v>2277</v>
      </c>
      <c r="L420" t="s">
        <v>1455</v>
      </c>
      <c r="M420" t="s">
        <v>2277</v>
      </c>
      <c r="N420" t="s">
        <v>2277</v>
      </c>
      <c r="O420" s="190" t="str">
        <f t="shared" si="6"/>
        <v>[S05_DefaultValues][136][InstallationCategory]</v>
      </c>
    </row>
    <row r="421" spans="1:15" x14ac:dyDescent="0.3">
      <c r="A421" t="s">
        <v>2278</v>
      </c>
      <c r="B421" t="s">
        <v>1847</v>
      </c>
      <c r="C421" t="s">
        <v>1855</v>
      </c>
      <c r="D421">
        <v>137</v>
      </c>
      <c r="E421" t="s">
        <v>1447</v>
      </c>
      <c r="F421" t="s">
        <v>1856</v>
      </c>
      <c r="G421" t="s">
        <v>1737</v>
      </c>
      <c r="H421" t="s">
        <v>2277</v>
      </c>
      <c r="I421" t="s">
        <v>2277</v>
      </c>
      <c r="J421" t="s">
        <v>2277</v>
      </c>
      <c r="K421" t="s">
        <v>2277</v>
      </c>
      <c r="L421" t="s">
        <v>1455</v>
      </c>
      <c r="M421" t="s">
        <v>2277</v>
      </c>
      <c r="N421" t="s">
        <v>2277</v>
      </c>
      <c r="O421" s="190" t="str">
        <f t="shared" si="6"/>
        <v>[S05_DefaultValues][137][InstallationCategory]</v>
      </c>
    </row>
    <row r="422" spans="1:15" x14ac:dyDescent="0.3">
      <c r="A422" t="s">
        <v>2278</v>
      </c>
      <c r="B422" t="s">
        <v>1847</v>
      </c>
      <c r="C422" t="s">
        <v>1855</v>
      </c>
      <c r="D422">
        <v>138</v>
      </c>
      <c r="E422" t="s">
        <v>1447</v>
      </c>
      <c r="F422" t="s">
        <v>1856</v>
      </c>
      <c r="G422" t="s">
        <v>1737</v>
      </c>
      <c r="H422" t="s">
        <v>2277</v>
      </c>
      <c r="I422" t="s">
        <v>2277</v>
      </c>
      <c r="J422" t="s">
        <v>2277</v>
      </c>
      <c r="K422" t="s">
        <v>2277</v>
      </c>
      <c r="L422" t="s">
        <v>1455</v>
      </c>
      <c r="M422" t="s">
        <v>2277</v>
      </c>
      <c r="N422" t="s">
        <v>2277</v>
      </c>
      <c r="O422" s="190" t="str">
        <f t="shared" si="6"/>
        <v>[S05_DefaultValues][138][InstallationCategory]</v>
      </c>
    </row>
    <row r="423" spans="1:15" x14ac:dyDescent="0.3">
      <c r="A423" t="s">
        <v>2278</v>
      </c>
      <c r="B423" t="s">
        <v>1847</v>
      </c>
      <c r="C423" t="s">
        <v>1855</v>
      </c>
      <c r="D423">
        <v>139</v>
      </c>
      <c r="E423" t="s">
        <v>1447</v>
      </c>
      <c r="F423" t="s">
        <v>1856</v>
      </c>
      <c r="G423" t="s">
        <v>1737</v>
      </c>
      <c r="H423" t="s">
        <v>2277</v>
      </c>
      <c r="I423" t="s">
        <v>2277</v>
      </c>
      <c r="J423" t="s">
        <v>2277</v>
      </c>
      <c r="K423" t="s">
        <v>2277</v>
      </c>
      <c r="L423" t="s">
        <v>1455</v>
      </c>
      <c r="M423" t="s">
        <v>2277</v>
      </c>
      <c r="N423" t="s">
        <v>2277</v>
      </c>
      <c r="O423" s="190" t="str">
        <f t="shared" si="6"/>
        <v>[S05_DefaultValues][139][InstallationCategory]</v>
      </c>
    </row>
    <row r="424" spans="1:15" x14ac:dyDescent="0.3">
      <c r="A424" t="s">
        <v>2278</v>
      </c>
      <c r="B424" t="s">
        <v>1847</v>
      </c>
      <c r="C424" t="s">
        <v>1855</v>
      </c>
      <c r="D424">
        <v>140</v>
      </c>
      <c r="E424" t="s">
        <v>1447</v>
      </c>
      <c r="F424" t="s">
        <v>1856</v>
      </c>
      <c r="G424" t="s">
        <v>1737</v>
      </c>
      <c r="H424" t="s">
        <v>2277</v>
      </c>
      <c r="I424" t="s">
        <v>2277</v>
      </c>
      <c r="J424" t="s">
        <v>2277</v>
      </c>
      <c r="K424" t="s">
        <v>2277</v>
      </c>
      <c r="L424" t="s">
        <v>1455</v>
      </c>
      <c r="M424" t="s">
        <v>2277</v>
      </c>
      <c r="N424" t="s">
        <v>2277</v>
      </c>
      <c r="O424" s="190" t="str">
        <f t="shared" si="6"/>
        <v>[S05_DefaultValues][140][InstallationCategory]</v>
      </c>
    </row>
    <row r="425" spans="1:15" x14ac:dyDescent="0.3">
      <c r="A425" t="s">
        <v>2278</v>
      </c>
      <c r="B425" t="s">
        <v>1847</v>
      </c>
      <c r="C425" t="s">
        <v>1855</v>
      </c>
      <c r="D425">
        <v>141</v>
      </c>
      <c r="E425" t="s">
        <v>1447</v>
      </c>
      <c r="F425" t="s">
        <v>1856</v>
      </c>
      <c r="G425" t="s">
        <v>1737</v>
      </c>
      <c r="H425" t="s">
        <v>2277</v>
      </c>
      <c r="I425" t="s">
        <v>2277</v>
      </c>
      <c r="J425" t="s">
        <v>2277</v>
      </c>
      <c r="K425" t="s">
        <v>2277</v>
      </c>
      <c r="L425" t="s">
        <v>1455</v>
      </c>
      <c r="M425" t="s">
        <v>2277</v>
      </c>
      <c r="N425" t="s">
        <v>2277</v>
      </c>
      <c r="O425" s="190" t="str">
        <f t="shared" si="6"/>
        <v>[S05_DefaultValues][141][InstallationCategory]</v>
      </c>
    </row>
    <row r="426" spans="1:15" x14ac:dyDescent="0.3">
      <c r="A426" t="s">
        <v>2278</v>
      </c>
      <c r="B426" t="s">
        <v>1847</v>
      </c>
      <c r="C426" t="s">
        <v>1855</v>
      </c>
      <c r="D426">
        <v>142</v>
      </c>
      <c r="E426" t="s">
        <v>1447</v>
      </c>
      <c r="F426" t="s">
        <v>1856</v>
      </c>
      <c r="G426" t="s">
        <v>1737</v>
      </c>
      <c r="H426" t="s">
        <v>2277</v>
      </c>
      <c r="I426" t="s">
        <v>2277</v>
      </c>
      <c r="J426" t="s">
        <v>2277</v>
      </c>
      <c r="K426" t="s">
        <v>2277</v>
      </c>
      <c r="L426" t="s">
        <v>1455</v>
      </c>
      <c r="M426" t="s">
        <v>2277</v>
      </c>
      <c r="N426" t="s">
        <v>2277</v>
      </c>
      <c r="O426" s="190" t="str">
        <f t="shared" si="6"/>
        <v>[S05_DefaultValues][142][InstallationCategory]</v>
      </c>
    </row>
    <row r="427" spans="1:15" x14ac:dyDescent="0.3">
      <c r="A427" t="s">
        <v>2278</v>
      </c>
      <c r="B427" t="s">
        <v>1847</v>
      </c>
      <c r="C427" t="s">
        <v>1855</v>
      </c>
      <c r="D427">
        <v>143</v>
      </c>
      <c r="E427" t="s">
        <v>1447</v>
      </c>
      <c r="F427" t="s">
        <v>1856</v>
      </c>
      <c r="G427" t="s">
        <v>1737</v>
      </c>
      <c r="H427" t="s">
        <v>2277</v>
      </c>
      <c r="I427" t="s">
        <v>2277</v>
      </c>
      <c r="J427" t="s">
        <v>2277</v>
      </c>
      <c r="K427" t="s">
        <v>2277</v>
      </c>
      <c r="L427" t="s">
        <v>1455</v>
      </c>
      <c r="M427" t="s">
        <v>2277</v>
      </c>
      <c r="N427" t="s">
        <v>2277</v>
      </c>
      <c r="O427" s="190" t="str">
        <f t="shared" si="6"/>
        <v>[S05_DefaultValues][143][InstallationCategory]</v>
      </c>
    </row>
    <row r="428" spans="1:15" x14ac:dyDescent="0.3">
      <c r="A428" t="s">
        <v>2278</v>
      </c>
      <c r="B428" t="s">
        <v>1847</v>
      </c>
      <c r="C428" t="s">
        <v>1855</v>
      </c>
      <c r="D428">
        <v>144</v>
      </c>
      <c r="E428" t="s">
        <v>1447</v>
      </c>
      <c r="F428" t="s">
        <v>1856</v>
      </c>
      <c r="G428" t="s">
        <v>1737</v>
      </c>
      <c r="H428" t="s">
        <v>2277</v>
      </c>
      <c r="I428" t="s">
        <v>2277</v>
      </c>
      <c r="J428" t="s">
        <v>2277</v>
      </c>
      <c r="K428" t="s">
        <v>2277</v>
      </c>
      <c r="L428" t="s">
        <v>1455</v>
      </c>
      <c r="M428" t="s">
        <v>2277</v>
      </c>
      <c r="N428" t="s">
        <v>2277</v>
      </c>
      <c r="O428" s="190" t="str">
        <f t="shared" si="6"/>
        <v>[S05_DefaultValues][144][InstallationCategory]</v>
      </c>
    </row>
    <row r="429" spans="1:15" x14ac:dyDescent="0.3">
      <c r="A429" t="s">
        <v>2278</v>
      </c>
      <c r="B429" t="s">
        <v>1847</v>
      </c>
      <c r="C429" t="s">
        <v>1855</v>
      </c>
      <c r="D429">
        <v>145</v>
      </c>
      <c r="E429" t="s">
        <v>1447</v>
      </c>
      <c r="F429" t="s">
        <v>1856</v>
      </c>
      <c r="G429" t="s">
        <v>1737</v>
      </c>
      <c r="H429" t="s">
        <v>2277</v>
      </c>
      <c r="I429" t="s">
        <v>2277</v>
      </c>
      <c r="J429" t="s">
        <v>2277</v>
      </c>
      <c r="K429" t="s">
        <v>2277</v>
      </c>
      <c r="L429" t="s">
        <v>1455</v>
      </c>
      <c r="M429" t="s">
        <v>2277</v>
      </c>
      <c r="N429" t="s">
        <v>2277</v>
      </c>
      <c r="O429" s="190" t="str">
        <f t="shared" si="6"/>
        <v>[S05_DefaultValues][145][InstallationCategory]</v>
      </c>
    </row>
    <row r="430" spans="1:15" x14ac:dyDescent="0.3">
      <c r="A430" t="s">
        <v>2278</v>
      </c>
      <c r="B430" t="s">
        <v>1847</v>
      </c>
      <c r="C430" t="s">
        <v>1855</v>
      </c>
      <c r="D430">
        <v>146</v>
      </c>
      <c r="E430" t="s">
        <v>1447</v>
      </c>
      <c r="F430" t="s">
        <v>1856</v>
      </c>
      <c r="G430" t="s">
        <v>1737</v>
      </c>
      <c r="H430" t="s">
        <v>2277</v>
      </c>
      <c r="I430" t="s">
        <v>2277</v>
      </c>
      <c r="J430" t="s">
        <v>2277</v>
      </c>
      <c r="K430" t="s">
        <v>2277</v>
      </c>
      <c r="L430" t="s">
        <v>1455</v>
      </c>
      <c r="M430" t="s">
        <v>2277</v>
      </c>
      <c r="N430" t="s">
        <v>2277</v>
      </c>
      <c r="O430" s="190" t="str">
        <f t="shared" si="6"/>
        <v>[S05_DefaultValues][146][InstallationCategory]</v>
      </c>
    </row>
    <row r="431" spans="1:15" x14ac:dyDescent="0.3">
      <c r="A431" t="s">
        <v>2278</v>
      </c>
      <c r="B431" t="s">
        <v>1847</v>
      </c>
      <c r="C431" t="s">
        <v>1855</v>
      </c>
      <c r="D431">
        <v>147</v>
      </c>
      <c r="E431" t="s">
        <v>1447</v>
      </c>
      <c r="F431" t="s">
        <v>1856</v>
      </c>
      <c r="G431" t="s">
        <v>1737</v>
      </c>
      <c r="H431" t="s">
        <v>2277</v>
      </c>
      <c r="I431" t="s">
        <v>2277</v>
      </c>
      <c r="J431" t="s">
        <v>2277</v>
      </c>
      <c r="K431" t="s">
        <v>2277</v>
      </c>
      <c r="L431" t="s">
        <v>1455</v>
      </c>
      <c r="M431" t="s">
        <v>2277</v>
      </c>
      <c r="N431" t="s">
        <v>2277</v>
      </c>
      <c r="O431" s="190" t="str">
        <f t="shared" si="6"/>
        <v>[S05_DefaultValues][147][InstallationCategory]</v>
      </c>
    </row>
    <row r="432" spans="1:15" x14ac:dyDescent="0.3">
      <c r="A432" t="s">
        <v>2278</v>
      </c>
      <c r="B432" t="s">
        <v>1847</v>
      </c>
      <c r="C432" t="s">
        <v>1855</v>
      </c>
      <c r="D432">
        <v>148</v>
      </c>
      <c r="E432" t="s">
        <v>1447</v>
      </c>
      <c r="F432" t="s">
        <v>1856</v>
      </c>
      <c r="G432" t="s">
        <v>1737</v>
      </c>
      <c r="H432" t="s">
        <v>2277</v>
      </c>
      <c r="I432" t="s">
        <v>2277</v>
      </c>
      <c r="J432" t="s">
        <v>2277</v>
      </c>
      <c r="K432" t="s">
        <v>2277</v>
      </c>
      <c r="L432" t="s">
        <v>1455</v>
      </c>
      <c r="M432" t="s">
        <v>2277</v>
      </c>
      <c r="N432" t="s">
        <v>2277</v>
      </c>
      <c r="O432" s="190" t="str">
        <f t="shared" si="6"/>
        <v>[S05_DefaultValues][148][InstallationCategory]</v>
      </c>
    </row>
    <row r="433" spans="1:15" x14ac:dyDescent="0.3">
      <c r="A433" t="s">
        <v>2278</v>
      </c>
      <c r="B433" t="s">
        <v>1847</v>
      </c>
      <c r="C433" t="s">
        <v>1855</v>
      </c>
      <c r="D433">
        <v>149</v>
      </c>
      <c r="E433" t="s">
        <v>1447</v>
      </c>
      <c r="F433" t="s">
        <v>1856</v>
      </c>
      <c r="G433" t="s">
        <v>1737</v>
      </c>
      <c r="H433" t="s">
        <v>2277</v>
      </c>
      <c r="I433" t="s">
        <v>2277</v>
      </c>
      <c r="J433" t="s">
        <v>2277</v>
      </c>
      <c r="K433" t="s">
        <v>2277</v>
      </c>
      <c r="L433" t="s">
        <v>1455</v>
      </c>
      <c r="M433" t="s">
        <v>2277</v>
      </c>
      <c r="N433" t="s">
        <v>2277</v>
      </c>
      <c r="O433" s="190" t="str">
        <f t="shared" si="6"/>
        <v>[S05_DefaultValues][149][InstallationCategory]</v>
      </c>
    </row>
    <row r="434" spans="1:15" x14ac:dyDescent="0.3">
      <c r="A434" t="s">
        <v>2278</v>
      </c>
      <c r="B434" t="s">
        <v>1847</v>
      </c>
      <c r="C434" t="s">
        <v>1855</v>
      </c>
      <c r="D434">
        <v>150</v>
      </c>
      <c r="E434" t="s">
        <v>1447</v>
      </c>
      <c r="F434" t="s">
        <v>1856</v>
      </c>
      <c r="G434" t="s">
        <v>1737</v>
      </c>
      <c r="H434" t="s">
        <v>2277</v>
      </c>
      <c r="I434" t="s">
        <v>2277</v>
      </c>
      <c r="J434" t="s">
        <v>2277</v>
      </c>
      <c r="K434" t="s">
        <v>2277</v>
      </c>
      <c r="L434" t="s">
        <v>1455</v>
      </c>
      <c r="M434" t="s">
        <v>2277</v>
      </c>
      <c r="N434" t="s">
        <v>2277</v>
      </c>
      <c r="O434" s="190" t="str">
        <f t="shared" si="6"/>
        <v>[S05_DefaultValues][150][InstallationCategory]</v>
      </c>
    </row>
    <row r="435" spans="1:15" x14ac:dyDescent="0.3">
      <c r="A435" t="s">
        <v>2278</v>
      </c>
      <c r="B435" t="s">
        <v>1847</v>
      </c>
      <c r="C435" t="s">
        <v>1855</v>
      </c>
      <c r="D435">
        <v>151</v>
      </c>
      <c r="E435" t="s">
        <v>1447</v>
      </c>
      <c r="F435" t="s">
        <v>1856</v>
      </c>
      <c r="G435" t="s">
        <v>1737</v>
      </c>
      <c r="H435" t="s">
        <v>2277</v>
      </c>
      <c r="I435" t="s">
        <v>2277</v>
      </c>
      <c r="J435" t="s">
        <v>2277</v>
      </c>
      <c r="K435" t="s">
        <v>2277</v>
      </c>
      <c r="L435" t="s">
        <v>1455</v>
      </c>
      <c r="M435" t="s">
        <v>2277</v>
      </c>
      <c r="N435" t="s">
        <v>2277</v>
      </c>
      <c r="O435" s="190" t="str">
        <f t="shared" si="6"/>
        <v>[S05_DefaultValues][151][InstallationCategory]</v>
      </c>
    </row>
    <row r="436" spans="1:15" x14ac:dyDescent="0.3">
      <c r="A436" t="s">
        <v>2278</v>
      </c>
      <c r="B436" t="s">
        <v>1847</v>
      </c>
      <c r="C436" t="s">
        <v>1855</v>
      </c>
      <c r="D436">
        <v>152</v>
      </c>
      <c r="E436" t="s">
        <v>1447</v>
      </c>
      <c r="F436" t="s">
        <v>1856</v>
      </c>
      <c r="G436" t="s">
        <v>1737</v>
      </c>
      <c r="H436" t="s">
        <v>2277</v>
      </c>
      <c r="I436" t="s">
        <v>2277</v>
      </c>
      <c r="J436" t="s">
        <v>2277</v>
      </c>
      <c r="K436" t="s">
        <v>2277</v>
      </c>
      <c r="L436" t="s">
        <v>1455</v>
      </c>
      <c r="M436" t="s">
        <v>2277</v>
      </c>
      <c r="N436" t="s">
        <v>2277</v>
      </c>
      <c r="O436" s="190" t="str">
        <f t="shared" si="6"/>
        <v>[S05_DefaultValues][152][InstallationCategory]</v>
      </c>
    </row>
    <row r="437" spans="1:15" x14ac:dyDescent="0.3">
      <c r="A437" t="s">
        <v>2278</v>
      </c>
      <c r="B437" t="s">
        <v>1847</v>
      </c>
      <c r="C437" t="s">
        <v>1855</v>
      </c>
      <c r="D437">
        <v>153</v>
      </c>
      <c r="E437" t="s">
        <v>1447</v>
      </c>
      <c r="F437" t="s">
        <v>1856</v>
      </c>
      <c r="G437" t="s">
        <v>1737</v>
      </c>
      <c r="H437" t="s">
        <v>2277</v>
      </c>
      <c r="I437" t="s">
        <v>2277</v>
      </c>
      <c r="J437" t="s">
        <v>2277</v>
      </c>
      <c r="K437" t="s">
        <v>2277</v>
      </c>
      <c r="L437" t="s">
        <v>1455</v>
      </c>
      <c r="M437" t="s">
        <v>2277</v>
      </c>
      <c r="N437" t="s">
        <v>2277</v>
      </c>
      <c r="O437" s="190" t="str">
        <f t="shared" si="6"/>
        <v>[S05_DefaultValues][153][InstallationCategory]</v>
      </c>
    </row>
    <row r="438" spans="1:15" x14ac:dyDescent="0.3">
      <c r="A438" t="s">
        <v>2278</v>
      </c>
      <c r="B438" t="s">
        <v>1847</v>
      </c>
      <c r="C438" t="s">
        <v>1855</v>
      </c>
      <c r="D438">
        <v>154</v>
      </c>
      <c r="E438" t="s">
        <v>1447</v>
      </c>
      <c r="F438" t="s">
        <v>1856</v>
      </c>
      <c r="G438" t="s">
        <v>1737</v>
      </c>
      <c r="H438" t="s">
        <v>2277</v>
      </c>
      <c r="I438" t="s">
        <v>2277</v>
      </c>
      <c r="J438" t="s">
        <v>2277</v>
      </c>
      <c r="K438" t="s">
        <v>2277</v>
      </c>
      <c r="L438" t="s">
        <v>1455</v>
      </c>
      <c r="M438" t="s">
        <v>2277</v>
      </c>
      <c r="N438" t="s">
        <v>2277</v>
      </c>
      <c r="O438" s="190" t="str">
        <f t="shared" si="6"/>
        <v>[S05_DefaultValues][154][InstallationCategory]</v>
      </c>
    </row>
    <row r="439" spans="1:15" x14ac:dyDescent="0.3">
      <c r="A439" t="s">
        <v>2278</v>
      </c>
      <c r="B439" t="s">
        <v>1847</v>
      </c>
      <c r="C439" t="s">
        <v>1855</v>
      </c>
      <c r="D439">
        <v>155</v>
      </c>
      <c r="E439" t="s">
        <v>1447</v>
      </c>
      <c r="F439" t="s">
        <v>1856</v>
      </c>
      <c r="G439" t="s">
        <v>1737</v>
      </c>
      <c r="H439" t="s">
        <v>2277</v>
      </c>
      <c r="I439" t="s">
        <v>2277</v>
      </c>
      <c r="J439" t="s">
        <v>2277</v>
      </c>
      <c r="K439" t="s">
        <v>2277</v>
      </c>
      <c r="L439" t="s">
        <v>1455</v>
      </c>
      <c r="M439" t="s">
        <v>2277</v>
      </c>
      <c r="N439" t="s">
        <v>2277</v>
      </c>
      <c r="O439" s="190" t="str">
        <f t="shared" si="6"/>
        <v>[S05_DefaultValues][155][InstallationCategory]</v>
      </c>
    </row>
    <row r="440" spans="1:15" x14ac:dyDescent="0.3">
      <c r="A440" t="s">
        <v>2278</v>
      </c>
      <c r="B440" t="s">
        <v>1847</v>
      </c>
      <c r="C440" t="s">
        <v>1855</v>
      </c>
      <c r="D440">
        <v>156</v>
      </c>
      <c r="E440" t="s">
        <v>1447</v>
      </c>
      <c r="F440" t="s">
        <v>1856</v>
      </c>
      <c r="G440" t="s">
        <v>1737</v>
      </c>
      <c r="H440" t="s">
        <v>2277</v>
      </c>
      <c r="I440" t="s">
        <v>2277</v>
      </c>
      <c r="J440" t="s">
        <v>2277</v>
      </c>
      <c r="K440" t="s">
        <v>2277</v>
      </c>
      <c r="L440" t="s">
        <v>1455</v>
      </c>
      <c r="M440" t="s">
        <v>2277</v>
      </c>
      <c r="N440" t="s">
        <v>2277</v>
      </c>
      <c r="O440" s="190" t="str">
        <f t="shared" si="6"/>
        <v>[S05_DefaultValues][156][InstallationCategory]</v>
      </c>
    </row>
    <row r="441" spans="1:15" x14ac:dyDescent="0.3">
      <c r="A441" t="s">
        <v>2278</v>
      </c>
      <c r="B441" t="s">
        <v>1847</v>
      </c>
      <c r="C441" t="s">
        <v>1855</v>
      </c>
      <c r="D441">
        <v>157</v>
      </c>
      <c r="E441" t="s">
        <v>1447</v>
      </c>
      <c r="F441" t="s">
        <v>1856</v>
      </c>
      <c r="G441" t="s">
        <v>1737</v>
      </c>
      <c r="H441" t="s">
        <v>2277</v>
      </c>
      <c r="I441" t="s">
        <v>2277</v>
      </c>
      <c r="J441" t="s">
        <v>2277</v>
      </c>
      <c r="K441" t="s">
        <v>2277</v>
      </c>
      <c r="L441" t="s">
        <v>1455</v>
      </c>
      <c r="M441" t="s">
        <v>2277</v>
      </c>
      <c r="N441" t="s">
        <v>2277</v>
      </c>
      <c r="O441" s="190" t="str">
        <f t="shared" si="6"/>
        <v>[S05_DefaultValues][157][InstallationCategory]</v>
      </c>
    </row>
    <row r="442" spans="1:15" x14ac:dyDescent="0.3">
      <c r="A442" t="s">
        <v>2278</v>
      </c>
      <c r="B442" t="s">
        <v>1847</v>
      </c>
      <c r="C442" t="s">
        <v>1855</v>
      </c>
      <c r="D442">
        <v>158</v>
      </c>
      <c r="E442" t="s">
        <v>1447</v>
      </c>
      <c r="F442" t="s">
        <v>1856</v>
      </c>
      <c r="G442" t="s">
        <v>1737</v>
      </c>
      <c r="H442" t="s">
        <v>2277</v>
      </c>
      <c r="I442" t="s">
        <v>2277</v>
      </c>
      <c r="J442" t="s">
        <v>2277</v>
      </c>
      <c r="K442" t="s">
        <v>2277</v>
      </c>
      <c r="L442" t="s">
        <v>1455</v>
      </c>
      <c r="M442" t="s">
        <v>2277</v>
      </c>
      <c r="N442" t="s">
        <v>2277</v>
      </c>
      <c r="O442" s="190" t="str">
        <f t="shared" si="6"/>
        <v>[S05_DefaultValues][158][InstallationCategory]</v>
      </c>
    </row>
    <row r="443" spans="1:15" x14ac:dyDescent="0.3">
      <c r="A443" t="s">
        <v>2278</v>
      </c>
      <c r="B443" t="s">
        <v>1847</v>
      </c>
      <c r="C443" t="s">
        <v>1855</v>
      </c>
      <c r="D443">
        <v>159</v>
      </c>
      <c r="E443" t="s">
        <v>1447</v>
      </c>
      <c r="F443" t="s">
        <v>1856</v>
      </c>
      <c r="G443" t="s">
        <v>1737</v>
      </c>
      <c r="H443" t="s">
        <v>2277</v>
      </c>
      <c r="I443" t="s">
        <v>2277</v>
      </c>
      <c r="J443" t="s">
        <v>2277</v>
      </c>
      <c r="K443" t="s">
        <v>2277</v>
      </c>
      <c r="L443" t="s">
        <v>1455</v>
      </c>
      <c r="M443" t="s">
        <v>2277</v>
      </c>
      <c r="N443" t="s">
        <v>2277</v>
      </c>
      <c r="O443" s="190" t="str">
        <f t="shared" si="6"/>
        <v>[S05_DefaultValues][159][InstallationCategory]</v>
      </c>
    </row>
    <row r="444" spans="1:15" x14ac:dyDescent="0.3">
      <c r="A444" t="s">
        <v>2278</v>
      </c>
      <c r="B444" t="s">
        <v>1847</v>
      </c>
      <c r="C444" t="s">
        <v>1855</v>
      </c>
      <c r="D444">
        <v>160</v>
      </c>
      <c r="E444" t="s">
        <v>1447</v>
      </c>
      <c r="F444" t="s">
        <v>1856</v>
      </c>
      <c r="G444" t="s">
        <v>1737</v>
      </c>
      <c r="H444" t="s">
        <v>2277</v>
      </c>
      <c r="I444" t="s">
        <v>2277</v>
      </c>
      <c r="J444" t="s">
        <v>2277</v>
      </c>
      <c r="K444" t="s">
        <v>2277</v>
      </c>
      <c r="L444" t="s">
        <v>1455</v>
      </c>
      <c r="M444" t="s">
        <v>2277</v>
      </c>
      <c r="N444" t="s">
        <v>2277</v>
      </c>
      <c r="O444" s="190" t="str">
        <f t="shared" si="6"/>
        <v>[S05_DefaultValues][160][InstallationCategory]</v>
      </c>
    </row>
    <row r="445" spans="1:15" x14ac:dyDescent="0.3">
      <c r="A445" t="s">
        <v>2278</v>
      </c>
      <c r="B445" t="s">
        <v>1847</v>
      </c>
      <c r="C445" t="s">
        <v>1855</v>
      </c>
      <c r="D445">
        <v>161</v>
      </c>
      <c r="E445" t="s">
        <v>1447</v>
      </c>
      <c r="F445" t="s">
        <v>1856</v>
      </c>
      <c r="G445" t="s">
        <v>1737</v>
      </c>
      <c r="H445" t="s">
        <v>2277</v>
      </c>
      <c r="I445" t="s">
        <v>2277</v>
      </c>
      <c r="J445" t="s">
        <v>2277</v>
      </c>
      <c r="K445" t="s">
        <v>2277</v>
      </c>
      <c r="L445" t="s">
        <v>1455</v>
      </c>
      <c r="M445" t="s">
        <v>2277</v>
      </c>
      <c r="N445" t="s">
        <v>2277</v>
      </c>
      <c r="O445" s="190" t="str">
        <f t="shared" si="6"/>
        <v>[S05_DefaultValues][161][InstallationCategory]</v>
      </c>
    </row>
    <row r="446" spans="1:15" x14ac:dyDescent="0.3">
      <c r="A446" t="s">
        <v>2278</v>
      </c>
      <c r="B446" t="s">
        <v>1847</v>
      </c>
      <c r="C446" t="s">
        <v>1855</v>
      </c>
      <c r="D446">
        <v>162</v>
      </c>
      <c r="E446" t="s">
        <v>1447</v>
      </c>
      <c r="F446" t="s">
        <v>1856</v>
      </c>
      <c r="G446" t="s">
        <v>1737</v>
      </c>
      <c r="H446" t="s">
        <v>2277</v>
      </c>
      <c r="I446" t="s">
        <v>2277</v>
      </c>
      <c r="J446" t="s">
        <v>2277</v>
      </c>
      <c r="K446" t="s">
        <v>2277</v>
      </c>
      <c r="L446" t="s">
        <v>1455</v>
      </c>
      <c r="M446" t="s">
        <v>2277</v>
      </c>
      <c r="N446" t="s">
        <v>2277</v>
      </c>
      <c r="O446" s="190" t="str">
        <f t="shared" si="6"/>
        <v>[S05_DefaultValues][162][InstallationCategory]</v>
      </c>
    </row>
    <row r="447" spans="1:15" x14ac:dyDescent="0.3">
      <c r="A447" t="s">
        <v>2278</v>
      </c>
      <c r="B447" t="s">
        <v>1847</v>
      </c>
      <c r="C447" t="s">
        <v>1855</v>
      </c>
      <c r="D447">
        <v>163</v>
      </c>
      <c r="E447" t="s">
        <v>1447</v>
      </c>
      <c r="F447" t="s">
        <v>1856</v>
      </c>
      <c r="G447" t="s">
        <v>1737</v>
      </c>
      <c r="H447" t="s">
        <v>2277</v>
      </c>
      <c r="I447" t="s">
        <v>2277</v>
      </c>
      <c r="J447" t="s">
        <v>2277</v>
      </c>
      <c r="K447" t="s">
        <v>2277</v>
      </c>
      <c r="L447" t="s">
        <v>1455</v>
      </c>
      <c r="M447" t="s">
        <v>2277</v>
      </c>
      <c r="N447" t="s">
        <v>2277</v>
      </c>
      <c r="O447" s="190" t="str">
        <f t="shared" si="6"/>
        <v>[S05_DefaultValues][163][InstallationCategory]</v>
      </c>
    </row>
    <row r="448" spans="1:15" x14ac:dyDescent="0.3">
      <c r="A448" t="s">
        <v>2278</v>
      </c>
      <c r="B448" t="s">
        <v>1847</v>
      </c>
      <c r="C448" t="s">
        <v>1855</v>
      </c>
      <c r="D448">
        <v>164</v>
      </c>
      <c r="E448" t="s">
        <v>1447</v>
      </c>
      <c r="F448" t="s">
        <v>1856</v>
      </c>
      <c r="G448" t="s">
        <v>1737</v>
      </c>
      <c r="H448" t="s">
        <v>2277</v>
      </c>
      <c r="I448" t="s">
        <v>2277</v>
      </c>
      <c r="J448" t="s">
        <v>2277</v>
      </c>
      <c r="K448" t="s">
        <v>2277</v>
      </c>
      <c r="L448" t="s">
        <v>1455</v>
      </c>
      <c r="M448" t="s">
        <v>2277</v>
      </c>
      <c r="N448" t="s">
        <v>2277</v>
      </c>
      <c r="O448" s="190" t="str">
        <f t="shared" si="6"/>
        <v>[S05_DefaultValues][164][InstallationCategory]</v>
      </c>
    </row>
    <row r="449" spans="1:15" x14ac:dyDescent="0.3">
      <c r="A449" t="s">
        <v>2278</v>
      </c>
      <c r="B449" t="s">
        <v>1847</v>
      </c>
      <c r="C449" t="s">
        <v>1855</v>
      </c>
      <c r="D449">
        <v>165</v>
      </c>
      <c r="E449" t="s">
        <v>1447</v>
      </c>
      <c r="F449" t="s">
        <v>1856</v>
      </c>
      <c r="G449" t="s">
        <v>1737</v>
      </c>
      <c r="H449" t="s">
        <v>2277</v>
      </c>
      <c r="I449" t="s">
        <v>2277</v>
      </c>
      <c r="J449" t="s">
        <v>2277</v>
      </c>
      <c r="K449" t="s">
        <v>2277</v>
      </c>
      <c r="L449" t="s">
        <v>1455</v>
      </c>
      <c r="M449" t="s">
        <v>2277</v>
      </c>
      <c r="N449" t="s">
        <v>2277</v>
      </c>
      <c r="O449" s="190" t="str">
        <f t="shared" si="6"/>
        <v>[S05_DefaultValues][165][InstallationCategory]</v>
      </c>
    </row>
    <row r="450" spans="1:15" x14ac:dyDescent="0.3">
      <c r="A450" t="s">
        <v>2278</v>
      </c>
      <c r="B450" t="s">
        <v>1847</v>
      </c>
      <c r="C450" t="s">
        <v>1855</v>
      </c>
      <c r="D450">
        <v>166</v>
      </c>
      <c r="E450" t="s">
        <v>1447</v>
      </c>
      <c r="F450" t="s">
        <v>1856</v>
      </c>
      <c r="G450" t="s">
        <v>1737</v>
      </c>
      <c r="H450" t="s">
        <v>2277</v>
      </c>
      <c r="I450" t="s">
        <v>2277</v>
      </c>
      <c r="J450" t="s">
        <v>2277</v>
      </c>
      <c r="K450" t="s">
        <v>2277</v>
      </c>
      <c r="L450" t="s">
        <v>1455</v>
      </c>
      <c r="M450" t="s">
        <v>2277</v>
      </c>
      <c r="N450" t="s">
        <v>2277</v>
      </c>
      <c r="O450" s="190" t="str">
        <f t="shared" ref="O450:O513" si="7">"["&amp;$C450&amp;"]["&amp;$D450&amp;"]["&amp;$F450&amp;"]"</f>
        <v>[S05_DefaultValues][166][InstallationCategory]</v>
      </c>
    </row>
    <row r="451" spans="1:15" x14ac:dyDescent="0.3">
      <c r="A451" t="s">
        <v>2278</v>
      </c>
      <c r="B451" t="s">
        <v>1847</v>
      </c>
      <c r="C451" t="s">
        <v>1855</v>
      </c>
      <c r="D451">
        <v>167</v>
      </c>
      <c r="E451" t="s">
        <v>1447</v>
      </c>
      <c r="F451" t="s">
        <v>1856</v>
      </c>
      <c r="G451" t="s">
        <v>1737</v>
      </c>
      <c r="H451" t="s">
        <v>2277</v>
      </c>
      <c r="I451" t="s">
        <v>2277</v>
      </c>
      <c r="J451" t="s">
        <v>2277</v>
      </c>
      <c r="K451" t="s">
        <v>2277</v>
      </c>
      <c r="L451" t="s">
        <v>1455</v>
      </c>
      <c r="M451" t="s">
        <v>2277</v>
      </c>
      <c r="N451" t="s">
        <v>2277</v>
      </c>
      <c r="O451" s="190" t="str">
        <f t="shared" si="7"/>
        <v>[S05_DefaultValues][167][InstallationCategory]</v>
      </c>
    </row>
    <row r="452" spans="1:15" x14ac:dyDescent="0.3">
      <c r="A452" t="s">
        <v>2278</v>
      </c>
      <c r="B452" t="s">
        <v>1847</v>
      </c>
      <c r="C452" t="s">
        <v>1855</v>
      </c>
      <c r="D452">
        <v>168</v>
      </c>
      <c r="E452" t="s">
        <v>1447</v>
      </c>
      <c r="F452" t="s">
        <v>1856</v>
      </c>
      <c r="G452" t="s">
        <v>1737</v>
      </c>
      <c r="H452" t="s">
        <v>2277</v>
      </c>
      <c r="I452" t="s">
        <v>2277</v>
      </c>
      <c r="J452" t="s">
        <v>2277</v>
      </c>
      <c r="K452" t="s">
        <v>2277</v>
      </c>
      <c r="L452" t="s">
        <v>1455</v>
      </c>
      <c r="M452" t="s">
        <v>2277</v>
      </c>
      <c r="N452" t="s">
        <v>2277</v>
      </c>
      <c r="O452" s="190" t="str">
        <f t="shared" si="7"/>
        <v>[S05_DefaultValues][168][InstallationCategory]</v>
      </c>
    </row>
    <row r="453" spans="1:15" x14ac:dyDescent="0.3">
      <c r="A453" t="s">
        <v>2278</v>
      </c>
      <c r="B453" t="s">
        <v>1847</v>
      </c>
      <c r="C453" t="s">
        <v>1855</v>
      </c>
      <c r="D453">
        <v>169</v>
      </c>
      <c r="E453" t="s">
        <v>1447</v>
      </c>
      <c r="F453" t="s">
        <v>1856</v>
      </c>
      <c r="G453" t="s">
        <v>1737</v>
      </c>
      <c r="H453" t="s">
        <v>2277</v>
      </c>
      <c r="I453" t="s">
        <v>2277</v>
      </c>
      <c r="J453" t="s">
        <v>2277</v>
      </c>
      <c r="K453" t="s">
        <v>2277</v>
      </c>
      <c r="L453" t="s">
        <v>1455</v>
      </c>
      <c r="M453" t="s">
        <v>2277</v>
      </c>
      <c r="N453" t="s">
        <v>2277</v>
      </c>
      <c r="O453" s="190" t="str">
        <f t="shared" si="7"/>
        <v>[S05_DefaultValues][169][InstallationCategory]</v>
      </c>
    </row>
    <row r="454" spans="1:15" x14ac:dyDescent="0.3">
      <c r="A454" t="s">
        <v>2278</v>
      </c>
      <c r="B454" t="s">
        <v>1847</v>
      </c>
      <c r="C454" t="s">
        <v>1855</v>
      </c>
      <c r="D454">
        <v>170</v>
      </c>
      <c r="E454" t="s">
        <v>1447</v>
      </c>
      <c r="F454" t="s">
        <v>1856</v>
      </c>
      <c r="G454" t="s">
        <v>1737</v>
      </c>
      <c r="H454" t="s">
        <v>2277</v>
      </c>
      <c r="I454" t="s">
        <v>2277</v>
      </c>
      <c r="J454" t="s">
        <v>2277</v>
      </c>
      <c r="K454" t="s">
        <v>2277</v>
      </c>
      <c r="L454" t="s">
        <v>1455</v>
      </c>
      <c r="M454" t="s">
        <v>2277</v>
      </c>
      <c r="N454" t="s">
        <v>2277</v>
      </c>
      <c r="O454" s="190" t="str">
        <f t="shared" si="7"/>
        <v>[S05_DefaultValues][170][InstallationCategory]</v>
      </c>
    </row>
    <row r="455" spans="1:15" x14ac:dyDescent="0.3">
      <c r="A455" t="s">
        <v>2278</v>
      </c>
      <c r="B455" t="s">
        <v>1847</v>
      </c>
      <c r="C455" t="s">
        <v>1855</v>
      </c>
      <c r="D455">
        <v>171</v>
      </c>
      <c r="E455" t="s">
        <v>1447</v>
      </c>
      <c r="F455" t="s">
        <v>1856</v>
      </c>
      <c r="G455" t="s">
        <v>1737</v>
      </c>
      <c r="H455" t="s">
        <v>2277</v>
      </c>
      <c r="I455" t="s">
        <v>2277</v>
      </c>
      <c r="J455" t="s">
        <v>2277</v>
      </c>
      <c r="K455" t="s">
        <v>2277</v>
      </c>
      <c r="L455" t="s">
        <v>1455</v>
      </c>
      <c r="M455" t="s">
        <v>2277</v>
      </c>
      <c r="N455" t="s">
        <v>2277</v>
      </c>
      <c r="O455" s="190" t="str">
        <f t="shared" si="7"/>
        <v>[S05_DefaultValues][171][InstallationCategory]</v>
      </c>
    </row>
    <row r="456" spans="1:15" x14ac:dyDescent="0.3">
      <c r="A456" t="s">
        <v>2278</v>
      </c>
      <c r="B456" t="s">
        <v>1847</v>
      </c>
      <c r="C456" t="s">
        <v>1855</v>
      </c>
      <c r="D456">
        <v>172</v>
      </c>
      <c r="E456" t="s">
        <v>1447</v>
      </c>
      <c r="F456" t="s">
        <v>1856</v>
      </c>
      <c r="G456" t="s">
        <v>1737</v>
      </c>
      <c r="H456" t="s">
        <v>2277</v>
      </c>
      <c r="I456" t="s">
        <v>2277</v>
      </c>
      <c r="J456" t="s">
        <v>2277</v>
      </c>
      <c r="K456" t="s">
        <v>2277</v>
      </c>
      <c r="L456" t="s">
        <v>1455</v>
      </c>
      <c r="M456" t="s">
        <v>2277</v>
      </c>
      <c r="N456" t="s">
        <v>2277</v>
      </c>
      <c r="O456" s="190" t="str">
        <f t="shared" si="7"/>
        <v>[S05_DefaultValues][172][InstallationCategory]</v>
      </c>
    </row>
    <row r="457" spans="1:15" x14ac:dyDescent="0.3">
      <c r="A457" t="s">
        <v>2278</v>
      </c>
      <c r="B457" t="s">
        <v>1847</v>
      </c>
      <c r="C457" t="s">
        <v>1855</v>
      </c>
      <c r="D457">
        <v>173</v>
      </c>
      <c r="E457" t="s">
        <v>1447</v>
      </c>
      <c r="F457" t="s">
        <v>1856</v>
      </c>
      <c r="G457" t="s">
        <v>1737</v>
      </c>
      <c r="H457" t="s">
        <v>2277</v>
      </c>
      <c r="I457" t="s">
        <v>2277</v>
      </c>
      <c r="J457" t="s">
        <v>2277</v>
      </c>
      <c r="K457" t="s">
        <v>2277</v>
      </c>
      <c r="L457" t="s">
        <v>1455</v>
      </c>
      <c r="M457" t="s">
        <v>2277</v>
      </c>
      <c r="N457" t="s">
        <v>2277</v>
      </c>
      <c r="O457" s="190" t="str">
        <f t="shared" si="7"/>
        <v>[S05_DefaultValues][173][InstallationCategory]</v>
      </c>
    </row>
    <row r="458" spans="1:15" x14ac:dyDescent="0.3">
      <c r="A458" t="s">
        <v>2278</v>
      </c>
      <c r="B458" t="s">
        <v>1847</v>
      </c>
      <c r="C458" t="s">
        <v>1855</v>
      </c>
      <c r="D458">
        <v>174</v>
      </c>
      <c r="E458" t="s">
        <v>1447</v>
      </c>
      <c r="F458" t="s">
        <v>1856</v>
      </c>
      <c r="G458" t="s">
        <v>1737</v>
      </c>
      <c r="H458" t="s">
        <v>2277</v>
      </c>
      <c r="I458" t="s">
        <v>2277</v>
      </c>
      <c r="J458" t="s">
        <v>2277</v>
      </c>
      <c r="K458" t="s">
        <v>2277</v>
      </c>
      <c r="L458" t="s">
        <v>1455</v>
      </c>
      <c r="M458" t="s">
        <v>2277</v>
      </c>
      <c r="N458" t="s">
        <v>2277</v>
      </c>
      <c r="O458" s="190" t="str">
        <f t="shared" si="7"/>
        <v>[S05_DefaultValues][174][InstallationCategory]</v>
      </c>
    </row>
    <row r="459" spans="1:15" x14ac:dyDescent="0.3">
      <c r="A459" t="s">
        <v>2278</v>
      </c>
      <c r="B459" t="s">
        <v>1847</v>
      </c>
      <c r="C459" t="s">
        <v>1855</v>
      </c>
      <c r="D459">
        <v>175</v>
      </c>
      <c r="E459" t="s">
        <v>1447</v>
      </c>
      <c r="F459" t="s">
        <v>1856</v>
      </c>
      <c r="G459" t="s">
        <v>1737</v>
      </c>
      <c r="H459" t="s">
        <v>2277</v>
      </c>
      <c r="I459" t="s">
        <v>2277</v>
      </c>
      <c r="J459" t="s">
        <v>2277</v>
      </c>
      <c r="K459" t="s">
        <v>2277</v>
      </c>
      <c r="L459" t="s">
        <v>1455</v>
      </c>
      <c r="M459" t="s">
        <v>2277</v>
      </c>
      <c r="N459" t="s">
        <v>2277</v>
      </c>
      <c r="O459" s="190" t="str">
        <f t="shared" si="7"/>
        <v>[S05_DefaultValues][175][InstallationCategory]</v>
      </c>
    </row>
    <row r="460" spans="1:15" x14ac:dyDescent="0.3">
      <c r="A460" t="s">
        <v>2278</v>
      </c>
      <c r="B460" t="s">
        <v>1847</v>
      </c>
      <c r="C460" t="s">
        <v>1855</v>
      </c>
      <c r="D460">
        <v>176</v>
      </c>
      <c r="E460" t="s">
        <v>1447</v>
      </c>
      <c r="F460" t="s">
        <v>1856</v>
      </c>
      <c r="G460" t="s">
        <v>1737</v>
      </c>
      <c r="H460" t="s">
        <v>2277</v>
      </c>
      <c r="I460" t="s">
        <v>2277</v>
      </c>
      <c r="J460" t="s">
        <v>2277</v>
      </c>
      <c r="K460" t="s">
        <v>2277</v>
      </c>
      <c r="L460" t="s">
        <v>1455</v>
      </c>
      <c r="M460" t="s">
        <v>2277</v>
      </c>
      <c r="N460" t="s">
        <v>2277</v>
      </c>
      <c r="O460" s="190" t="str">
        <f t="shared" si="7"/>
        <v>[S05_DefaultValues][176][InstallationCategory]</v>
      </c>
    </row>
    <row r="461" spans="1:15" x14ac:dyDescent="0.3">
      <c r="A461" t="s">
        <v>2278</v>
      </c>
      <c r="B461" t="s">
        <v>1847</v>
      </c>
      <c r="C461" t="s">
        <v>1855</v>
      </c>
      <c r="D461">
        <v>177</v>
      </c>
      <c r="E461" t="s">
        <v>1447</v>
      </c>
      <c r="F461" t="s">
        <v>1856</v>
      </c>
      <c r="G461" t="s">
        <v>1737</v>
      </c>
      <c r="H461" t="s">
        <v>2277</v>
      </c>
      <c r="I461" t="s">
        <v>2277</v>
      </c>
      <c r="J461" t="s">
        <v>2277</v>
      </c>
      <c r="K461" t="s">
        <v>2277</v>
      </c>
      <c r="L461" t="s">
        <v>1455</v>
      </c>
      <c r="M461" t="s">
        <v>2277</v>
      </c>
      <c r="N461" t="s">
        <v>2277</v>
      </c>
      <c r="O461" s="190" t="str">
        <f t="shared" si="7"/>
        <v>[S05_DefaultValues][177][InstallationCategory]</v>
      </c>
    </row>
    <row r="462" spans="1:15" x14ac:dyDescent="0.3">
      <c r="A462" t="s">
        <v>2278</v>
      </c>
      <c r="B462" t="s">
        <v>1847</v>
      </c>
      <c r="C462" t="s">
        <v>1855</v>
      </c>
      <c r="D462">
        <v>178</v>
      </c>
      <c r="E462" t="s">
        <v>1447</v>
      </c>
      <c r="F462" t="s">
        <v>1856</v>
      </c>
      <c r="G462" t="s">
        <v>1737</v>
      </c>
      <c r="H462" t="s">
        <v>2277</v>
      </c>
      <c r="I462" t="s">
        <v>2277</v>
      </c>
      <c r="J462" t="s">
        <v>2277</v>
      </c>
      <c r="K462" t="s">
        <v>2277</v>
      </c>
      <c r="L462" t="s">
        <v>1483</v>
      </c>
      <c r="M462" t="s">
        <v>2277</v>
      </c>
      <c r="N462" t="s">
        <v>2277</v>
      </c>
      <c r="O462" s="190" t="str">
        <f t="shared" si="7"/>
        <v>[S05_DefaultValues][178][InstallationCategory]</v>
      </c>
    </row>
    <row r="463" spans="1:15" x14ac:dyDescent="0.3">
      <c r="A463" t="s">
        <v>2278</v>
      </c>
      <c r="B463" t="s">
        <v>1847</v>
      </c>
      <c r="C463" t="s">
        <v>1855</v>
      </c>
      <c r="D463">
        <v>179</v>
      </c>
      <c r="E463" t="s">
        <v>1447</v>
      </c>
      <c r="F463" t="s">
        <v>1856</v>
      </c>
      <c r="G463" t="s">
        <v>1737</v>
      </c>
      <c r="H463" t="s">
        <v>2277</v>
      </c>
      <c r="I463" t="s">
        <v>2277</v>
      </c>
      <c r="J463" t="s">
        <v>2277</v>
      </c>
      <c r="K463" t="s">
        <v>2277</v>
      </c>
      <c r="L463" t="s">
        <v>1483</v>
      </c>
      <c r="M463" t="s">
        <v>2277</v>
      </c>
      <c r="N463" t="s">
        <v>2277</v>
      </c>
      <c r="O463" s="190" t="str">
        <f t="shared" si="7"/>
        <v>[S05_DefaultValues][179][InstallationCategory]</v>
      </c>
    </row>
    <row r="464" spans="1:15" x14ac:dyDescent="0.3">
      <c r="A464" t="s">
        <v>2278</v>
      </c>
      <c r="B464" t="s">
        <v>1847</v>
      </c>
      <c r="C464" t="s">
        <v>1855</v>
      </c>
      <c r="D464">
        <v>180</v>
      </c>
      <c r="E464" t="s">
        <v>1447</v>
      </c>
      <c r="F464" t="s">
        <v>1856</v>
      </c>
      <c r="G464" t="s">
        <v>1737</v>
      </c>
      <c r="H464" t="s">
        <v>2277</v>
      </c>
      <c r="I464" t="s">
        <v>2277</v>
      </c>
      <c r="J464" t="s">
        <v>2277</v>
      </c>
      <c r="K464" t="s">
        <v>2277</v>
      </c>
      <c r="L464" t="s">
        <v>1483</v>
      </c>
      <c r="M464" t="s">
        <v>2277</v>
      </c>
      <c r="N464" t="s">
        <v>2277</v>
      </c>
      <c r="O464" s="190" t="str">
        <f t="shared" si="7"/>
        <v>[S05_DefaultValues][180][InstallationCategory]</v>
      </c>
    </row>
    <row r="465" spans="1:15" x14ac:dyDescent="0.3">
      <c r="A465" t="s">
        <v>2278</v>
      </c>
      <c r="B465" t="s">
        <v>1847</v>
      </c>
      <c r="C465" t="s">
        <v>1855</v>
      </c>
      <c r="D465">
        <v>181</v>
      </c>
      <c r="E465" t="s">
        <v>1447</v>
      </c>
      <c r="F465" t="s">
        <v>1856</v>
      </c>
      <c r="G465" t="s">
        <v>1737</v>
      </c>
      <c r="H465" t="s">
        <v>2277</v>
      </c>
      <c r="I465" t="s">
        <v>2277</v>
      </c>
      <c r="J465" t="s">
        <v>2277</v>
      </c>
      <c r="K465" t="s">
        <v>2277</v>
      </c>
      <c r="L465" t="s">
        <v>1483</v>
      </c>
      <c r="M465" t="s">
        <v>2277</v>
      </c>
      <c r="N465" t="s">
        <v>2277</v>
      </c>
      <c r="O465" s="190" t="str">
        <f t="shared" si="7"/>
        <v>[S05_DefaultValues][181][InstallationCategory]</v>
      </c>
    </row>
    <row r="466" spans="1:15" x14ac:dyDescent="0.3">
      <c r="A466" t="s">
        <v>2278</v>
      </c>
      <c r="B466" t="s">
        <v>1847</v>
      </c>
      <c r="C466" t="s">
        <v>1855</v>
      </c>
      <c r="D466">
        <v>182</v>
      </c>
      <c r="E466" t="s">
        <v>1447</v>
      </c>
      <c r="F466" t="s">
        <v>1856</v>
      </c>
      <c r="G466" t="s">
        <v>1737</v>
      </c>
      <c r="H466" t="s">
        <v>2277</v>
      </c>
      <c r="I466" t="s">
        <v>2277</v>
      </c>
      <c r="J466" t="s">
        <v>2277</v>
      </c>
      <c r="K466" t="s">
        <v>2277</v>
      </c>
      <c r="L466" t="s">
        <v>1483</v>
      </c>
      <c r="M466" t="s">
        <v>2277</v>
      </c>
      <c r="N466" t="s">
        <v>2277</v>
      </c>
      <c r="O466" s="190" t="str">
        <f t="shared" si="7"/>
        <v>[S05_DefaultValues][182][InstallationCategory]</v>
      </c>
    </row>
    <row r="467" spans="1:15" x14ac:dyDescent="0.3">
      <c r="A467" t="s">
        <v>2278</v>
      </c>
      <c r="B467" t="s">
        <v>1847</v>
      </c>
      <c r="C467" t="s">
        <v>1855</v>
      </c>
      <c r="D467">
        <v>183</v>
      </c>
      <c r="E467" t="s">
        <v>1447</v>
      </c>
      <c r="F467" t="s">
        <v>1856</v>
      </c>
      <c r="G467" t="s">
        <v>1737</v>
      </c>
      <c r="H467" t="s">
        <v>2277</v>
      </c>
      <c r="I467" t="s">
        <v>2277</v>
      </c>
      <c r="J467" t="s">
        <v>2277</v>
      </c>
      <c r="K467" t="s">
        <v>2277</v>
      </c>
      <c r="L467" t="s">
        <v>1483</v>
      </c>
      <c r="M467" t="s">
        <v>2277</v>
      </c>
      <c r="N467" t="s">
        <v>2277</v>
      </c>
      <c r="O467" s="190" t="str">
        <f t="shared" si="7"/>
        <v>[S05_DefaultValues][183][InstallationCategory]</v>
      </c>
    </row>
    <row r="468" spans="1:15" x14ac:dyDescent="0.3">
      <c r="A468" t="s">
        <v>2278</v>
      </c>
      <c r="B468" t="s">
        <v>1847</v>
      </c>
      <c r="C468" t="s">
        <v>1855</v>
      </c>
      <c r="D468">
        <v>184</v>
      </c>
      <c r="E468" t="s">
        <v>1447</v>
      </c>
      <c r="F468" t="s">
        <v>1856</v>
      </c>
      <c r="G468" t="s">
        <v>1737</v>
      </c>
      <c r="H468" t="s">
        <v>2277</v>
      </c>
      <c r="I468" t="s">
        <v>2277</v>
      </c>
      <c r="J468" t="s">
        <v>2277</v>
      </c>
      <c r="K468" t="s">
        <v>2277</v>
      </c>
      <c r="L468" t="s">
        <v>1483</v>
      </c>
      <c r="M468" t="s">
        <v>2277</v>
      </c>
      <c r="N468" t="s">
        <v>2277</v>
      </c>
      <c r="O468" s="190" t="str">
        <f t="shared" si="7"/>
        <v>[S05_DefaultValues][184][InstallationCategory]</v>
      </c>
    </row>
    <row r="469" spans="1:15" x14ac:dyDescent="0.3">
      <c r="A469" t="s">
        <v>2278</v>
      </c>
      <c r="B469" t="s">
        <v>1847</v>
      </c>
      <c r="C469" t="s">
        <v>1855</v>
      </c>
      <c r="D469">
        <v>185</v>
      </c>
      <c r="E469" t="s">
        <v>1447</v>
      </c>
      <c r="F469" t="s">
        <v>1856</v>
      </c>
      <c r="G469" t="s">
        <v>1737</v>
      </c>
      <c r="H469" t="s">
        <v>2277</v>
      </c>
      <c r="I469" t="s">
        <v>2277</v>
      </c>
      <c r="J469" t="s">
        <v>2277</v>
      </c>
      <c r="K469" t="s">
        <v>2277</v>
      </c>
      <c r="L469" t="s">
        <v>1483</v>
      </c>
      <c r="M469" t="s">
        <v>2277</v>
      </c>
      <c r="N469" t="s">
        <v>2277</v>
      </c>
      <c r="O469" s="190" t="str">
        <f t="shared" si="7"/>
        <v>[S05_DefaultValues][185][InstallationCategory]</v>
      </c>
    </row>
    <row r="470" spans="1:15" x14ac:dyDescent="0.3">
      <c r="A470" t="s">
        <v>2278</v>
      </c>
      <c r="B470" t="s">
        <v>1847</v>
      </c>
      <c r="C470" t="s">
        <v>1855</v>
      </c>
      <c r="D470">
        <v>186</v>
      </c>
      <c r="E470" t="s">
        <v>1447</v>
      </c>
      <c r="F470" t="s">
        <v>1856</v>
      </c>
      <c r="G470" t="s">
        <v>1737</v>
      </c>
      <c r="H470" t="s">
        <v>2277</v>
      </c>
      <c r="I470" t="s">
        <v>2277</v>
      </c>
      <c r="J470" t="s">
        <v>2277</v>
      </c>
      <c r="K470" t="s">
        <v>2277</v>
      </c>
      <c r="L470" t="s">
        <v>1483</v>
      </c>
      <c r="M470" t="s">
        <v>2277</v>
      </c>
      <c r="N470" t="s">
        <v>2277</v>
      </c>
      <c r="O470" s="190" t="str">
        <f t="shared" si="7"/>
        <v>[S05_DefaultValues][186][InstallationCategory]</v>
      </c>
    </row>
    <row r="471" spans="1:15" x14ac:dyDescent="0.3">
      <c r="A471" t="s">
        <v>2278</v>
      </c>
      <c r="B471" t="s">
        <v>1847</v>
      </c>
      <c r="C471" t="s">
        <v>1855</v>
      </c>
      <c r="D471">
        <v>187</v>
      </c>
      <c r="E471" t="s">
        <v>1447</v>
      </c>
      <c r="F471" t="s">
        <v>1856</v>
      </c>
      <c r="G471" t="s">
        <v>1737</v>
      </c>
      <c r="H471" t="s">
        <v>2277</v>
      </c>
      <c r="I471" t="s">
        <v>2277</v>
      </c>
      <c r="J471" t="s">
        <v>2277</v>
      </c>
      <c r="K471" t="s">
        <v>2277</v>
      </c>
      <c r="L471" t="s">
        <v>1483</v>
      </c>
      <c r="M471" t="s">
        <v>2277</v>
      </c>
      <c r="N471" t="s">
        <v>2277</v>
      </c>
      <c r="O471" s="190" t="str">
        <f t="shared" si="7"/>
        <v>[S05_DefaultValues][187][InstallationCategory]</v>
      </c>
    </row>
    <row r="472" spans="1:15" x14ac:dyDescent="0.3">
      <c r="A472" t="s">
        <v>2278</v>
      </c>
      <c r="B472" t="s">
        <v>1847</v>
      </c>
      <c r="C472" t="s">
        <v>1855</v>
      </c>
      <c r="D472">
        <v>188</v>
      </c>
      <c r="E472" t="s">
        <v>1447</v>
      </c>
      <c r="F472" t="s">
        <v>1856</v>
      </c>
      <c r="G472" t="s">
        <v>1737</v>
      </c>
      <c r="H472" t="s">
        <v>2277</v>
      </c>
      <c r="I472" t="s">
        <v>2277</v>
      </c>
      <c r="J472" t="s">
        <v>2277</v>
      </c>
      <c r="K472" t="s">
        <v>2277</v>
      </c>
      <c r="L472" t="s">
        <v>1483</v>
      </c>
      <c r="M472" t="s">
        <v>2277</v>
      </c>
      <c r="N472" t="s">
        <v>2277</v>
      </c>
      <c r="O472" s="190" t="str">
        <f t="shared" si="7"/>
        <v>[S05_DefaultValues][188][InstallationCategory]</v>
      </c>
    </row>
    <row r="473" spans="1:15" x14ac:dyDescent="0.3">
      <c r="A473" t="s">
        <v>2278</v>
      </c>
      <c r="B473" t="s">
        <v>1847</v>
      </c>
      <c r="C473" t="s">
        <v>1855</v>
      </c>
      <c r="D473">
        <v>189</v>
      </c>
      <c r="E473" t="s">
        <v>1447</v>
      </c>
      <c r="F473" t="s">
        <v>1856</v>
      </c>
      <c r="G473" t="s">
        <v>1737</v>
      </c>
      <c r="H473" t="s">
        <v>2277</v>
      </c>
      <c r="I473" t="s">
        <v>2277</v>
      </c>
      <c r="J473" t="s">
        <v>2277</v>
      </c>
      <c r="K473" t="s">
        <v>2277</v>
      </c>
      <c r="L473" t="s">
        <v>1483</v>
      </c>
      <c r="M473" t="s">
        <v>2277</v>
      </c>
      <c r="N473" t="s">
        <v>2277</v>
      </c>
      <c r="O473" s="190" t="str">
        <f t="shared" si="7"/>
        <v>[S05_DefaultValues][189][InstallationCategory]</v>
      </c>
    </row>
    <row r="474" spans="1:15" x14ac:dyDescent="0.3">
      <c r="A474" t="s">
        <v>2278</v>
      </c>
      <c r="B474" t="s">
        <v>1847</v>
      </c>
      <c r="C474" t="s">
        <v>1855</v>
      </c>
      <c r="D474">
        <v>190</v>
      </c>
      <c r="E474" t="s">
        <v>1447</v>
      </c>
      <c r="F474" t="s">
        <v>1856</v>
      </c>
      <c r="G474" t="s">
        <v>1737</v>
      </c>
      <c r="H474" t="s">
        <v>2277</v>
      </c>
      <c r="I474" t="s">
        <v>2277</v>
      </c>
      <c r="J474" t="s">
        <v>2277</v>
      </c>
      <c r="K474" t="s">
        <v>2277</v>
      </c>
      <c r="L474" t="s">
        <v>1483</v>
      </c>
      <c r="M474" t="s">
        <v>2277</v>
      </c>
      <c r="N474" t="s">
        <v>2277</v>
      </c>
      <c r="O474" s="190" t="str">
        <f t="shared" si="7"/>
        <v>[S05_DefaultValues][190][InstallationCategory]</v>
      </c>
    </row>
    <row r="475" spans="1:15" x14ac:dyDescent="0.3">
      <c r="A475" t="s">
        <v>2278</v>
      </c>
      <c r="B475" t="s">
        <v>1847</v>
      </c>
      <c r="C475" t="s">
        <v>1855</v>
      </c>
      <c r="D475">
        <v>191</v>
      </c>
      <c r="E475" t="s">
        <v>1447</v>
      </c>
      <c r="F475" t="s">
        <v>1856</v>
      </c>
      <c r="G475" t="s">
        <v>1737</v>
      </c>
      <c r="H475" t="s">
        <v>2277</v>
      </c>
      <c r="I475" t="s">
        <v>2277</v>
      </c>
      <c r="J475" t="s">
        <v>2277</v>
      </c>
      <c r="K475" t="s">
        <v>2277</v>
      </c>
      <c r="L475" t="s">
        <v>1483</v>
      </c>
      <c r="M475" t="s">
        <v>2277</v>
      </c>
      <c r="N475" t="s">
        <v>2277</v>
      </c>
      <c r="O475" s="190" t="str">
        <f t="shared" si="7"/>
        <v>[S05_DefaultValues][191][InstallationCategory]</v>
      </c>
    </row>
    <row r="476" spans="1:15" x14ac:dyDescent="0.3">
      <c r="A476" t="s">
        <v>2278</v>
      </c>
      <c r="B476" t="s">
        <v>1847</v>
      </c>
      <c r="C476" t="s">
        <v>1855</v>
      </c>
      <c r="D476">
        <v>192</v>
      </c>
      <c r="E476" t="s">
        <v>1447</v>
      </c>
      <c r="F476" t="s">
        <v>1856</v>
      </c>
      <c r="G476" t="s">
        <v>1737</v>
      </c>
      <c r="H476" t="s">
        <v>2277</v>
      </c>
      <c r="I476" t="s">
        <v>2277</v>
      </c>
      <c r="J476" t="s">
        <v>2277</v>
      </c>
      <c r="K476" t="s">
        <v>2277</v>
      </c>
      <c r="L476" t="s">
        <v>1483</v>
      </c>
      <c r="M476" t="s">
        <v>2277</v>
      </c>
      <c r="N476" t="s">
        <v>2277</v>
      </c>
      <c r="O476" s="190" t="str">
        <f t="shared" si="7"/>
        <v>[S05_DefaultValues][192][InstallationCategory]</v>
      </c>
    </row>
    <row r="477" spans="1:15" x14ac:dyDescent="0.3">
      <c r="A477" t="s">
        <v>2278</v>
      </c>
      <c r="B477" t="s">
        <v>1847</v>
      </c>
      <c r="C477" t="s">
        <v>1855</v>
      </c>
      <c r="D477">
        <v>193</v>
      </c>
      <c r="E477" t="s">
        <v>1447</v>
      </c>
      <c r="F477" t="s">
        <v>1856</v>
      </c>
      <c r="G477" t="s">
        <v>1737</v>
      </c>
      <c r="H477" t="s">
        <v>2277</v>
      </c>
      <c r="I477" t="s">
        <v>2277</v>
      </c>
      <c r="J477" t="s">
        <v>2277</v>
      </c>
      <c r="K477" t="s">
        <v>2277</v>
      </c>
      <c r="L477" t="s">
        <v>1483</v>
      </c>
      <c r="M477" t="s">
        <v>2277</v>
      </c>
      <c r="N477" t="s">
        <v>2277</v>
      </c>
      <c r="O477" s="190" t="str">
        <f t="shared" si="7"/>
        <v>[S05_DefaultValues][193][InstallationCategory]</v>
      </c>
    </row>
    <row r="478" spans="1:15" x14ac:dyDescent="0.3">
      <c r="A478" t="s">
        <v>2278</v>
      </c>
      <c r="B478" t="s">
        <v>1847</v>
      </c>
      <c r="C478" t="s">
        <v>1855</v>
      </c>
      <c r="D478">
        <v>194</v>
      </c>
      <c r="E478" t="s">
        <v>1447</v>
      </c>
      <c r="F478" t="s">
        <v>1856</v>
      </c>
      <c r="G478" t="s">
        <v>1737</v>
      </c>
      <c r="H478" t="s">
        <v>2277</v>
      </c>
      <c r="I478" t="s">
        <v>2277</v>
      </c>
      <c r="J478" t="s">
        <v>2277</v>
      </c>
      <c r="K478" t="s">
        <v>2277</v>
      </c>
      <c r="L478" t="s">
        <v>1483</v>
      </c>
      <c r="M478" t="s">
        <v>2277</v>
      </c>
      <c r="N478" t="s">
        <v>2277</v>
      </c>
      <c r="O478" s="190" t="str">
        <f t="shared" si="7"/>
        <v>[S05_DefaultValues][194][InstallationCategory]</v>
      </c>
    </row>
    <row r="479" spans="1:15" x14ac:dyDescent="0.3">
      <c r="A479" t="s">
        <v>2278</v>
      </c>
      <c r="B479" t="s">
        <v>1847</v>
      </c>
      <c r="C479" t="s">
        <v>1855</v>
      </c>
      <c r="D479">
        <v>195</v>
      </c>
      <c r="E479" t="s">
        <v>1447</v>
      </c>
      <c r="F479" t="s">
        <v>1856</v>
      </c>
      <c r="G479" t="s">
        <v>1737</v>
      </c>
      <c r="H479" t="s">
        <v>2277</v>
      </c>
      <c r="I479" t="s">
        <v>2277</v>
      </c>
      <c r="J479" t="s">
        <v>2277</v>
      </c>
      <c r="K479" t="s">
        <v>2277</v>
      </c>
      <c r="L479" t="s">
        <v>1483</v>
      </c>
      <c r="M479" t="s">
        <v>2277</v>
      </c>
      <c r="N479" t="s">
        <v>2277</v>
      </c>
      <c r="O479" s="190" t="str">
        <f t="shared" si="7"/>
        <v>[S05_DefaultValues][195][InstallationCategory]</v>
      </c>
    </row>
    <row r="480" spans="1:15" x14ac:dyDescent="0.3">
      <c r="A480" t="s">
        <v>2278</v>
      </c>
      <c r="B480" t="s">
        <v>1847</v>
      </c>
      <c r="C480" t="s">
        <v>1855</v>
      </c>
      <c r="D480">
        <v>196</v>
      </c>
      <c r="E480" t="s">
        <v>1447</v>
      </c>
      <c r="F480" t="s">
        <v>1856</v>
      </c>
      <c r="G480" t="s">
        <v>1737</v>
      </c>
      <c r="H480" t="s">
        <v>2277</v>
      </c>
      <c r="I480" t="s">
        <v>2277</v>
      </c>
      <c r="J480" t="s">
        <v>2277</v>
      </c>
      <c r="K480" t="s">
        <v>2277</v>
      </c>
      <c r="L480" t="s">
        <v>1483</v>
      </c>
      <c r="M480" t="s">
        <v>2277</v>
      </c>
      <c r="N480" t="s">
        <v>2277</v>
      </c>
      <c r="O480" s="190" t="str">
        <f t="shared" si="7"/>
        <v>[S05_DefaultValues][196][InstallationCategory]</v>
      </c>
    </row>
    <row r="481" spans="1:15" x14ac:dyDescent="0.3">
      <c r="A481" t="s">
        <v>2278</v>
      </c>
      <c r="B481" t="s">
        <v>1847</v>
      </c>
      <c r="C481" t="s">
        <v>1855</v>
      </c>
      <c r="D481">
        <v>197</v>
      </c>
      <c r="E481" t="s">
        <v>1447</v>
      </c>
      <c r="F481" t="s">
        <v>1856</v>
      </c>
      <c r="G481" t="s">
        <v>1737</v>
      </c>
      <c r="H481" t="s">
        <v>2277</v>
      </c>
      <c r="I481" t="s">
        <v>2277</v>
      </c>
      <c r="J481" t="s">
        <v>2277</v>
      </c>
      <c r="K481" t="s">
        <v>2277</v>
      </c>
      <c r="L481" t="s">
        <v>1483</v>
      </c>
      <c r="M481" t="s">
        <v>2277</v>
      </c>
      <c r="N481" t="s">
        <v>2277</v>
      </c>
      <c r="O481" s="190" t="str">
        <f t="shared" si="7"/>
        <v>[S05_DefaultValues][197][InstallationCategory]</v>
      </c>
    </row>
    <row r="482" spans="1:15" x14ac:dyDescent="0.3">
      <c r="A482" t="s">
        <v>2278</v>
      </c>
      <c r="B482" t="s">
        <v>1847</v>
      </c>
      <c r="C482" t="s">
        <v>1855</v>
      </c>
      <c r="D482">
        <v>198</v>
      </c>
      <c r="E482" t="s">
        <v>1447</v>
      </c>
      <c r="F482" t="s">
        <v>1856</v>
      </c>
      <c r="G482" t="s">
        <v>1737</v>
      </c>
      <c r="H482" t="s">
        <v>2277</v>
      </c>
      <c r="I482" t="s">
        <v>2277</v>
      </c>
      <c r="J482" t="s">
        <v>2277</v>
      </c>
      <c r="K482" t="s">
        <v>2277</v>
      </c>
      <c r="L482" t="s">
        <v>1483</v>
      </c>
      <c r="M482" t="s">
        <v>2277</v>
      </c>
      <c r="N482" t="s">
        <v>2277</v>
      </c>
      <c r="O482" s="190" t="str">
        <f t="shared" si="7"/>
        <v>[S05_DefaultValues][198][InstallationCategory]</v>
      </c>
    </row>
    <row r="483" spans="1:15" x14ac:dyDescent="0.3">
      <c r="A483" t="s">
        <v>2278</v>
      </c>
      <c r="B483" t="s">
        <v>1847</v>
      </c>
      <c r="C483" t="s">
        <v>1855</v>
      </c>
      <c r="D483">
        <v>199</v>
      </c>
      <c r="E483" t="s">
        <v>1447</v>
      </c>
      <c r="F483" t="s">
        <v>1856</v>
      </c>
      <c r="G483" t="s">
        <v>1737</v>
      </c>
      <c r="H483" t="s">
        <v>2277</v>
      </c>
      <c r="I483" t="s">
        <v>2277</v>
      </c>
      <c r="J483" t="s">
        <v>2277</v>
      </c>
      <c r="K483" t="s">
        <v>2277</v>
      </c>
      <c r="L483" t="s">
        <v>1483</v>
      </c>
      <c r="M483" t="s">
        <v>2277</v>
      </c>
      <c r="N483" t="s">
        <v>2277</v>
      </c>
      <c r="O483" s="190" t="str">
        <f t="shared" si="7"/>
        <v>[S05_DefaultValues][199][InstallationCategory]</v>
      </c>
    </row>
    <row r="484" spans="1:15" x14ac:dyDescent="0.3">
      <c r="A484" t="s">
        <v>2278</v>
      </c>
      <c r="B484" t="s">
        <v>1847</v>
      </c>
      <c r="C484" t="s">
        <v>1855</v>
      </c>
      <c r="D484">
        <v>200</v>
      </c>
      <c r="E484" t="s">
        <v>1447</v>
      </c>
      <c r="F484" t="s">
        <v>1856</v>
      </c>
      <c r="G484" t="s">
        <v>1737</v>
      </c>
      <c r="H484" t="s">
        <v>2277</v>
      </c>
      <c r="I484" t="s">
        <v>2277</v>
      </c>
      <c r="J484" t="s">
        <v>2277</v>
      </c>
      <c r="K484" t="s">
        <v>2277</v>
      </c>
      <c r="L484" t="s">
        <v>1483</v>
      </c>
      <c r="M484" t="s">
        <v>2277</v>
      </c>
      <c r="N484" t="s">
        <v>2277</v>
      </c>
      <c r="O484" s="190" t="str">
        <f t="shared" si="7"/>
        <v>[S05_DefaultValues][200][InstallationCategory]</v>
      </c>
    </row>
    <row r="485" spans="1:15" x14ac:dyDescent="0.3">
      <c r="A485" t="s">
        <v>2278</v>
      </c>
      <c r="B485" t="s">
        <v>1847</v>
      </c>
      <c r="C485" t="s">
        <v>1855</v>
      </c>
      <c r="D485">
        <v>201</v>
      </c>
      <c r="E485" t="s">
        <v>1447</v>
      </c>
      <c r="F485" t="s">
        <v>1856</v>
      </c>
      <c r="G485" t="s">
        <v>1737</v>
      </c>
      <c r="H485" t="s">
        <v>2277</v>
      </c>
      <c r="I485" t="s">
        <v>2277</v>
      </c>
      <c r="J485" t="s">
        <v>2277</v>
      </c>
      <c r="K485" t="s">
        <v>2277</v>
      </c>
      <c r="L485" t="s">
        <v>1483</v>
      </c>
      <c r="M485" t="s">
        <v>2277</v>
      </c>
      <c r="N485" t="s">
        <v>2277</v>
      </c>
      <c r="O485" s="190" t="str">
        <f t="shared" si="7"/>
        <v>[S05_DefaultValues][201][InstallationCategory]</v>
      </c>
    </row>
    <row r="486" spans="1:15" x14ac:dyDescent="0.3">
      <c r="A486" t="s">
        <v>2278</v>
      </c>
      <c r="B486" t="s">
        <v>1847</v>
      </c>
      <c r="C486" t="s">
        <v>1855</v>
      </c>
      <c r="D486">
        <v>202</v>
      </c>
      <c r="E486" t="s">
        <v>1447</v>
      </c>
      <c r="F486" t="s">
        <v>1856</v>
      </c>
      <c r="G486" t="s">
        <v>1737</v>
      </c>
      <c r="H486" t="s">
        <v>2277</v>
      </c>
      <c r="I486" t="s">
        <v>2277</v>
      </c>
      <c r="J486" t="s">
        <v>2277</v>
      </c>
      <c r="K486" t="s">
        <v>2277</v>
      </c>
      <c r="L486" t="s">
        <v>1483</v>
      </c>
      <c r="M486" t="s">
        <v>2277</v>
      </c>
      <c r="N486" t="s">
        <v>2277</v>
      </c>
      <c r="O486" s="190" t="str">
        <f t="shared" si="7"/>
        <v>[S05_DefaultValues][202][InstallationCategory]</v>
      </c>
    </row>
    <row r="487" spans="1:15" x14ac:dyDescent="0.3">
      <c r="A487" t="s">
        <v>2278</v>
      </c>
      <c r="B487" t="s">
        <v>1847</v>
      </c>
      <c r="C487" t="s">
        <v>1855</v>
      </c>
      <c r="D487">
        <v>203</v>
      </c>
      <c r="E487" t="s">
        <v>1447</v>
      </c>
      <c r="F487" t="s">
        <v>1856</v>
      </c>
      <c r="G487" t="s">
        <v>1737</v>
      </c>
      <c r="H487" t="s">
        <v>2277</v>
      </c>
      <c r="I487" t="s">
        <v>2277</v>
      </c>
      <c r="J487" t="s">
        <v>2277</v>
      </c>
      <c r="K487" t="s">
        <v>2277</v>
      </c>
      <c r="L487" t="s">
        <v>1483</v>
      </c>
      <c r="M487" t="s">
        <v>2277</v>
      </c>
      <c r="N487" t="s">
        <v>2277</v>
      </c>
      <c r="O487" s="190" t="str">
        <f t="shared" si="7"/>
        <v>[S05_DefaultValues][203][InstallationCategory]</v>
      </c>
    </row>
    <row r="488" spans="1:15" x14ac:dyDescent="0.3">
      <c r="A488" t="s">
        <v>2278</v>
      </c>
      <c r="B488" t="s">
        <v>1847</v>
      </c>
      <c r="C488" t="s">
        <v>1855</v>
      </c>
      <c r="D488">
        <v>204</v>
      </c>
      <c r="E488" t="s">
        <v>1447</v>
      </c>
      <c r="F488" t="s">
        <v>1856</v>
      </c>
      <c r="G488" t="s">
        <v>1737</v>
      </c>
      <c r="H488" t="s">
        <v>2277</v>
      </c>
      <c r="I488" t="s">
        <v>2277</v>
      </c>
      <c r="J488" t="s">
        <v>2277</v>
      </c>
      <c r="K488" t="s">
        <v>2277</v>
      </c>
      <c r="L488" t="s">
        <v>1483</v>
      </c>
      <c r="M488" t="s">
        <v>2277</v>
      </c>
      <c r="N488" t="s">
        <v>2277</v>
      </c>
      <c r="O488" s="190" t="str">
        <f t="shared" si="7"/>
        <v>[S05_DefaultValues][204][InstallationCategory]</v>
      </c>
    </row>
    <row r="489" spans="1:15" x14ac:dyDescent="0.3">
      <c r="A489" t="s">
        <v>2278</v>
      </c>
      <c r="B489" t="s">
        <v>1847</v>
      </c>
      <c r="C489" t="s">
        <v>1855</v>
      </c>
      <c r="D489">
        <v>205</v>
      </c>
      <c r="E489" t="s">
        <v>1447</v>
      </c>
      <c r="F489" t="s">
        <v>1856</v>
      </c>
      <c r="G489" t="s">
        <v>1737</v>
      </c>
      <c r="H489" t="s">
        <v>2277</v>
      </c>
      <c r="I489" t="s">
        <v>2277</v>
      </c>
      <c r="J489" t="s">
        <v>2277</v>
      </c>
      <c r="K489" t="s">
        <v>2277</v>
      </c>
      <c r="L489" t="s">
        <v>1483</v>
      </c>
      <c r="M489" t="s">
        <v>2277</v>
      </c>
      <c r="N489" t="s">
        <v>2277</v>
      </c>
      <c r="O489" s="190" t="str">
        <f t="shared" si="7"/>
        <v>[S05_DefaultValues][205][InstallationCategory]</v>
      </c>
    </row>
    <row r="490" spans="1:15" x14ac:dyDescent="0.3">
      <c r="A490" t="s">
        <v>2278</v>
      </c>
      <c r="B490" t="s">
        <v>1847</v>
      </c>
      <c r="C490" t="s">
        <v>1855</v>
      </c>
      <c r="D490">
        <v>206</v>
      </c>
      <c r="E490" t="s">
        <v>1447</v>
      </c>
      <c r="F490" t="s">
        <v>1856</v>
      </c>
      <c r="G490" t="s">
        <v>1737</v>
      </c>
      <c r="H490" t="s">
        <v>2277</v>
      </c>
      <c r="I490" t="s">
        <v>2277</v>
      </c>
      <c r="J490" t="s">
        <v>2277</v>
      </c>
      <c r="K490" t="s">
        <v>2277</v>
      </c>
      <c r="L490" t="s">
        <v>1483</v>
      </c>
      <c r="M490" t="s">
        <v>2277</v>
      </c>
      <c r="N490" t="s">
        <v>2277</v>
      </c>
      <c r="O490" s="190" t="str">
        <f t="shared" si="7"/>
        <v>[S05_DefaultValues][206][InstallationCategory]</v>
      </c>
    </row>
    <row r="491" spans="1:15" x14ac:dyDescent="0.3">
      <c r="A491" t="s">
        <v>2278</v>
      </c>
      <c r="B491" t="s">
        <v>1847</v>
      </c>
      <c r="C491" t="s">
        <v>1855</v>
      </c>
      <c r="D491">
        <v>207</v>
      </c>
      <c r="E491" t="s">
        <v>1447</v>
      </c>
      <c r="F491" t="s">
        <v>1856</v>
      </c>
      <c r="G491" t="s">
        <v>1737</v>
      </c>
      <c r="H491" t="s">
        <v>2277</v>
      </c>
      <c r="I491" t="s">
        <v>2277</v>
      </c>
      <c r="J491" t="s">
        <v>2277</v>
      </c>
      <c r="K491" t="s">
        <v>2277</v>
      </c>
      <c r="L491" t="s">
        <v>1483</v>
      </c>
      <c r="M491" t="s">
        <v>2277</v>
      </c>
      <c r="N491" t="s">
        <v>2277</v>
      </c>
      <c r="O491" s="190" t="str">
        <f t="shared" si="7"/>
        <v>[S05_DefaultValues][207][InstallationCategory]</v>
      </c>
    </row>
    <row r="492" spans="1:15" x14ac:dyDescent="0.3">
      <c r="A492" t="s">
        <v>2278</v>
      </c>
      <c r="B492" t="s">
        <v>1847</v>
      </c>
      <c r="C492" t="s">
        <v>1855</v>
      </c>
      <c r="D492">
        <v>208</v>
      </c>
      <c r="E492" t="s">
        <v>1447</v>
      </c>
      <c r="F492" t="s">
        <v>1856</v>
      </c>
      <c r="G492" t="s">
        <v>1737</v>
      </c>
      <c r="H492" t="s">
        <v>2277</v>
      </c>
      <c r="I492" t="s">
        <v>2277</v>
      </c>
      <c r="J492" t="s">
        <v>2277</v>
      </c>
      <c r="K492" t="s">
        <v>2277</v>
      </c>
      <c r="L492" t="s">
        <v>1483</v>
      </c>
      <c r="M492" t="s">
        <v>2277</v>
      </c>
      <c r="N492" t="s">
        <v>2277</v>
      </c>
      <c r="O492" s="190" t="str">
        <f t="shared" si="7"/>
        <v>[S05_DefaultValues][208][InstallationCategory]</v>
      </c>
    </row>
    <row r="493" spans="1:15" x14ac:dyDescent="0.3">
      <c r="A493" t="s">
        <v>2278</v>
      </c>
      <c r="B493" t="s">
        <v>1847</v>
      </c>
      <c r="C493" t="s">
        <v>1855</v>
      </c>
      <c r="D493">
        <v>209</v>
      </c>
      <c r="E493" t="s">
        <v>1447</v>
      </c>
      <c r="F493" t="s">
        <v>1856</v>
      </c>
      <c r="G493" t="s">
        <v>1737</v>
      </c>
      <c r="H493" t="s">
        <v>2277</v>
      </c>
      <c r="I493" t="s">
        <v>2277</v>
      </c>
      <c r="J493" t="s">
        <v>2277</v>
      </c>
      <c r="K493" t="s">
        <v>2277</v>
      </c>
      <c r="L493" t="s">
        <v>1483</v>
      </c>
      <c r="M493" t="s">
        <v>2277</v>
      </c>
      <c r="N493" t="s">
        <v>2277</v>
      </c>
      <c r="O493" s="190" t="str">
        <f t="shared" si="7"/>
        <v>[S05_DefaultValues][209][InstallationCategory]</v>
      </c>
    </row>
    <row r="494" spans="1:15" x14ac:dyDescent="0.3">
      <c r="A494" t="s">
        <v>2278</v>
      </c>
      <c r="B494" t="s">
        <v>1847</v>
      </c>
      <c r="C494" t="s">
        <v>1855</v>
      </c>
      <c r="D494">
        <v>210</v>
      </c>
      <c r="E494" t="s">
        <v>1447</v>
      </c>
      <c r="F494" t="s">
        <v>1856</v>
      </c>
      <c r="G494" t="s">
        <v>1737</v>
      </c>
      <c r="H494" t="s">
        <v>2277</v>
      </c>
      <c r="I494" t="s">
        <v>2277</v>
      </c>
      <c r="J494" t="s">
        <v>2277</v>
      </c>
      <c r="K494" t="s">
        <v>2277</v>
      </c>
      <c r="L494" t="s">
        <v>1483</v>
      </c>
      <c r="M494" t="s">
        <v>2277</v>
      </c>
      <c r="N494" t="s">
        <v>2277</v>
      </c>
      <c r="O494" s="190" t="str">
        <f t="shared" si="7"/>
        <v>[S05_DefaultValues][210][InstallationCategory]</v>
      </c>
    </row>
    <row r="495" spans="1:15" x14ac:dyDescent="0.3">
      <c r="A495" t="s">
        <v>2278</v>
      </c>
      <c r="B495" t="s">
        <v>1847</v>
      </c>
      <c r="C495" t="s">
        <v>1855</v>
      </c>
      <c r="D495">
        <v>211</v>
      </c>
      <c r="E495" t="s">
        <v>1447</v>
      </c>
      <c r="F495" t="s">
        <v>1856</v>
      </c>
      <c r="G495" t="s">
        <v>1737</v>
      </c>
      <c r="H495" t="s">
        <v>2277</v>
      </c>
      <c r="I495" t="s">
        <v>2277</v>
      </c>
      <c r="J495" t="s">
        <v>2277</v>
      </c>
      <c r="K495" t="s">
        <v>2277</v>
      </c>
      <c r="L495" t="s">
        <v>1483</v>
      </c>
      <c r="M495" t="s">
        <v>2277</v>
      </c>
      <c r="N495" t="s">
        <v>2277</v>
      </c>
      <c r="O495" s="190" t="str">
        <f t="shared" si="7"/>
        <v>[S05_DefaultValues][211][InstallationCategory]</v>
      </c>
    </row>
    <row r="496" spans="1:15" x14ac:dyDescent="0.3">
      <c r="A496" t="s">
        <v>2278</v>
      </c>
      <c r="B496" t="s">
        <v>1847</v>
      </c>
      <c r="C496" t="s">
        <v>1855</v>
      </c>
      <c r="D496">
        <v>212</v>
      </c>
      <c r="E496" t="s">
        <v>1447</v>
      </c>
      <c r="F496" t="s">
        <v>1856</v>
      </c>
      <c r="G496" t="s">
        <v>1737</v>
      </c>
      <c r="H496" t="s">
        <v>2277</v>
      </c>
      <c r="I496" t="s">
        <v>2277</v>
      </c>
      <c r="J496" t="s">
        <v>2277</v>
      </c>
      <c r="K496" t="s">
        <v>2277</v>
      </c>
      <c r="L496" t="s">
        <v>1483</v>
      </c>
      <c r="M496" t="s">
        <v>2277</v>
      </c>
      <c r="N496" t="s">
        <v>2277</v>
      </c>
      <c r="O496" s="190" t="str">
        <f t="shared" si="7"/>
        <v>[S05_DefaultValues][212][InstallationCategory]</v>
      </c>
    </row>
    <row r="497" spans="1:15" x14ac:dyDescent="0.3">
      <c r="A497" t="s">
        <v>2278</v>
      </c>
      <c r="B497" t="s">
        <v>1847</v>
      </c>
      <c r="C497" t="s">
        <v>1855</v>
      </c>
      <c r="D497">
        <v>213</v>
      </c>
      <c r="E497" t="s">
        <v>1447</v>
      </c>
      <c r="F497" t="s">
        <v>1856</v>
      </c>
      <c r="G497" t="s">
        <v>1737</v>
      </c>
      <c r="H497" t="s">
        <v>2277</v>
      </c>
      <c r="I497" t="s">
        <v>2277</v>
      </c>
      <c r="J497" t="s">
        <v>2277</v>
      </c>
      <c r="K497" t="s">
        <v>2277</v>
      </c>
      <c r="L497" t="s">
        <v>1483</v>
      </c>
      <c r="M497" t="s">
        <v>2277</v>
      </c>
      <c r="N497" t="s">
        <v>2277</v>
      </c>
      <c r="O497" s="190" t="str">
        <f t="shared" si="7"/>
        <v>[S05_DefaultValues][213][InstallationCategory]</v>
      </c>
    </row>
    <row r="498" spans="1:15" x14ac:dyDescent="0.3">
      <c r="A498" t="s">
        <v>2278</v>
      </c>
      <c r="B498" t="s">
        <v>1847</v>
      </c>
      <c r="C498" t="s">
        <v>1855</v>
      </c>
      <c r="D498">
        <v>214</v>
      </c>
      <c r="E498" t="s">
        <v>1447</v>
      </c>
      <c r="F498" t="s">
        <v>1856</v>
      </c>
      <c r="G498" t="s">
        <v>1737</v>
      </c>
      <c r="H498" t="s">
        <v>2277</v>
      </c>
      <c r="I498" t="s">
        <v>2277</v>
      </c>
      <c r="J498" t="s">
        <v>2277</v>
      </c>
      <c r="K498" t="s">
        <v>2277</v>
      </c>
      <c r="L498" t="s">
        <v>1483</v>
      </c>
      <c r="M498" t="s">
        <v>2277</v>
      </c>
      <c r="N498" t="s">
        <v>2277</v>
      </c>
      <c r="O498" s="190" t="str">
        <f t="shared" si="7"/>
        <v>[S05_DefaultValues][214][InstallationCategory]</v>
      </c>
    </row>
    <row r="499" spans="1:15" x14ac:dyDescent="0.3">
      <c r="A499" t="s">
        <v>2278</v>
      </c>
      <c r="B499" t="s">
        <v>1847</v>
      </c>
      <c r="C499" t="s">
        <v>1855</v>
      </c>
      <c r="D499">
        <v>1</v>
      </c>
      <c r="E499" t="s">
        <v>1447</v>
      </c>
      <c r="F499" t="s">
        <v>1857</v>
      </c>
      <c r="G499" t="s">
        <v>1741</v>
      </c>
      <c r="H499" t="s">
        <v>2422</v>
      </c>
      <c r="I499" t="s">
        <v>2277</v>
      </c>
      <c r="J499" t="s">
        <v>2277</v>
      </c>
      <c r="K499" t="s">
        <v>2277</v>
      </c>
      <c r="L499" t="s">
        <v>2277</v>
      </c>
      <c r="M499" t="s">
        <v>2277</v>
      </c>
      <c r="N499" t="s">
        <v>2277</v>
      </c>
      <c r="O499" s="190" t="str">
        <f t="shared" si="7"/>
        <v>[S05_DefaultValues][1][FuelMaterialType]</v>
      </c>
    </row>
    <row r="500" spans="1:15" x14ac:dyDescent="0.3">
      <c r="A500" t="s">
        <v>2278</v>
      </c>
      <c r="B500" t="s">
        <v>1847</v>
      </c>
      <c r="C500" t="s">
        <v>1855</v>
      </c>
      <c r="D500">
        <v>2</v>
      </c>
      <c r="E500" t="s">
        <v>1447</v>
      </c>
      <c r="F500" t="s">
        <v>1857</v>
      </c>
      <c r="G500" t="s">
        <v>1741</v>
      </c>
      <c r="H500" t="s">
        <v>2384</v>
      </c>
      <c r="I500" t="s">
        <v>2277</v>
      </c>
      <c r="J500" t="s">
        <v>2277</v>
      </c>
      <c r="K500" t="s">
        <v>2277</v>
      </c>
      <c r="L500" t="s">
        <v>2277</v>
      </c>
      <c r="M500" t="s">
        <v>2277</v>
      </c>
      <c r="N500" t="s">
        <v>2277</v>
      </c>
      <c r="O500" s="190" t="str">
        <f t="shared" si="7"/>
        <v>[S05_DefaultValues][2][FuelMaterialType]</v>
      </c>
    </row>
    <row r="501" spans="1:15" x14ac:dyDescent="0.3">
      <c r="A501" t="s">
        <v>2278</v>
      </c>
      <c r="B501" t="s">
        <v>1847</v>
      </c>
      <c r="C501" t="s">
        <v>1855</v>
      </c>
      <c r="D501">
        <v>3</v>
      </c>
      <c r="E501" t="s">
        <v>1447</v>
      </c>
      <c r="F501" t="s">
        <v>1857</v>
      </c>
      <c r="G501" t="s">
        <v>1741</v>
      </c>
      <c r="H501" t="s">
        <v>2420</v>
      </c>
      <c r="I501" t="s">
        <v>2277</v>
      </c>
      <c r="J501" t="s">
        <v>2277</v>
      </c>
      <c r="K501" t="s">
        <v>2277</v>
      </c>
      <c r="L501" t="s">
        <v>2277</v>
      </c>
      <c r="M501" t="s">
        <v>2277</v>
      </c>
      <c r="N501" t="s">
        <v>2277</v>
      </c>
      <c r="O501" s="190" t="str">
        <f t="shared" si="7"/>
        <v>[S05_DefaultValues][3][FuelMaterialType]</v>
      </c>
    </row>
    <row r="502" spans="1:15" x14ac:dyDescent="0.3">
      <c r="A502" t="s">
        <v>2278</v>
      </c>
      <c r="B502" t="s">
        <v>1847</v>
      </c>
      <c r="C502" t="s">
        <v>1855</v>
      </c>
      <c r="D502">
        <v>4</v>
      </c>
      <c r="E502" t="s">
        <v>1447</v>
      </c>
      <c r="F502" t="s">
        <v>1857</v>
      </c>
      <c r="G502" t="s">
        <v>1741</v>
      </c>
      <c r="H502" t="s">
        <v>2518</v>
      </c>
      <c r="I502" t="s">
        <v>2277</v>
      </c>
      <c r="J502" t="s">
        <v>2277</v>
      </c>
      <c r="K502" t="s">
        <v>2277</v>
      </c>
      <c r="L502" t="s">
        <v>2277</v>
      </c>
      <c r="M502" t="s">
        <v>2277</v>
      </c>
      <c r="N502" t="s">
        <v>2277</v>
      </c>
      <c r="O502" s="190" t="str">
        <f t="shared" si="7"/>
        <v>[S05_DefaultValues][4][FuelMaterialType]</v>
      </c>
    </row>
    <row r="503" spans="1:15" x14ac:dyDescent="0.3">
      <c r="A503" t="s">
        <v>2278</v>
      </c>
      <c r="B503" t="s">
        <v>1847</v>
      </c>
      <c r="C503" t="s">
        <v>1855</v>
      </c>
      <c r="D503">
        <v>5</v>
      </c>
      <c r="E503" t="s">
        <v>1447</v>
      </c>
      <c r="F503" t="s">
        <v>1857</v>
      </c>
      <c r="G503" t="s">
        <v>1741</v>
      </c>
      <c r="H503" t="s">
        <v>2449</v>
      </c>
      <c r="I503" t="s">
        <v>2277</v>
      </c>
      <c r="J503" t="s">
        <v>2277</v>
      </c>
      <c r="K503" t="s">
        <v>2277</v>
      </c>
      <c r="L503" t="s">
        <v>2277</v>
      </c>
      <c r="M503" t="s">
        <v>2277</v>
      </c>
      <c r="N503" t="s">
        <v>2277</v>
      </c>
      <c r="O503" s="190" t="str">
        <f t="shared" si="7"/>
        <v>[S05_DefaultValues][5][FuelMaterialType]</v>
      </c>
    </row>
    <row r="504" spans="1:15" x14ac:dyDescent="0.3">
      <c r="A504" t="s">
        <v>2278</v>
      </c>
      <c r="B504" t="s">
        <v>1847</v>
      </c>
      <c r="C504" t="s">
        <v>1855</v>
      </c>
      <c r="D504">
        <v>6</v>
      </c>
      <c r="E504" t="s">
        <v>1447</v>
      </c>
      <c r="F504" t="s">
        <v>1857</v>
      </c>
      <c r="G504" t="s">
        <v>1741</v>
      </c>
      <c r="H504" t="s">
        <v>2418</v>
      </c>
      <c r="I504" t="s">
        <v>2277</v>
      </c>
      <c r="J504" t="s">
        <v>2277</v>
      </c>
      <c r="K504" t="s">
        <v>2277</v>
      </c>
      <c r="L504" t="s">
        <v>2277</v>
      </c>
      <c r="M504" t="s">
        <v>2277</v>
      </c>
      <c r="N504" t="s">
        <v>2277</v>
      </c>
      <c r="O504" s="190" t="str">
        <f t="shared" si="7"/>
        <v>[S05_DefaultValues][6][FuelMaterialType]</v>
      </c>
    </row>
    <row r="505" spans="1:15" x14ac:dyDescent="0.3">
      <c r="A505" t="s">
        <v>2278</v>
      </c>
      <c r="B505" t="s">
        <v>1847</v>
      </c>
      <c r="C505" t="s">
        <v>1855</v>
      </c>
      <c r="D505">
        <v>7</v>
      </c>
      <c r="E505" t="s">
        <v>1447</v>
      </c>
      <c r="F505" t="s">
        <v>1857</v>
      </c>
      <c r="G505" t="s">
        <v>1741</v>
      </c>
      <c r="H505" t="s">
        <v>2417</v>
      </c>
      <c r="I505" t="s">
        <v>2277</v>
      </c>
      <c r="J505" t="s">
        <v>2277</v>
      </c>
      <c r="K505" t="s">
        <v>2277</v>
      </c>
      <c r="L505" t="s">
        <v>2277</v>
      </c>
      <c r="M505" t="s">
        <v>2277</v>
      </c>
      <c r="N505" t="s">
        <v>2277</v>
      </c>
      <c r="O505" s="190" t="str">
        <f t="shared" si="7"/>
        <v>[S05_DefaultValues][7][FuelMaterialType]</v>
      </c>
    </row>
    <row r="506" spans="1:15" x14ac:dyDescent="0.3">
      <c r="A506" t="s">
        <v>2278</v>
      </c>
      <c r="B506" t="s">
        <v>1847</v>
      </c>
      <c r="C506" t="s">
        <v>1855</v>
      </c>
      <c r="D506">
        <v>8</v>
      </c>
      <c r="E506" t="s">
        <v>1447</v>
      </c>
      <c r="F506" t="s">
        <v>1857</v>
      </c>
      <c r="G506" t="s">
        <v>1741</v>
      </c>
      <c r="H506" t="s">
        <v>2517</v>
      </c>
      <c r="I506" t="s">
        <v>2277</v>
      </c>
      <c r="J506" t="s">
        <v>2277</v>
      </c>
      <c r="K506" t="s">
        <v>2277</v>
      </c>
      <c r="L506" t="s">
        <v>2277</v>
      </c>
      <c r="M506" t="s">
        <v>2277</v>
      </c>
      <c r="N506" t="s">
        <v>2277</v>
      </c>
      <c r="O506" s="190" t="str">
        <f t="shared" si="7"/>
        <v>[S05_DefaultValues][8][FuelMaterialType]</v>
      </c>
    </row>
    <row r="507" spans="1:15" x14ac:dyDescent="0.3">
      <c r="A507" t="s">
        <v>2278</v>
      </c>
      <c r="B507" t="s">
        <v>1847</v>
      </c>
      <c r="C507" t="s">
        <v>1855</v>
      </c>
      <c r="D507">
        <v>9</v>
      </c>
      <c r="E507" t="s">
        <v>1447</v>
      </c>
      <c r="F507" t="s">
        <v>1857</v>
      </c>
      <c r="G507" t="s">
        <v>1741</v>
      </c>
      <c r="H507" t="s">
        <v>2446</v>
      </c>
      <c r="I507" t="s">
        <v>2277</v>
      </c>
      <c r="J507" t="s">
        <v>2277</v>
      </c>
      <c r="K507" t="s">
        <v>2277</v>
      </c>
      <c r="L507" t="s">
        <v>2277</v>
      </c>
      <c r="M507" t="s">
        <v>2277</v>
      </c>
      <c r="N507" t="s">
        <v>2277</v>
      </c>
      <c r="O507" s="190" t="str">
        <f t="shared" si="7"/>
        <v>[S05_DefaultValues][9][FuelMaterialType]</v>
      </c>
    </row>
    <row r="508" spans="1:15" x14ac:dyDescent="0.3">
      <c r="A508" t="s">
        <v>2278</v>
      </c>
      <c r="B508" t="s">
        <v>1847</v>
      </c>
      <c r="C508" t="s">
        <v>1855</v>
      </c>
      <c r="D508">
        <v>10</v>
      </c>
      <c r="E508" t="s">
        <v>1447</v>
      </c>
      <c r="F508" t="s">
        <v>1857</v>
      </c>
      <c r="G508" t="s">
        <v>1741</v>
      </c>
      <c r="H508" t="s">
        <v>2412</v>
      </c>
      <c r="I508" t="s">
        <v>2277</v>
      </c>
      <c r="J508" t="s">
        <v>2277</v>
      </c>
      <c r="K508" t="s">
        <v>2277</v>
      </c>
      <c r="L508" t="s">
        <v>2277</v>
      </c>
      <c r="M508" t="s">
        <v>2277</v>
      </c>
      <c r="N508" t="s">
        <v>2277</v>
      </c>
      <c r="O508" s="190" t="str">
        <f t="shared" si="7"/>
        <v>[S05_DefaultValues][10][FuelMaterialType]</v>
      </c>
    </row>
    <row r="509" spans="1:15" x14ac:dyDescent="0.3">
      <c r="A509" t="s">
        <v>2278</v>
      </c>
      <c r="B509" t="s">
        <v>1847</v>
      </c>
      <c r="C509" t="s">
        <v>1855</v>
      </c>
      <c r="D509">
        <v>11</v>
      </c>
      <c r="E509" t="s">
        <v>1447</v>
      </c>
      <c r="F509" t="s">
        <v>1857</v>
      </c>
      <c r="G509" t="s">
        <v>1741</v>
      </c>
      <c r="H509" t="s">
        <v>2498</v>
      </c>
      <c r="I509" t="s">
        <v>2277</v>
      </c>
      <c r="J509" t="s">
        <v>2277</v>
      </c>
      <c r="K509" t="s">
        <v>2277</v>
      </c>
      <c r="L509" t="s">
        <v>2277</v>
      </c>
      <c r="M509" t="s">
        <v>2277</v>
      </c>
      <c r="N509" t="s">
        <v>2277</v>
      </c>
      <c r="O509" s="190" t="str">
        <f t="shared" si="7"/>
        <v>[S05_DefaultValues][11][FuelMaterialType]</v>
      </c>
    </row>
    <row r="510" spans="1:15" x14ac:dyDescent="0.3">
      <c r="A510" t="s">
        <v>2278</v>
      </c>
      <c r="B510" t="s">
        <v>1847</v>
      </c>
      <c r="C510" t="s">
        <v>1855</v>
      </c>
      <c r="D510">
        <v>12</v>
      </c>
      <c r="E510" t="s">
        <v>1447</v>
      </c>
      <c r="F510" t="s">
        <v>1857</v>
      </c>
      <c r="G510" t="s">
        <v>1741</v>
      </c>
      <c r="H510" t="s">
        <v>2516</v>
      </c>
      <c r="I510" t="s">
        <v>2277</v>
      </c>
      <c r="J510" t="s">
        <v>2277</v>
      </c>
      <c r="K510" t="s">
        <v>2277</v>
      </c>
      <c r="L510" t="s">
        <v>2277</v>
      </c>
      <c r="M510" t="s">
        <v>2277</v>
      </c>
      <c r="N510" t="s">
        <v>2277</v>
      </c>
      <c r="O510" s="190" t="str">
        <f t="shared" si="7"/>
        <v>[S05_DefaultValues][12][FuelMaterialType]</v>
      </c>
    </row>
    <row r="511" spans="1:15" x14ac:dyDescent="0.3">
      <c r="A511" t="s">
        <v>2278</v>
      </c>
      <c r="B511" t="s">
        <v>1847</v>
      </c>
      <c r="C511" t="s">
        <v>1855</v>
      </c>
      <c r="D511">
        <v>13</v>
      </c>
      <c r="E511" t="s">
        <v>1447</v>
      </c>
      <c r="F511" t="s">
        <v>1857</v>
      </c>
      <c r="G511" t="s">
        <v>1741</v>
      </c>
      <c r="H511" t="s">
        <v>2496</v>
      </c>
      <c r="I511" t="s">
        <v>2277</v>
      </c>
      <c r="J511" t="s">
        <v>2277</v>
      </c>
      <c r="K511" t="s">
        <v>2277</v>
      </c>
      <c r="L511" t="s">
        <v>2277</v>
      </c>
      <c r="M511" t="s">
        <v>2277</v>
      </c>
      <c r="N511" t="s">
        <v>2277</v>
      </c>
      <c r="O511" s="190" t="str">
        <f t="shared" si="7"/>
        <v>[S05_DefaultValues][13][FuelMaterialType]</v>
      </c>
    </row>
    <row r="512" spans="1:15" x14ac:dyDescent="0.3">
      <c r="A512" t="s">
        <v>2278</v>
      </c>
      <c r="B512" t="s">
        <v>1847</v>
      </c>
      <c r="C512" t="s">
        <v>1855</v>
      </c>
      <c r="D512">
        <v>14</v>
      </c>
      <c r="E512" t="s">
        <v>1447</v>
      </c>
      <c r="F512" t="s">
        <v>1857</v>
      </c>
      <c r="G512" t="s">
        <v>1741</v>
      </c>
      <c r="H512" t="s">
        <v>2383</v>
      </c>
      <c r="I512" t="s">
        <v>2277</v>
      </c>
      <c r="J512" t="s">
        <v>2277</v>
      </c>
      <c r="K512" t="s">
        <v>2277</v>
      </c>
      <c r="L512" t="s">
        <v>2277</v>
      </c>
      <c r="M512" t="s">
        <v>2277</v>
      </c>
      <c r="N512" t="s">
        <v>2277</v>
      </c>
      <c r="O512" s="190" t="str">
        <f t="shared" si="7"/>
        <v>[S05_DefaultValues][14][FuelMaterialType]</v>
      </c>
    </row>
    <row r="513" spans="1:15" x14ac:dyDescent="0.3">
      <c r="A513" t="s">
        <v>2278</v>
      </c>
      <c r="B513" t="s">
        <v>1847</v>
      </c>
      <c r="C513" t="s">
        <v>1855</v>
      </c>
      <c r="D513">
        <v>15</v>
      </c>
      <c r="E513" t="s">
        <v>1447</v>
      </c>
      <c r="F513" t="s">
        <v>1857</v>
      </c>
      <c r="G513" t="s">
        <v>1741</v>
      </c>
      <c r="H513" t="s">
        <v>2405</v>
      </c>
      <c r="I513" t="s">
        <v>2277</v>
      </c>
      <c r="J513" t="s">
        <v>2277</v>
      </c>
      <c r="K513" t="s">
        <v>2277</v>
      </c>
      <c r="L513" t="s">
        <v>2277</v>
      </c>
      <c r="M513" t="s">
        <v>2277</v>
      </c>
      <c r="N513" t="s">
        <v>2277</v>
      </c>
      <c r="O513" s="190" t="str">
        <f t="shared" si="7"/>
        <v>[S05_DefaultValues][15][FuelMaterialType]</v>
      </c>
    </row>
    <row r="514" spans="1:15" x14ac:dyDescent="0.3">
      <c r="A514" t="s">
        <v>2278</v>
      </c>
      <c r="B514" t="s">
        <v>1847</v>
      </c>
      <c r="C514" t="s">
        <v>1855</v>
      </c>
      <c r="D514">
        <v>16</v>
      </c>
      <c r="E514" t="s">
        <v>1447</v>
      </c>
      <c r="F514" t="s">
        <v>1857</v>
      </c>
      <c r="G514" t="s">
        <v>1741</v>
      </c>
      <c r="H514" t="s">
        <v>2443</v>
      </c>
      <c r="I514" t="s">
        <v>2277</v>
      </c>
      <c r="J514" t="s">
        <v>2277</v>
      </c>
      <c r="K514" t="s">
        <v>2277</v>
      </c>
      <c r="L514" t="s">
        <v>2277</v>
      </c>
      <c r="M514" t="s">
        <v>2277</v>
      </c>
      <c r="N514" t="s">
        <v>2277</v>
      </c>
      <c r="O514" s="190" t="str">
        <f t="shared" ref="O514:O577" si="8">"["&amp;$C514&amp;"]["&amp;$D514&amp;"]["&amp;$F514&amp;"]"</f>
        <v>[S05_DefaultValues][16][FuelMaterialType]</v>
      </c>
    </row>
    <row r="515" spans="1:15" x14ac:dyDescent="0.3">
      <c r="A515" t="s">
        <v>2278</v>
      </c>
      <c r="B515" t="s">
        <v>1847</v>
      </c>
      <c r="C515" t="s">
        <v>1855</v>
      </c>
      <c r="D515">
        <v>17</v>
      </c>
      <c r="E515" t="s">
        <v>1447</v>
      </c>
      <c r="F515" t="s">
        <v>1857</v>
      </c>
      <c r="G515" t="s">
        <v>1741</v>
      </c>
      <c r="H515" t="s">
        <v>2491</v>
      </c>
      <c r="I515" t="s">
        <v>2277</v>
      </c>
      <c r="J515" t="s">
        <v>2277</v>
      </c>
      <c r="K515" t="s">
        <v>2277</v>
      </c>
      <c r="L515" t="s">
        <v>2277</v>
      </c>
      <c r="M515" t="s">
        <v>2277</v>
      </c>
      <c r="N515" t="s">
        <v>2277</v>
      </c>
      <c r="O515" s="190" t="str">
        <f t="shared" si="8"/>
        <v>[S05_DefaultValues][17][FuelMaterialType]</v>
      </c>
    </row>
    <row r="516" spans="1:15" x14ac:dyDescent="0.3">
      <c r="A516" t="s">
        <v>2278</v>
      </c>
      <c r="B516" t="s">
        <v>1847</v>
      </c>
      <c r="C516" t="s">
        <v>1855</v>
      </c>
      <c r="D516">
        <v>18</v>
      </c>
      <c r="E516" t="s">
        <v>1447</v>
      </c>
      <c r="F516" t="s">
        <v>1857</v>
      </c>
      <c r="G516" t="s">
        <v>1741</v>
      </c>
      <c r="H516" t="s">
        <v>2404</v>
      </c>
      <c r="I516" t="s">
        <v>2277</v>
      </c>
      <c r="J516" t="s">
        <v>2277</v>
      </c>
      <c r="K516" t="s">
        <v>2277</v>
      </c>
      <c r="L516" t="s">
        <v>2277</v>
      </c>
      <c r="M516" t="s">
        <v>2277</v>
      </c>
      <c r="N516" t="s">
        <v>2277</v>
      </c>
      <c r="O516" s="190" t="str">
        <f t="shared" si="8"/>
        <v>[S05_DefaultValues][18][FuelMaterialType]</v>
      </c>
    </row>
    <row r="517" spans="1:15" x14ac:dyDescent="0.3">
      <c r="A517" t="s">
        <v>2278</v>
      </c>
      <c r="B517" t="s">
        <v>1847</v>
      </c>
      <c r="C517" t="s">
        <v>1855</v>
      </c>
      <c r="D517">
        <v>19</v>
      </c>
      <c r="E517" t="s">
        <v>1447</v>
      </c>
      <c r="F517" t="s">
        <v>1857</v>
      </c>
      <c r="G517" t="s">
        <v>1741</v>
      </c>
      <c r="H517" t="s">
        <v>2403</v>
      </c>
      <c r="I517" t="s">
        <v>2277</v>
      </c>
      <c r="J517" t="s">
        <v>2277</v>
      </c>
      <c r="K517" t="s">
        <v>2277</v>
      </c>
      <c r="L517" t="s">
        <v>2277</v>
      </c>
      <c r="M517" t="s">
        <v>2277</v>
      </c>
      <c r="N517" t="s">
        <v>2277</v>
      </c>
      <c r="O517" s="190" t="str">
        <f t="shared" si="8"/>
        <v>[S05_DefaultValues][19][FuelMaterialType]</v>
      </c>
    </row>
    <row r="518" spans="1:15" x14ac:dyDescent="0.3">
      <c r="A518" t="s">
        <v>2278</v>
      </c>
      <c r="B518" t="s">
        <v>1847</v>
      </c>
      <c r="C518" t="s">
        <v>1855</v>
      </c>
      <c r="D518">
        <v>20</v>
      </c>
      <c r="E518" t="s">
        <v>1447</v>
      </c>
      <c r="F518" t="s">
        <v>1857</v>
      </c>
      <c r="G518" t="s">
        <v>1741</v>
      </c>
      <c r="H518" t="s">
        <v>2437</v>
      </c>
      <c r="I518" t="s">
        <v>2277</v>
      </c>
      <c r="J518" t="s">
        <v>2277</v>
      </c>
      <c r="K518" t="s">
        <v>2277</v>
      </c>
      <c r="L518" t="s">
        <v>2277</v>
      </c>
      <c r="M518" t="s">
        <v>2277</v>
      </c>
      <c r="N518" t="s">
        <v>2277</v>
      </c>
      <c r="O518" s="190" t="str">
        <f t="shared" si="8"/>
        <v>[S05_DefaultValues][20][FuelMaterialType]</v>
      </c>
    </row>
    <row r="519" spans="1:15" x14ac:dyDescent="0.3">
      <c r="A519" t="s">
        <v>2278</v>
      </c>
      <c r="B519" t="s">
        <v>1847</v>
      </c>
      <c r="C519" t="s">
        <v>1855</v>
      </c>
      <c r="D519">
        <v>21</v>
      </c>
      <c r="E519" t="s">
        <v>1447</v>
      </c>
      <c r="F519" t="s">
        <v>1857</v>
      </c>
      <c r="G519" t="s">
        <v>1741</v>
      </c>
      <c r="H519" t="s">
        <v>2402</v>
      </c>
      <c r="I519" t="s">
        <v>2277</v>
      </c>
      <c r="J519" t="s">
        <v>2277</v>
      </c>
      <c r="K519" t="s">
        <v>2277</v>
      </c>
      <c r="L519" t="s">
        <v>2277</v>
      </c>
      <c r="M519" t="s">
        <v>2277</v>
      </c>
      <c r="N519" t="s">
        <v>2277</v>
      </c>
      <c r="O519" s="190" t="str">
        <f t="shared" si="8"/>
        <v>[S05_DefaultValues][21][FuelMaterialType]</v>
      </c>
    </row>
    <row r="520" spans="1:15" x14ac:dyDescent="0.3">
      <c r="A520" t="s">
        <v>2278</v>
      </c>
      <c r="B520" t="s">
        <v>1847</v>
      </c>
      <c r="C520" t="s">
        <v>1855</v>
      </c>
      <c r="D520">
        <v>22</v>
      </c>
      <c r="E520" t="s">
        <v>1447</v>
      </c>
      <c r="F520" t="s">
        <v>1857</v>
      </c>
      <c r="G520" t="s">
        <v>1741</v>
      </c>
      <c r="H520" t="s">
        <v>2515</v>
      </c>
      <c r="I520" t="s">
        <v>2277</v>
      </c>
      <c r="J520" t="s">
        <v>2277</v>
      </c>
      <c r="K520" t="s">
        <v>2277</v>
      </c>
      <c r="L520" t="s">
        <v>2277</v>
      </c>
      <c r="M520" t="s">
        <v>2277</v>
      </c>
      <c r="N520" t="s">
        <v>2277</v>
      </c>
      <c r="O520" s="190" t="str">
        <f t="shared" si="8"/>
        <v>[S05_DefaultValues][22][FuelMaterialType]</v>
      </c>
    </row>
    <row r="521" spans="1:15" x14ac:dyDescent="0.3">
      <c r="A521" t="s">
        <v>2278</v>
      </c>
      <c r="B521" t="s">
        <v>1847</v>
      </c>
      <c r="C521" t="s">
        <v>1855</v>
      </c>
      <c r="D521">
        <v>23</v>
      </c>
      <c r="E521" t="s">
        <v>1447</v>
      </c>
      <c r="F521" t="s">
        <v>1857</v>
      </c>
      <c r="G521" t="s">
        <v>1741</v>
      </c>
      <c r="H521" t="s">
        <v>2434</v>
      </c>
      <c r="I521" t="s">
        <v>2277</v>
      </c>
      <c r="J521" t="s">
        <v>2277</v>
      </c>
      <c r="K521" t="s">
        <v>2277</v>
      </c>
      <c r="L521" t="s">
        <v>2277</v>
      </c>
      <c r="M521" t="s">
        <v>2277</v>
      </c>
      <c r="N521" t="s">
        <v>2277</v>
      </c>
      <c r="O521" s="190" t="str">
        <f t="shared" si="8"/>
        <v>[S05_DefaultValues][23][FuelMaterialType]</v>
      </c>
    </row>
    <row r="522" spans="1:15" x14ac:dyDescent="0.3">
      <c r="A522" t="s">
        <v>2278</v>
      </c>
      <c r="B522" t="s">
        <v>1847</v>
      </c>
      <c r="C522" t="s">
        <v>1855</v>
      </c>
      <c r="D522">
        <v>24</v>
      </c>
      <c r="E522" t="s">
        <v>1447</v>
      </c>
      <c r="F522" t="s">
        <v>1857</v>
      </c>
      <c r="G522" t="s">
        <v>1741</v>
      </c>
      <c r="H522" t="s">
        <v>2514</v>
      </c>
      <c r="I522" t="s">
        <v>2277</v>
      </c>
      <c r="J522" t="s">
        <v>2277</v>
      </c>
      <c r="K522" t="s">
        <v>2277</v>
      </c>
      <c r="L522" t="s">
        <v>2277</v>
      </c>
      <c r="M522" t="s">
        <v>2277</v>
      </c>
      <c r="N522" t="s">
        <v>2277</v>
      </c>
      <c r="O522" s="190" t="str">
        <f t="shared" si="8"/>
        <v>[S05_DefaultValues][24][FuelMaterialType]</v>
      </c>
    </row>
    <row r="523" spans="1:15" x14ac:dyDescent="0.3">
      <c r="A523" t="s">
        <v>2278</v>
      </c>
      <c r="B523" t="s">
        <v>1847</v>
      </c>
      <c r="C523" t="s">
        <v>1855</v>
      </c>
      <c r="D523">
        <v>25</v>
      </c>
      <c r="E523" t="s">
        <v>1447</v>
      </c>
      <c r="F523" t="s">
        <v>1857</v>
      </c>
      <c r="G523" t="s">
        <v>1741</v>
      </c>
      <c r="H523" t="s">
        <v>2401</v>
      </c>
      <c r="I523" t="s">
        <v>2277</v>
      </c>
      <c r="J523" t="s">
        <v>2277</v>
      </c>
      <c r="K523" t="s">
        <v>2277</v>
      </c>
      <c r="L523" t="s">
        <v>2277</v>
      </c>
      <c r="M523" t="s">
        <v>2277</v>
      </c>
      <c r="N523" t="s">
        <v>2277</v>
      </c>
      <c r="O523" s="190" t="str">
        <f t="shared" si="8"/>
        <v>[S05_DefaultValues][25][FuelMaterialType]</v>
      </c>
    </row>
    <row r="524" spans="1:15" x14ac:dyDescent="0.3">
      <c r="A524" t="s">
        <v>2278</v>
      </c>
      <c r="B524" t="s">
        <v>1847</v>
      </c>
      <c r="C524" t="s">
        <v>1855</v>
      </c>
      <c r="D524">
        <v>26</v>
      </c>
      <c r="E524" t="s">
        <v>1447</v>
      </c>
      <c r="F524" t="s">
        <v>1857</v>
      </c>
      <c r="G524" t="s">
        <v>1741</v>
      </c>
      <c r="H524" t="s">
        <v>2483</v>
      </c>
      <c r="I524" t="s">
        <v>2277</v>
      </c>
      <c r="J524" t="s">
        <v>2277</v>
      </c>
      <c r="K524" t="s">
        <v>2277</v>
      </c>
      <c r="L524" t="s">
        <v>2277</v>
      </c>
      <c r="M524" t="s">
        <v>2277</v>
      </c>
      <c r="N524" t="s">
        <v>2277</v>
      </c>
      <c r="O524" s="190" t="str">
        <f t="shared" si="8"/>
        <v>[S05_DefaultValues][26][FuelMaterialType]</v>
      </c>
    </row>
    <row r="525" spans="1:15" x14ac:dyDescent="0.3">
      <c r="A525" t="s">
        <v>2278</v>
      </c>
      <c r="B525" t="s">
        <v>1847</v>
      </c>
      <c r="C525" t="s">
        <v>1855</v>
      </c>
      <c r="D525">
        <v>27</v>
      </c>
      <c r="E525" t="s">
        <v>1447</v>
      </c>
      <c r="F525" t="s">
        <v>1857</v>
      </c>
      <c r="G525" t="s">
        <v>1741</v>
      </c>
      <c r="H525" t="s">
        <v>2398</v>
      </c>
      <c r="I525" t="s">
        <v>2277</v>
      </c>
      <c r="J525" t="s">
        <v>2277</v>
      </c>
      <c r="K525" t="s">
        <v>2277</v>
      </c>
      <c r="L525" t="s">
        <v>2277</v>
      </c>
      <c r="M525" t="s">
        <v>2277</v>
      </c>
      <c r="N525" t="s">
        <v>2277</v>
      </c>
      <c r="O525" s="190" t="str">
        <f t="shared" si="8"/>
        <v>[S05_DefaultValues][27][FuelMaterialType]</v>
      </c>
    </row>
    <row r="526" spans="1:15" x14ac:dyDescent="0.3">
      <c r="A526" t="s">
        <v>2278</v>
      </c>
      <c r="B526" t="s">
        <v>1847</v>
      </c>
      <c r="C526" t="s">
        <v>1855</v>
      </c>
      <c r="D526">
        <v>28</v>
      </c>
      <c r="E526" t="s">
        <v>1447</v>
      </c>
      <c r="F526" t="s">
        <v>1857</v>
      </c>
      <c r="G526" t="s">
        <v>1741</v>
      </c>
      <c r="H526" t="s">
        <v>2397</v>
      </c>
      <c r="I526" t="s">
        <v>2277</v>
      </c>
      <c r="J526" t="s">
        <v>2277</v>
      </c>
      <c r="K526" t="s">
        <v>2277</v>
      </c>
      <c r="L526" t="s">
        <v>2277</v>
      </c>
      <c r="M526" t="s">
        <v>2277</v>
      </c>
      <c r="N526" t="s">
        <v>2277</v>
      </c>
      <c r="O526" s="190" t="str">
        <f t="shared" si="8"/>
        <v>[S05_DefaultValues][28][FuelMaterialType]</v>
      </c>
    </row>
    <row r="527" spans="1:15" x14ac:dyDescent="0.3">
      <c r="A527" t="s">
        <v>2278</v>
      </c>
      <c r="B527" t="s">
        <v>1847</v>
      </c>
      <c r="C527" t="s">
        <v>1855</v>
      </c>
      <c r="D527">
        <v>29</v>
      </c>
      <c r="E527" t="s">
        <v>1447</v>
      </c>
      <c r="F527" t="s">
        <v>1857</v>
      </c>
      <c r="G527" t="s">
        <v>1741</v>
      </c>
      <c r="H527" t="s">
        <v>2396</v>
      </c>
      <c r="I527" t="s">
        <v>2277</v>
      </c>
      <c r="J527" t="s">
        <v>2277</v>
      </c>
      <c r="K527" t="s">
        <v>2277</v>
      </c>
      <c r="L527" t="s">
        <v>2277</v>
      </c>
      <c r="M527" t="s">
        <v>2277</v>
      </c>
      <c r="N527" t="s">
        <v>2277</v>
      </c>
      <c r="O527" s="190" t="str">
        <f t="shared" si="8"/>
        <v>[S05_DefaultValues][29][FuelMaterialType]</v>
      </c>
    </row>
    <row r="528" spans="1:15" x14ac:dyDescent="0.3">
      <c r="A528" t="s">
        <v>2278</v>
      </c>
      <c r="B528" t="s">
        <v>1847</v>
      </c>
      <c r="C528" t="s">
        <v>1855</v>
      </c>
      <c r="D528">
        <v>30</v>
      </c>
      <c r="E528" t="s">
        <v>1447</v>
      </c>
      <c r="F528" t="s">
        <v>1857</v>
      </c>
      <c r="G528" t="s">
        <v>1741</v>
      </c>
      <c r="H528" t="s">
        <v>2386</v>
      </c>
      <c r="I528" t="s">
        <v>2277</v>
      </c>
      <c r="J528" t="s">
        <v>2277</v>
      </c>
      <c r="K528" t="s">
        <v>2277</v>
      </c>
      <c r="L528" t="s">
        <v>2277</v>
      </c>
      <c r="M528" t="s">
        <v>2277</v>
      </c>
      <c r="N528" t="s">
        <v>2277</v>
      </c>
      <c r="O528" s="190" t="str">
        <f t="shared" si="8"/>
        <v>[S05_DefaultValues][30][FuelMaterialType]</v>
      </c>
    </row>
    <row r="529" spans="1:15" x14ac:dyDescent="0.3">
      <c r="A529" t="s">
        <v>2278</v>
      </c>
      <c r="B529" t="s">
        <v>1847</v>
      </c>
      <c r="C529" t="s">
        <v>1855</v>
      </c>
      <c r="D529">
        <v>31</v>
      </c>
      <c r="E529" t="s">
        <v>1447</v>
      </c>
      <c r="F529" t="s">
        <v>1857</v>
      </c>
      <c r="G529" t="s">
        <v>1741</v>
      </c>
      <c r="H529" t="s">
        <v>2395</v>
      </c>
      <c r="I529" t="s">
        <v>2277</v>
      </c>
      <c r="J529" t="s">
        <v>2277</v>
      </c>
      <c r="K529" t="s">
        <v>2277</v>
      </c>
      <c r="L529" t="s">
        <v>2277</v>
      </c>
      <c r="M529" t="s">
        <v>2277</v>
      </c>
      <c r="N529" t="s">
        <v>2277</v>
      </c>
      <c r="O529" s="190" t="str">
        <f t="shared" si="8"/>
        <v>[S05_DefaultValues][31][FuelMaterialType]</v>
      </c>
    </row>
    <row r="530" spans="1:15" x14ac:dyDescent="0.3">
      <c r="A530" t="s">
        <v>2278</v>
      </c>
      <c r="B530" t="s">
        <v>1847</v>
      </c>
      <c r="C530" t="s">
        <v>1855</v>
      </c>
      <c r="D530">
        <v>32</v>
      </c>
      <c r="E530" t="s">
        <v>1447</v>
      </c>
      <c r="F530" t="s">
        <v>1857</v>
      </c>
      <c r="G530" t="s">
        <v>1741</v>
      </c>
      <c r="H530" t="s">
        <v>2513</v>
      </c>
      <c r="I530" t="s">
        <v>2277</v>
      </c>
      <c r="J530" t="s">
        <v>2277</v>
      </c>
      <c r="K530" t="s">
        <v>2277</v>
      </c>
      <c r="L530" t="s">
        <v>2277</v>
      </c>
      <c r="M530" t="s">
        <v>2277</v>
      </c>
      <c r="N530" t="s">
        <v>2277</v>
      </c>
      <c r="O530" s="190" t="str">
        <f t="shared" si="8"/>
        <v>[S05_DefaultValues][32][FuelMaterialType]</v>
      </c>
    </row>
    <row r="531" spans="1:15" x14ac:dyDescent="0.3">
      <c r="A531" t="s">
        <v>2278</v>
      </c>
      <c r="B531" t="s">
        <v>1847</v>
      </c>
      <c r="C531" t="s">
        <v>1855</v>
      </c>
      <c r="D531">
        <v>33</v>
      </c>
      <c r="E531" t="s">
        <v>1447</v>
      </c>
      <c r="F531" t="s">
        <v>1857</v>
      </c>
      <c r="G531" t="s">
        <v>1741</v>
      </c>
      <c r="H531" t="s">
        <v>2512</v>
      </c>
      <c r="I531" t="s">
        <v>2277</v>
      </c>
      <c r="J531" t="s">
        <v>2277</v>
      </c>
      <c r="K531" t="s">
        <v>2277</v>
      </c>
      <c r="L531" t="s">
        <v>2277</v>
      </c>
      <c r="M531" t="s">
        <v>2277</v>
      </c>
      <c r="N531" t="s">
        <v>2277</v>
      </c>
      <c r="O531" s="190" t="str">
        <f t="shared" si="8"/>
        <v>[S05_DefaultValues][33][FuelMaterialType]</v>
      </c>
    </row>
    <row r="532" spans="1:15" x14ac:dyDescent="0.3">
      <c r="A532" t="s">
        <v>2278</v>
      </c>
      <c r="B532" t="s">
        <v>1847</v>
      </c>
      <c r="C532" t="s">
        <v>1855</v>
      </c>
      <c r="D532">
        <v>34</v>
      </c>
      <c r="E532" t="s">
        <v>1447</v>
      </c>
      <c r="F532" t="s">
        <v>1857</v>
      </c>
      <c r="G532" t="s">
        <v>1741</v>
      </c>
      <c r="H532" t="s">
        <v>2511</v>
      </c>
      <c r="I532" t="s">
        <v>2277</v>
      </c>
      <c r="J532" t="s">
        <v>2277</v>
      </c>
      <c r="K532" t="s">
        <v>2277</v>
      </c>
      <c r="L532" t="s">
        <v>2277</v>
      </c>
      <c r="M532" t="s">
        <v>2277</v>
      </c>
      <c r="N532" t="s">
        <v>2277</v>
      </c>
      <c r="O532" s="190" t="str">
        <f t="shared" si="8"/>
        <v>[S05_DefaultValues][34][FuelMaterialType]</v>
      </c>
    </row>
    <row r="533" spans="1:15" x14ac:dyDescent="0.3">
      <c r="A533" t="s">
        <v>2278</v>
      </c>
      <c r="B533" t="s">
        <v>1847</v>
      </c>
      <c r="C533" t="s">
        <v>1855</v>
      </c>
      <c r="D533">
        <v>35</v>
      </c>
      <c r="E533" t="s">
        <v>1447</v>
      </c>
      <c r="F533" t="s">
        <v>1857</v>
      </c>
      <c r="G533" t="s">
        <v>1741</v>
      </c>
      <c r="H533" t="s">
        <v>2510</v>
      </c>
      <c r="I533" t="s">
        <v>2277</v>
      </c>
      <c r="J533" t="s">
        <v>2277</v>
      </c>
      <c r="K533" t="s">
        <v>2277</v>
      </c>
      <c r="L533" t="s">
        <v>2277</v>
      </c>
      <c r="M533" t="s">
        <v>2277</v>
      </c>
      <c r="N533" t="s">
        <v>2277</v>
      </c>
      <c r="O533" s="190" t="str">
        <f t="shared" si="8"/>
        <v>[S05_DefaultValues][35][FuelMaterialType]</v>
      </c>
    </row>
    <row r="534" spans="1:15" x14ac:dyDescent="0.3">
      <c r="A534" t="s">
        <v>2278</v>
      </c>
      <c r="B534" t="s">
        <v>1847</v>
      </c>
      <c r="C534" t="s">
        <v>1855</v>
      </c>
      <c r="D534">
        <v>36</v>
      </c>
      <c r="E534" t="s">
        <v>1447</v>
      </c>
      <c r="F534" t="s">
        <v>1857</v>
      </c>
      <c r="G534" t="s">
        <v>1741</v>
      </c>
      <c r="H534" t="s">
        <v>2509</v>
      </c>
      <c r="I534" t="s">
        <v>2277</v>
      </c>
      <c r="J534" t="s">
        <v>2277</v>
      </c>
      <c r="K534" t="s">
        <v>2277</v>
      </c>
      <c r="L534" t="s">
        <v>2277</v>
      </c>
      <c r="M534" t="s">
        <v>2277</v>
      </c>
      <c r="N534" t="s">
        <v>2277</v>
      </c>
      <c r="O534" s="190" t="str">
        <f t="shared" si="8"/>
        <v>[S05_DefaultValues][36][FuelMaterialType]</v>
      </c>
    </row>
    <row r="535" spans="1:15" x14ac:dyDescent="0.3">
      <c r="A535" t="s">
        <v>2278</v>
      </c>
      <c r="B535" t="s">
        <v>1847</v>
      </c>
      <c r="C535" t="s">
        <v>1855</v>
      </c>
      <c r="D535">
        <v>37</v>
      </c>
      <c r="E535" t="s">
        <v>1447</v>
      </c>
      <c r="F535" t="s">
        <v>1857</v>
      </c>
      <c r="G535" t="s">
        <v>1741</v>
      </c>
      <c r="H535" t="s">
        <v>2392</v>
      </c>
      <c r="I535" t="s">
        <v>2277</v>
      </c>
      <c r="J535" t="s">
        <v>2277</v>
      </c>
      <c r="K535" t="s">
        <v>2277</v>
      </c>
      <c r="L535" t="s">
        <v>2277</v>
      </c>
      <c r="M535" t="s">
        <v>2277</v>
      </c>
      <c r="N535" t="s">
        <v>2277</v>
      </c>
      <c r="O535" s="190" t="str">
        <f t="shared" si="8"/>
        <v>[S05_DefaultValues][37][FuelMaterialType]</v>
      </c>
    </row>
    <row r="536" spans="1:15" x14ac:dyDescent="0.3">
      <c r="A536" t="s">
        <v>2278</v>
      </c>
      <c r="B536" t="s">
        <v>1847</v>
      </c>
      <c r="C536" t="s">
        <v>1855</v>
      </c>
      <c r="D536">
        <v>38</v>
      </c>
      <c r="E536" t="s">
        <v>1447</v>
      </c>
      <c r="F536" t="s">
        <v>1857</v>
      </c>
      <c r="G536" t="s">
        <v>1741</v>
      </c>
      <c r="H536" t="s">
        <v>2475</v>
      </c>
      <c r="I536" t="s">
        <v>2277</v>
      </c>
      <c r="J536" t="s">
        <v>2277</v>
      </c>
      <c r="K536" t="s">
        <v>2277</v>
      </c>
      <c r="L536" t="s">
        <v>2277</v>
      </c>
      <c r="M536" t="s">
        <v>2277</v>
      </c>
      <c r="N536" t="s">
        <v>2277</v>
      </c>
      <c r="O536" s="190" t="str">
        <f t="shared" si="8"/>
        <v>[S05_DefaultValues][38][FuelMaterialType]</v>
      </c>
    </row>
    <row r="537" spans="1:15" x14ac:dyDescent="0.3">
      <c r="A537" t="s">
        <v>2278</v>
      </c>
      <c r="B537" t="s">
        <v>1847</v>
      </c>
      <c r="C537" t="s">
        <v>1855</v>
      </c>
      <c r="D537">
        <v>39</v>
      </c>
      <c r="E537" t="s">
        <v>1447</v>
      </c>
      <c r="F537" t="s">
        <v>1857</v>
      </c>
      <c r="G537" t="s">
        <v>1741</v>
      </c>
      <c r="H537" t="s">
        <v>2474</v>
      </c>
      <c r="I537" t="s">
        <v>2277</v>
      </c>
      <c r="J537" t="s">
        <v>2277</v>
      </c>
      <c r="K537" t="s">
        <v>2277</v>
      </c>
      <c r="L537" t="s">
        <v>2277</v>
      </c>
      <c r="M537" t="s">
        <v>2277</v>
      </c>
      <c r="N537" t="s">
        <v>2277</v>
      </c>
      <c r="O537" s="190" t="str">
        <f t="shared" si="8"/>
        <v>[S05_DefaultValues][39][FuelMaterialType]</v>
      </c>
    </row>
    <row r="538" spans="1:15" x14ac:dyDescent="0.3">
      <c r="A538" t="s">
        <v>2278</v>
      </c>
      <c r="B538" t="s">
        <v>1847</v>
      </c>
      <c r="C538" t="s">
        <v>1855</v>
      </c>
      <c r="D538">
        <v>40</v>
      </c>
      <c r="E538" t="s">
        <v>1447</v>
      </c>
      <c r="F538" t="s">
        <v>1857</v>
      </c>
      <c r="G538" t="s">
        <v>1741</v>
      </c>
      <c r="H538" t="s">
        <v>2508</v>
      </c>
      <c r="I538" t="s">
        <v>2277</v>
      </c>
      <c r="J538" t="s">
        <v>2277</v>
      </c>
      <c r="K538" t="s">
        <v>2277</v>
      </c>
      <c r="L538" t="s">
        <v>2277</v>
      </c>
      <c r="M538" t="s">
        <v>2277</v>
      </c>
      <c r="N538" t="s">
        <v>2277</v>
      </c>
      <c r="O538" s="190" t="str">
        <f t="shared" si="8"/>
        <v>[S05_DefaultValues][40][FuelMaterialType]</v>
      </c>
    </row>
    <row r="539" spans="1:15" x14ac:dyDescent="0.3">
      <c r="A539" t="s">
        <v>2278</v>
      </c>
      <c r="B539" t="s">
        <v>1847</v>
      </c>
      <c r="C539" t="s">
        <v>1855</v>
      </c>
      <c r="D539">
        <v>41</v>
      </c>
      <c r="E539" t="s">
        <v>1447</v>
      </c>
      <c r="F539" t="s">
        <v>1857</v>
      </c>
      <c r="G539" t="s">
        <v>1741</v>
      </c>
      <c r="H539" t="s">
        <v>2507</v>
      </c>
      <c r="I539" t="s">
        <v>2277</v>
      </c>
      <c r="J539" t="s">
        <v>2277</v>
      </c>
      <c r="K539" t="s">
        <v>2277</v>
      </c>
      <c r="L539" t="s">
        <v>2277</v>
      </c>
      <c r="M539" t="s">
        <v>2277</v>
      </c>
      <c r="N539" t="s">
        <v>2277</v>
      </c>
      <c r="O539" s="190" t="str">
        <f t="shared" si="8"/>
        <v>[S05_DefaultValues][41][FuelMaterialType]</v>
      </c>
    </row>
    <row r="540" spans="1:15" x14ac:dyDescent="0.3">
      <c r="A540" t="s">
        <v>2278</v>
      </c>
      <c r="B540" t="s">
        <v>1847</v>
      </c>
      <c r="C540" t="s">
        <v>1855</v>
      </c>
      <c r="D540">
        <v>42</v>
      </c>
      <c r="E540" t="s">
        <v>1447</v>
      </c>
      <c r="F540" t="s">
        <v>1857</v>
      </c>
      <c r="G540" t="s">
        <v>1741</v>
      </c>
      <c r="H540" t="s">
        <v>2390</v>
      </c>
      <c r="I540" t="s">
        <v>2277</v>
      </c>
      <c r="J540" t="s">
        <v>2277</v>
      </c>
      <c r="K540" t="s">
        <v>2277</v>
      </c>
      <c r="L540" t="s">
        <v>2277</v>
      </c>
      <c r="M540" t="s">
        <v>2277</v>
      </c>
      <c r="N540" t="s">
        <v>2277</v>
      </c>
      <c r="O540" s="190" t="str">
        <f t="shared" si="8"/>
        <v>[S05_DefaultValues][42][FuelMaterialType]</v>
      </c>
    </row>
    <row r="541" spans="1:15" x14ac:dyDescent="0.3">
      <c r="A541" t="s">
        <v>2278</v>
      </c>
      <c r="B541" t="s">
        <v>1847</v>
      </c>
      <c r="C541" t="s">
        <v>1855</v>
      </c>
      <c r="D541">
        <v>43</v>
      </c>
      <c r="E541" t="s">
        <v>1447</v>
      </c>
      <c r="F541" t="s">
        <v>1857</v>
      </c>
      <c r="G541" t="s">
        <v>1741</v>
      </c>
      <c r="H541" t="s">
        <v>2428</v>
      </c>
      <c r="I541" t="s">
        <v>2277</v>
      </c>
      <c r="J541" t="s">
        <v>2277</v>
      </c>
      <c r="K541" t="s">
        <v>2277</v>
      </c>
      <c r="L541" t="s">
        <v>2277</v>
      </c>
      <c r="M541" t="s">
        <v>2277</v>
      </c>
      <c r="N541" t="s">
        <v>2277</v>
      </c>
      <c r="O541" s="190" t="str">
        <f t="shared" si="8"/>
        <v>[S05_DefaultValues][43][FuelMaterialType]</v>
      </c>
    </row>
    <row r="542" spans="1:15" x14ac:dyDescent="0.3">
      <c r="A542" t="s">
        <v>2278</v>
      </c>
      <c r="B542" t="s">
        <v>1847</v>
      </c>
      <c r="C542" t="s">
        <v>1855</v>
      </c>
      <c r="D542">
        <v>44</v>
      </c>
      <c r="E542" t="s">
        <v>1447</v>
      </c>
      <c r="F542" t="s">
        <v>1857</v>
      </c>
      <c r="G542" t="s">
        <v>1741</v>
      </c>
      <c r="H542" t="s">
        <v>2389</v>
      </c>
      <c r="I542" t="s">
        <v>2277</v>
      </c>
      <c r="J542" t="s">
        <v>2277</v>
      </c>
      <c r="K542" t="s">
        <v>2277</v>
      </c>
      <c r="L542" t="s">
        <v>2277</v>
      </c>
      <c r="M542" t="s">
        <v>2277</v>
      </c>
      <c r="N542" t="s">
        <v>2277</v>
      </c>
      <c r="O542" s="190" t="str">
        <f t="shared" si="8"/>
        <v>[S05_DefaultValues][44][FuelMaterialType]</v>
      </c>
    </row>
    <row r="543" spans="1:15" x14ac:dyDescent="0.3">
      <c r="A543" t="s">
        <v>2278</v>
      </c>
      <c r="B543" t="s">
        <v>1847</v>
      </c>
      <c r="C543" t="s">
        <v>1855</v>
      </c>
      <c r="D543">
        <v>45</v>
      </c>
      <c r="E543" t="s">
        <v>1447</v>
      </c>
      <c r="F543" t="s">
        <v>1857</v>
      </c>
      <c r="G543" t="s">
        <v>1741</v>
      </c>
      <c r="H543" t="s">
        <v>2427</v>
      </c>
      <c r="I543" t="s">
        <v>2277</v>
      </c>
      <c r="J543" t="s">
        <v>2277</v>
      </c>
      <c r="K543" t="s">
        <v>2277</v>
      </c>
      <c r="L543" t="s">
        <v>2277</v>
      </c>
      <c r="M543" t="s">
        <v>2277</v>
      </c>
      <c r="N543" t="s">
        <v>2277</v>
      </c>
      <c r="O543" s="190" t="str">
        <f t="shared" si="8"/>
        <v>[S05_DefaultValues][45][FuelMaterialType]</v>
      </c>
    </row>
    <row r="544" spans="1:15" x14ac:dyDescent="0.3">
      <c r="A544" t="s">
        <v>2278</v>
      </c>
      <c r="B544" t="s">
        <v>1847</v>
      </c>
      <c r="C544" t="s">
        <v>1855</v>
      </c>
      <c r="D544">
        <v>46</v>
      </c>
      <c r="E544" t="s">
        <v>1447</v>
      </c>
      <c r="F544" t="s">
        <v>1857</v>
      </c>
      <c r="G544" t="s">
        <v>1741</v>
      </c>
      <c r="H544" t="s">
        <v>2426</v>
      </c>
      <c r="I544" t="s">
        <v>2277</v>
      </c>
      <c r="J544" t="s">
        <v>2277</v>
      </c>
      <c r="K544" t="s">
        <v>2277</v>
      </c>
      <c r="L544" t="s">
        <v>2277</v>
      </c>
      <c r="M544" t="s">
        <v>2277</v>
      </c>
      <c r="N544" t="s">
        <v>2277</v>
      </c>
      <c r="O544" s="190" t="str">
        <f t="shared" si="8"/>
        <v>[S05_DefaultValues][46][FuelMaterialType]</v>
      </c>
    </row>
    <row r="545" spans="1:15" x14ac:dyDescent="0.3">
      <c r="A545" t="s">
        <v>2278</v>
      </c>
      <c r="B545" t="s">
        <v>1847</v>
      </c>
      <c r="C545" t="s">
        <v>1855</v>
      </c>
      <c r="D545">
        <v>47</v>
      </c>
      <c r="E545" t="s">
        <v>1447</v>
      </c>
      <c r="F545" t="s">
        <v>1857</v>
      </c>
      <c r="G545" t="s">
        <v>1741</v>
      </c>
      <c r="H545" t="s">
        <v>2425</v>
      </c>
      <c r="I545" t="s">
        <v>2277</v>
      </c>
      <c r="J545" t="s">
        <v>2277</v>
      </c>
      <c r="K545" t="s">
        <v>2277</v>
      </c>
      <c r="L545" t="s">
        <v>2277</v>
      </c>
      <c r="M545" t="s">
        <v>2277</v>
      </c>
      <c r="N545" t="s">
        <v>2277</v>
      </c>
      <c r="O545" s="190" t="str">
        <f t="shared" si="8"/>
        <v>[S05_DefaultValues][47][FuelMaterialType]</v>
      </c>
    </row>
    <row r="546" spans="1:15" x14ac:dyDescent="0.3">
      <c r="A546" t="s">
        <v>2278</v>
      </c>
      <c r="B546" t="s">
        <v>1847</v>
      </c>
      <c r="C546" t="s">
        <v>1855</v>
      </c>
      <c r="D546">
        <v>48</v>
      </c>
      <c r="E546" t="s">
        <v>1447</v>
      </c>
      <c r="F546" t="s">
        <v>1857</v>
      </c>
      <c r="G546" t="s">
        <v>1741</v>
      </c>
      <c r="H546" t="s">
        <v>2464</v>
      </c>
      <c r="I546" t="s">
        <v>2277</v>
      </c>
      <c r="J546" t="s">
        <v>2277</v>
      </c>
      <c r="K546" t="s">
        <v>2277</v>
      </c>
      <c r="L546" t="s">
        <v>2277</v>
      </c>
      <c r="M546" t="s">
        <v>2277</v>
      </c>
      <c r="N546" t="s">
        <v>2277</v>
      </c>
      <c r="O546" s="190" t="str">
        <f t="shared" si="8"/>
        <v>[S05_DefaultValues][48][FuelMaterialType]</v>
      </c>
    </row>
    <row r="547" spans="1:15" x14ac:dyDescent="0.3">
      <c r="A547" t="s">
        <v>2278</v>
      </c>
      <c r="B547" t="s">
        <v>1847</v>
      </c>
      <c r="C547" t="s">
        <v>1855</v>
      </c>
      <c r="D547">
        <v>49</v>
      </c>
      <c r="E547" t="s">
        <v>1447</v>
      </c>
      <c r="F547" t="s">
        <v>1857</v>
      </c>
      <c r="G547" t="s">
        <v>1741</v>
      </c>
      <c r="H547" t="s">
        <v>2506</v>
      </c>
      <c r="I547" t="s">
        <v>2277</v>
      </c>
      <c r="J547" t="s">
        <v>2277</v>
      </c>
      <c r="K547" t="s">
        <v>2277</v>
      </c>
      <c r="L547" t="s">
        <v>2277</v>
      </c>
      <c r="M547" t="s">
        <v>2277</v>
      </c>
      <c r="N547" t="s">
        <v>2277</v>
      </c>
      <c r="O547" s="190" t="str">
        <f t="shared" si="8"/>
        <v>[S05_DefaultValues][49][FuelMaterialType]</v>
      </c>
    </row>
    <row r="548" spans="1:15" x14ac:dyDescent="0.3">
      <c r="A548" t="s">
        <v>2278</v>
      </c>
      <c r="B548" t="s">
        <v>1847</v>
      </c>
      <c r="C548" t="s">
        <v>1855</v>
      </c>
      <c r="D548">
        <v>50</v>
      </c>
      <c r="E548" t="s">
        <v>1447</v>
      </c>
      <c r="F548" t="s">
        <v>1857</v>
      </c>
      <c r="G548" t="s">
        <v>1741</v>
      </c>
      <c r="H548" t="s">
        <v>2452</v>
      </c>
      <c r="I548" t="s">
        <v>2277</v>
      </c>
      <c r="J548" t="s">
        <v>2277</v>
      </c>
      <c r="K548" t="s">
        <v>2277</v>
      </c>
      <c r="L548" t="s">
        <v>2277</v>
      </c>
      <c r="M548" t="s">
        <v>2277</v>
      </c>
      <c r="N548" t="s">
        <v>2277</v>
      </c>
      <c r="O548" s="190" t="str">
        <f t="shared" si="8"/>
        <v>[S05_DefaultValues][50][FuelMaterialType]</v>
      </c>
    </row>
    <row r="549" spans="1:15" x14ac:dyDescent="0.3">
      <c r="A549" t="s">
        <v>2278</v>
      </c>
      <c r="B549" t="s">
        <v>1847</v>
      </c>
      <c r="C549" t="s">
        <v>1855</v>
      </c>
      <c r="D549">
        <v>51</v>
      </c>
      <c r="E549" t="s">
        <v>1447</v>
      </c>
      <c r="F549" t="s">
        <v>1857</v>
      </c>
      <c r="G549" t="s">
        <v>1741</v>
      </c>
      <c r="H549" t="s">
        <v>2422</v>
      </c>
      <c r="I549" t="s">
        <v>2277</v>
      </c>
      <c r="J549" t="s">
        <v>2277</v>
      </c>
      <c r="K549" t="s">
        <v>2277</v>
      </c>
      <c r="L549" t="s">
        <v>2277</v>
      </c>
      <c r="M549" t="s">
        <v>2277</v>
      </c>
      <c r="N549" t="s">
        <v>2277</v>
      </c>
      <c r="O549" s="190" t="str">
        <f t="shared" si="8"/>
        <v>[S05_DefaultValues][51][FuelMaterialType]</v>
      </c>
    </row>
    <row r="550" spans="1:15" x14ac:dyDescent="0.3">
      <c r="A550" t="s">
        <v>2278</v>
      </c>
      <c r="B550" t="s">
        <v>1847</v>
      </c>
      <c r="C550" t="s">
        <v>1855</v>
      </c>
      <c r="D550">
        <v>52</v>
      </c>
      <c r="E550" t="s">
        <v>1447</v>
      </c>
      <c r="F550" t="s">
        <v>1857</v>
      </c>
      <c r="G550" t="s">
        <v>1741</v>
      </c>
      <c r="H550" t="s">
        <v>2384</v>
      </c>
      <c r="I550" t="s">
        <v>2277</v>
      </c>
      <c r="J550" t="s">
        <v>2277</v>
      </c>
      <c r="K550" t="s">
        <v>2277</v>
      </c>
      <c r="L550" t="s">
        <v>2277</v>
      </c>
      <c r="M550" t="s">
        <v>2277</v>
      </c>
      <c r="N550" t="s">
        <v>2277</v>
      </c>
      <c r="O550" s="190" t="str">
        <f t="shared" si="8"/>
        <v>[S05_DefaultValues][52][FuelMaterialType]</v>
      </c>
    </row>
    <row r="551" spans="1:15" x14ac:dyDescent="0.3">
      <c r="A551" t="s">
        <v>2278</v>
      </c>
      <c r="B551" t="s">
        <v>1847</v>
      </c>
      <c r="C551" t="s">
        <v>1855</v>
      </c>
      <c r="D551">
        <v>53</v>
      </c>
      <c r="E551" t="s">
        <v>1447</v>
      </c>
      <c r="F551" t="s">
        <v>1857</v>
      </c>
      <c r="G551" t="s">
        <v>1741</v>
      </c>
      <c r="H551" t="s">
        <v>2420</v>
      </c>
      <c r="I551" t="s">
        <v>2277</v>
      </c>
      <c r="J551" t="s">
        <v>2277</v>
      </c>
      <c r="K551" t="s">
        <v>2277</v>
      </c>
      <c r="L551" t="s">
        <v>2277</v>
      </c>
      <c r="M551" t="s">
        <v>2277</v>
      </c>
      <c r="N551" t="s">
        <v>2277</v>
      </c>
      <c r="O551" s="190" t="str">
        <f t="shared" si="8"/>
        <v>[S05_DefaultValues][53][FuelMaterialType]</v>
      </c>
    </row>
    <row r="552" spans="1:15" x14ac:dyDescent="0.3">
      <c r="A552" t="s">
        <v>2278</v>
      </c>
      <c r="B552" t="s">
        <v>1847</v>
      </c>
      <c r="C552" t="s">
        <v>1855</v>
      </c>
      <c r="D552">
        <v>54</v>
      </c>
      <c r="E552" t="s">
        <v>1447</v>
      </c>
      <c r="F552" t="s">
        <v>1857</v>
      </c>
      <c r="G552" t="s">
        <v>1741</v>
      </c>
      <c r="H552" t="s">
        <v>2505</v>
      </c>
      <c r="I552" t="s">
        <v>2277</v>
      </c>
      <c r="J552" t="s">
        <v>2277</v>
      </c>
      <c r="K552" t="s">
        <v>2277</v>
      </c>
      <c r="L552" t="s">
        <v>2277</v>
      </c>
      <c r="M552" t="s">
        <v>2277</v>
      </c>
      <c r="N552" t="s">
        <v>2277</v>
      </c>
      <c r="O552" s="190" t="str">
        <f t="shared" si="8"/>
        <v>[S05_DefaultValues][54][FuelMaterialType]</v>
      </c>
    </row>
    <row r="553" spans="1:15" x14ac:dyDescent="0.3">
      <c r="A553" t="s">
        <v>2278</v>
      </c>
      <c r="B553" t="s">
        <v>1847</v>
      </c>
      <c r="C553" t="s">
        <v>1855</v>
      </c>
      <c r="D553">
        <v>55</v>
      </c>
      <c r="E553" t="s">
        <v>1447</v>
      </c>
      <c r="F553" t="s">
        <v>1857</v>
      </c>
      <c r="G553" t="s">
        <v>1741</v>
      </c>
      <c r="H553" t="s">
        <v>2504</v>
      </c>
      <c r="I553" t="s">
        <v>2277</v>
      </c>
      <c r="J553" t="s">
        <v>2277</v>
      </c>
      <c r="K553" t="s">
        <v>2277</v>
      </c>
      <c r="L553" t="s">
        <v>2277</v>
      </c>
      <c r="M553" t="s">
        <v>2277</v>
      </c>
      <c r="N553" t="s">
        <v>2277</v>
      </c>
      <c r="O553" s="190" t="str">
        <f t="shared" si="8"/>
        <v>[S05_DefaultValues][55][FuelMaterialType]</v>
      </c>
    </row>
    <row r="554" spans="1:15" x14ac:dyDescent="0.3">
      <c r="A554" t="s">
        <v>2278</v>
      </c>
      <c r="B554" t="s">
        <v>1847</v>
      </c>
      <c r="C554" t="s">
        <v>1855</v>
      </c>
      <c r="D554">
        <v>56</v>
      </c>
      <c r="E554" t="s">
        <v>1447</v>
      </c>
      <c r="F554" t="s">
        <v>1857</v>
      </c>
      <c r="G554" t="s">
        <v>1741</v>
      </c>
      <c r="H554" t="s">
        <v>2503</v>
      </c>
      <c r="I554" t="s">
        <v>2277</v>
      </c>
      <c r="J554" t="s">
        <v>2277</v>
      </c>
      <c r="K554" t="s">
        <v>2277</v>
      </c>
      <c r="L554" t="s">
        <v>2277</v>
      </c>
      <c r="M554" t="s">
        <v>2277</v>
      </c>
      <c r="N554" t="s">
        <v>2277</v>
      </c>
      <c r="O554" s="190" t="str">
        <f t="shared" si="8"/>
        <v>[S05_DefaultValues][56][FuelMaterialType]</v>
      </c>
    </row>
    <row r="555" spans="1:15" x14ac:dyDescent="0.3">
      <c r="A555" t="s">
        <v>2278</v>
      </c>
      <c r="B555" t="s">
        <v>1847</v>
      </c>
      <c r="C555" t="s">
        <v>1855</v>
      </c>
      <c r="D555">
        <v>57</v>
      </c>
      <c r="E555" t="s">
        <v>1447</v>
      </c>
      <c r="F555" t="s">
        <v>1857</v>
      </c>
      <c r="G555" t="s">
        <v>1741</v>
      </c>
      <c r="H555" t="s">
        <v>2449</v>
      </c>
      <c r="I555" t="s">
        <v>2277</v>
      </c>
      <c r="J555" t="s">
        <v>2277</v>
      </c>
      <c r="K555" t="s">
        <v>2277</v>
      </c>
      <c r="L555" t="s">
        <v>2277</v>
      </c>
      <c r="M555" t="s">
        <v>2277</v>
      </c>
      <c r="N555" t="s">
        <v>2277</v>
      </c>
      <c r="O555" s="190" t="str">
        <f t="shared" si="8"/>
        <v>[S05_DefaultValues][57][FuelMaterialType]</v>
      </c>
    </row>
    <row r="556" spans="1:15" x14ac:dyDescent="0.3">
      <c r="A556" t="s">
        <v>2278</v>
      </c>
      <c r="B556" t="s">
        <v>1847</v>
      </c>
      <c r="C556" t="s">
        <v>1855</v>
      </c>
      <c r="D556">
        <v>58</v>
      </c>
      <c r="E556" t="s">
        <v>1447</v>
      </c>
      <c r="F556" t="s">
        <v>1857</v>
      </c>
      <c r="G556" t="s">
        <v>1741</v>
      </c>
      <c r="H556" t="s">
        <v>2502</v>
      </c>
      <c r="I556" t="s">
        <v>2277</v>
      </c>
      <c r="J556" t="s">
        <v>2277</v>
      </c>
      <c r="K556" t="s">
        <v>2277</v>
      </c>
      <c r="L556" t="s">
        <v>2277</v>
      </c>
      <c r="M556" t="s">
        <v>2277</v>
      </c>
      <c r="N556" t="s">
        <v>2277</v>
      </c>
      <c r="O556" s="190" t="str">
        <f t="shared" si="8"/>
        <v>[S05_DefaultValues][58][FuelMaterialType]</v>
      </c>
    </row>
    <row r="557" spans="1:15" x14ac:dyDescent="0.3">
      <c r="A557" t="s">
        <v>2278</v>
      </c>
      <c r="B557" t="s">
        <v>1847</v>
      </c>
      <c r="C557" t="s">
        <v>1855</v>
      </c>
      <c r="D557">
        <v>59</v>
      </c>
      <c r="E557" t="s">
        <v>1447</v>
      </c>
      <c r="F557" t="s">
        <v>1857</v>
      </c>
      <c r="G557" t="s">
        <v>1741</v>
      </c>
      <c r="H557" t="s">
        <v>2501</v>
      </c>
      <c r="I557" t="s">
        <v>2277</v>
      </c>
      <c r="J557" t="s">
        <v>2277</v>
      </c>
      <c r="K557" t="s">
        <v>2277</v>
      </c>
      <c r="L557" t="s">
        <v>2277</v>
      </c>
      <c r="M557" t="s">
        <v>2277</v>
      </c>
      <c r="N557" t="s">
        <v>2277</v>
      </c>
      <c r="O557" s="190" t="str">
        <f t="shared" si="8"/>
        <v>[S05_DefaultValues][59][FuelMaterialType]</v>
      </c>
    </row>
    <row r="558" spans="1:15" x14ac:dyDescent="0.3">
      <c r="A558" t="s">
        <v>2278</v>
      </c>
      <c r="B558" t="s">
        <v>1847</v>
      </c>
      <c r="C558" t="s">
        <v>1855</v>
      </c>
      <c r="D558">
        <v>60</v>
      </c>
      <c r="E558" t="s">
        <v>1447</v>
      </c>
      <c r="F558" t="s">
        <v>1857</v>
      </c>
      <c r="G558" t="s">
        <v>1741</v>
      </c>
      <c r="H558" t="s">
        <v>2500</v>
      </c>
      <c r="I558" t="s">
        <v>2277</v>
      </c>
      <c r="J558" t="s">
        <v>2277</v>
      </c>
      <c r="K558" t="s">
        <v>2277</v>
      </c>
      <c r="L558" t="s">
        <v>2277</v>
      </c>
      <c r="M558" t="s">
        <v>2277</v>
      </c>
      <c r="N558" t="s">
        <v>2277</v>
      </c>
      <c r="O558" s="190" t="str">
        <f t="shared" si="8"/>
        <v>[S05_DefaultValues][60][FuelMaterialType]</v>
      </c>
    </row>
    <row r="559" spans="1:15" x14ac:dyDescent="0.3">
      <c r="A559" t="s">
        <v>2278</v>
      </c>
      <c r="B559" t="s">
        <v>1847</v>
      </c>
      <c r="C559" t="s">
        <v>1855</v>
      </c>
      <c r="D559">
        <v>61</v>
      </c>
      <c r="E559" t="s">
        <v>1447</v>
      </c>
      <c r="F559" t="s">
        <v>1857</v>
      </c>
      <c r="G559" t="s">
        <v>1741</v>
      </c>
      <c r="H559" t="s">
        <v>2418</v>
      </c>
      <c r="I559" t="s">
        <v>2277</v>
      </c>
      <c r="J559" t="s">
        <v>2277</v>
      </c>
      <c r="K559" t="s">
        <v>2277</v>
      </c>
      <c r="L559" t="s">
        <v>2277</v>
      </c>
      <c r="M559" t="s">
        <v>2277</v>
      </c>
      <c r="N559" t="s">
        <v>2277</v>
      </c>
      <c r="O559" s="190" t="str">
        <f t="shared" si="8"/>
        <v>[S05_DefaultValues][61][FuelMaterialType]</v>
      </c>
    </row>
    <row r="560" spans="1:15" x14ac:dyDescent="0.3">
      <c r="A560" t="s">
        <v>2278</v>
      </c>
      <c r="B560" t="s">
        <v>1847</v>
      </c>
      <c r="C560" t="s">
        <v>1855</v>
      </c>
      <c r="D560">
        <v>62</v>
      </c>
      <c r="E560" t="s">
        <v>1447</v>
      </c>
      <c r="F560" t="s">
        <v>1857</v>
      </c>
      <c r="G560" t="s">
        <v>1741</v>
      </c>
      <c r="H560" t="s">
        <v>2417</v>
      </c>
      <c r="I560" t="s">
        <v>2277</v>
      </c>
      <c r="J560" t="s">
        <v>2277</v>
      </c>
      <c r="K560" t="s">
        <v>2277</v>
      </c>
      <c r="L560" t="s">
        <v>2277</v>
      </c>
      <c r="M560" t="s">
        <v>2277</v>
      </c>
      <c r="N560" t="s">
        <v>2277</v>
      </c>
      <c r="O560" s="190" t="str">
        <f t="shared" si="8"/>
        <v>[S05_DefaultValues][62][FuelMaterialType]</v>
      </c>
    </row>
    <row r="561" spans="1:15" x14ac:dyDescent="0.3">
      <c r="A561" t="s">
        <v>2278</v>
      </c>
      <c r="B561" t="s">
        <v>1847</v>
      </c>
      <c r="C561" t="s">
        <v>1855</v>
      </c>
      <c r="D561">
        <v>63</v>
      </c>
      <c r="E561" t="s">
        <v>1447</v>
      </c>
      <c r="F561" t="s">
        <v>1857</v>
      </c>
      <c r="G561" t="s">
        <v>1741</v>
      </c>
      <c r="H561" t="s">
        <v>2499</v>
      </c>
      <c r="I561" t="s">
        <v>2277</v>
      </c>
      <c r="J561" t="s">
        <v>2277</v>
      </c>
      <c r="K561" t="s">
        <v>2277</v>
      </c>
      <c r="L561" t="s">
        <v>2277</v>
      </c>
      <c r="M561" t="s">
        <v>2277</v>
      </c>
      <c r="N561" t="s">
        <v>2277</v>
      </c>
      <c r="O561" s="190" t="str">
        <f t="shared" si="8"/>
        <v>[S05_DefaultValues][63][FuelMaterialType]</v>
      </c>
    </row>
    <row r="562" spans="1:15" x14ac:dyDescent="0.3">
      <c r="A562" t="s">
        <v>2278</v>
      </c>
      <c r="B562" t="s">
        <v>1847</v>
      </c>
      <c r="C562" t="s">
        <v>1855</v>
      </c>
      <c r="D562">
        <v>64</v>
      </c>
      <c r="E562" t="s">
        <v>1447</v>
      </c>
      <c r="F562" t="s">
        <v>1857</v>
      </c>
      <c r="G562" t="s">
        <v>1741</v>
      </c>
      <c r="H562" t="s">
        <v>2498</v>
      </c>
      <c r="I562" t="s">
        <v>2277</v>
      </c>
      <c r="J562" t="s">
        <v>2277</v>
      </c>
      <c r="K562" t="s">
        <v>2277</v>
      </c>
      <c r="L562" t="s">
        <v>2277</v>
      </c>
      <c r="M562" t="s">
        <v>2277</v>
      </c>
      <c r="N562" t="s">
        <v>2277</v>
      </c>
      <c r="O562" s="190" t="str">
        <f t="shared" si="8"/>
        <v>[S05_DefaultValues][64][FuelMaterialType]</v>
      </c>
    </row>
    <row r="563" spans="1:15" x14ac:dyDescent="0.3">
      <c r="A563" t="s">
        <v>2278</v>
      </c>
      <c r="B563" t="s">
        <v>1847</v>
      </c>
      <c r="C563" t="s">
        <v>1855</v>
      </c>
      <c r="D563">
        <v>65</v>
      </c>
      <c r="E563" t="s">
        <v>1447</v>
      </c>
      <c r="F563" t="s">
        <v>1857</v>
      </c>
      <c r="G563" t="s">
        <v>1741</v>
      </c>
      <c r="H563" t="s">
        <v>2445</v>
      </c>
      <c r="I563" t="s">
        <v>2277</v>
      </c>
      <c r="J563" t="s">
        <v>2277</v>
      </c>
      <c r="K563" t="s">
        <v>2277</v>
      </c>
      <c r="L563" t="s">
        <v>2277</v>
      </c>
      <c r="M563" t="s">
        <v>2277</v>
      </c>
      <c r="N563" t="s">
        <v>2277</v>
      </c>
      <c r="O563" s="190" t="str">
        <f t="shared" si="8"/>
        <v>[S05_DefaultValues][65][FuelMaterialType]</v>
      </c>
    </row>
    <row r="564" spans="1:15" x14ac:dyDescent="0.3">
      <c r="A564" t="s">
        <v>2278</v>
      </c>
      <c r="B564" t="s">
        <v>1847</v>
      </c>
      <c r="C564" t="s">
        <v>1855</v>
      </c>
      <c r="D564">
        <v>66</v>
      </c>
      <c r="E564" t="s">
        <v>1447</v>
      </c>
      <c r="F564" t="s">
        <v>1857</v>
      </c>
      <c r="G564" t="s">
        <v>1741</v>
      </c>
      <c r="H564" t="s">
        <v>2497</v>
      </c>
      <c r="I564" t="s">
        <v>2277</v>
      </c>
      <c r="J564" t="s">
        <v>2277</v>
      </c>
      <c r="K564" t="s">
        <v>2277</v>
      </c>
      <c r="L564" t="s">
        <v>2277</v>
      </c>
      <c r="M564" t="s">
        <v>2277</v>
      </c>
      <c r="N564" t="s">
        <v>2277</v>
      </c>
      <c r="O564" s="190" t="str">
        <f t="shared" si="8"/>
        <v>[S05_DefaultValues][66][FuelMaterialType]</v>
      </c>
    </row>
    <row r="565" spans="1:15" x14ac:dyDescent="0.3">
      <c r="A565" t="s">
        <v>2278</v>
      </c>
      <c r="B565" t="s">
        <v>1847</v>
      </c>
      <c r="C565" t="s">
        <v>1855</v>
      </c>
      <c r="D565">
        <v>67</v>
      </c>
      <c r="E565" t="s">
        <v>1447</v>
      </c>
      <c r="F565" t="s">
        <v>1857</v>
      </c>
      <c r="G565" t="s">
        <v>1741</v>
      </c>
      <c r="H565" t="s">
        <v>2496</v>
      </c>
      <c r="I565" t="s">
        <v>2277</v>
      </c>
      <c r="J565" t="s">
        <v>2277</v>
      </c>
      <c r="K565" t="s">
        <v>2277</v>
      </c>
      <c r="L565" t="s">
        <v>2277</v>
      </c>
      <c r="M565" t="s">
        <v>2277</v>
      </c>
      <c r="N565" t="s">
        <v>2277</v>
      </c>
      <c r="O565" s="190" t="str">
        <f t="shared" si="8"/>
        <v>[S05_DefaultValues][67][FuelMaterialType]</v>
      </c>
    </row>
    <row r="566" spans="1:15" x14ac:dyDescent="0.3">
      <c r="A566" t="s">
        <v>2278</v>
      </c>
      <c r="B566" t="s">
        <v>1847</v>
      </c>
      <c r="C566" t="s">
        <v>1855</v>
      </c>
      <c r="D566">
        <v>68</v>
      </c>
      <c r="E566" t="s">
        <v>1447</v>
      </c>
      <c r="F566" t="s">
        <v>1857</v>
      </c>
      <c r="G566" t="s">
        <v>1741</v>
      </c>
      <c r="H566" t="s">
        <v>2383</v>
      </c>
      <c r="I566" t="s">
        <v>2277</v>
      </c>
      <c r="J566" t="s">
        <v>2277</v>
      </c>
      <c r="K566" t="s">
        <v>2277</v>
      </c>
      <c r="L566" t="s">
        <v>2277</v>
      </c>
      <c r="M566" t="s">
        <v>2277</v>
      </c>
      <c r="N566" t="s">
        <v>2277</v>
      </c>
      <c r="O566" s="190" t="str">
        <f t="shared" si="8"/>
        <v>[S05_DefaultValues][68][FuelMaterialType]</v>
      </c>
    </row>
    <row r="567" spans="1:15" x14ac:dyDescent="0.3">
      <c r="A567" t="s">
        <v>2278</v>
      </c>
      <c r="B567" t="s">
        <v>1847</v>
      </c>
      <c r="C567" t="s">
        <v>1855</v>
      </c>
      <c r="D567">
        <v>69</v>
      </c>
      <c r="E567" t="s">
        <v>1447</v>
      </c>
      <c r="F567" t="s">
        <v>1857</v>
      </c>
      <c r="G567" t="s">
        <v>1741</v>
      </c>
      <c r="H567" t="s">
        <v>2443</v>
      </c>
      <c r="I567" t="s">
        <v>2277</v>
      </c>
      <c r="J567" t="s">
        <v>2277</v>
      </c>
      <c r="K567" t="s">
        <v>2277</v>
      </c>
      <c r="L567" t="s">
        <v>2277</v>
      </c>
      <c r="M567" t="s">
        <v>2277</v>
      </c>
      <c r="N567" t="s">
        <v>2277</v>
      </c>
      <c r="O567" s="190" t="str">
        <f t="shared" si="8"/>
        <v>[S05_DefaultValues][69][FuelMaterialType]</v>
      </c>
    </row>
    <row r="568" spans="1:15" x14ac:dyDescent="0.3">
      <c r="A568" t="s">
        <v>2278</v>
      </c>
      <c r="B568" t="s">
        <v>1847</v>
      </c>
      <c r="C568" t="s">
        <v>1855</v>
      </c>
      <c r="D568">
        <v>70</v>
      </c>
      <c r="E568" t="s">
        <v>1447</v>
      </c>
      <c r="F568" t="s">
        <v>1857</v>
      </c>
      <c r="G568" t="s">
        <v>1741</v>
      </c>
      <c r="H568" t="s">
        <v>2495</v>
      </c>
      <c r="I568" t="s">
        <v>2277</v>
      </c>
      <c r="J568" t="s">
        <v>2277</v>
      </c>
      <c r="K568" t="s">
        <v>2277</v>
      </c>
      <c r="L568" t="s">
        <v>2277</v>
      </c>
      <c r="M568" t="s">
        <v>2277</v>
      </c>
      <c r="N568" t="s">
        <v>2277</v>
      </c>
      <c r="O568" s="190" t="str">
        <f t="shared" si="8"/>
        <v>[S05_DefaultValues][70][FuelMaterialType]</v>
      </c>
    </row>
    <row r="569" spans="1:15" x14ac:dyDescent="0.3">
      <c r="A569" t="s">
        <v>2278</v>
      </c>
      <c r="B569" t="s">
        <v>1847</v>
      </c>
      <c r="C569" t="s">
        <v>1855</v>
      </c>
      <c r="D569">
        <v>71</v>
      </c>
      <c r="E569" t="s">
        <v>1447</v>
      </c>
      <c r="F569" t="s">
        <v>1857</v>
      </c>
      <c r="G569" t="s">
        <v>1741</v>
      </c>
      <c r="H569" t="s">
        <v>2494</v>
      </c>
      <c r="I569" t="s">
        <v>2277</v>
      </c>
      <c r="J569" t="s">
        <v>2277</v>
      </c>
      <c r="K569" t="s">
        <v>2277</v>
      </c>
      <c r="L569" t="s">
        <v>2277</v>
      </c>
      <c r="M569" t="s">
        <v>2277</v>
      </c>
      <c r="N569" t="s">
        <v>2277</v>
      </c>
      <c r="O569" s="190" t="str">
        <f t="shared" si="8"/>
        <v>[S05_DefaultValues][71][FuelMaterialType]</v>
      </c>
    </row>
    <row r="570" spans="1:15" x14ac:dyDescent="0.3">
      <c r="A570" t="s">
        <v>2278</v>
      </c>
      <c r="B570" t="s">
        <v>1847</v>
      </c>
      <c r="C570" t="s">
        <v>1855</v>
      </c>
      <c r="D570">
        <v>72</v>
      </c>
      <c r="E570" t="s">
        <v>1447</v>
      </c>
      <c r="F570" t="s">
        <v>1857</v>
      </c>
      <c r="G570" t="s">
        <v>1741</v>
      </c>
      <c r="H570" t="s">
        <v>2493</v>
      </c>
      <c r="I570" t="s">
        <v>2277</v>
      </c>
      <c r="J570" t="s">
        <v>2277</v>
      </c>
      <c r="K570" t="s">
        <v>2277</v>
      </c>
      <c r="L570" t="s">
        <v>2277</v>
      </c>
      <c r="M570" t="s">
        <v>2277</v>
      </c>
      <c r="N570" t="s">
        <v>2277</v>
      </c>
      <c r="O570" s="190" t="str">
        <f t="shared" si="8"/>
        <v>[S05_DefaultValues][72][FuelMaterialType]</v>
      </c>
    </row>
    <row r="571" spans="1:15" x14ac:dyDescent="0.3">
      <c r="A571" t="s">
        <v>2278</v>
      </c>
      <c r="B571" t="s">
        <v>1847</v>
      </c>
      <c r="C571" t="s">
        <v>1855</v>
      </c>
      <c r="D571">
        <v>73</v>
      </c>
      <c r="E571" t="s">
        <v>1447</v>
      </c>
      <c r="F571" t="s">
        <v>1857</v>
      </c>
      <c r="G571" t="s">
        <v>1741</v>
      </c>
      <c r="H571" t="s">
        <v>2492</v>
      </c>
      <c r="I571" t="s">
        <v>2277</v>
      </c>
      <c r="J571" t="s">
        <v>2277</v>
      </c>
      <c r="K571" t="s">
        <v>2277</v>
      </c>
      <c r="L571" t="s">
        <v>2277</v>
      </c>
      <c r="M571" t="s">
        <v>2277</v>
      </c>
      <c r="N571" t="s">
        <v>2277</v>
      </c>
      <c r="O571" s="190" t="str">
        <f t="shared" si="8"/>
        <v>[S05_DefaultValues][73][FuelMaterialType]</v>
      </c>
    </row>
    <row r="572" spans="1:15" x14ac:dyDescent="0.3">
      <c r="A572" t="s">
        <v>2278</v>
      </c>
      <c r="B572" t="s">
        <v>1847</v>
      </c>
      <c r="C572" t="s">
        <v>1855</v>
      </c>
      <c r="D572">
        <v>74</v>
      </c>
      <c r="E572" t="s">
        <v>1447</v>
      </c>
      <c r="F572" t="s">
        <v>1857</v>
      </c>
      <c r="G572" t="s">
        <v>1741</v>
      </c>
      <c r="H572" t="s">
        <v>2491</v>
      </c>
      <c r="I572" t="s">
        <v>2277</v>
      </c>
      <c r="J572" t="s">
        <v>2277</v>
      </c>
      <c r="K572" t="s">
        <v>2277</v>
      </c>
      <c r="L572" t="s">
        <v>2277</v>
      </c>
      <c r="M572" t="s">
        <v>2277</v>
      </c>
      <c r="N572" t="s">
        <v>2277</v>
      </c>
      <c r="O572" s="190" t="str">
        <f t="shared" si="8"/>
        <v>[S05_DefaultValues][74][FuelMaterialType]</v>
      </c>
    </row>
    <row r="573" spans="1:15" x14ac:dyDescent="0.3">
      <c r="A573" t="s">
        <v>2278</v>
      </c>
      <c r="B573" t="s">
        <v>1847</v>
      </c>
      <c r="C573" t="s">
        <v>1855</v>
      </c>
      <c r="D573">
        <v>75</v>
      </c>
      <c r="E573" t="s">
        <v>1447</v>
      </c>
      <c r="F573" t="s">
        <v>1857</v>
      </c>
      <c r="G573" t="s">
        <v>1741</v>
      </c>
      <c r="H573" t="s">
        <v>2490</v>
      </c>
      <c r="I573" t="s">
        <v>2277</v>
      </c>
      <c r="J573" t="s">
        <v>2277</v>
      </c>
      <c r="K573" t="s">
        <v>2277</v>
      </c>
      <c r="L573" t="s">
        <v>2277</v>
      </c>
      <c r="M573" t="s">
        <v>2277</v>
      </c>
      <c r="N573" t="s">
        <v>2277</v>
      </c>
      <c r="O573" s="190" t="str">
        <f t="shared" si="8"/>
        <v>[S05_DefaultValues][75][FuelMaterialType]</v>
      </c>
    </row>
    <row r="574" spans="1:15" x14ac:dyDescent="0.3">
      <c r="A574" t="s">
        <v>2278</v>
      </c>
      <c r="B574" t="s">
        <v>1847</v>
      </c>
      <c r="C574" t="s">
        <v>1855</v>
      </c>
      <c r="D574">
        <v>76</v>
      </c>
      <c r="E574" t="s">
        <v>1447</v>
      </c>
      <c r="F574" t="s">
        <v>1857</v>
      </c>
      <c r="G574" t="s">
        <v>1741</v>
      </c>
      <c r="H574" t="s">
        <v>2489</v>
      </c>
      <c r="I574" t="s">
        <v>2277</v>
      </c>
      <c r="J574" t="s">
        <v>2277</v>
      </c>
      <c r="K574" t="s">
        <v>2277</v>
      </c>
      <c r="L574" t="s">
        <v>2277</v>
      </c>
      <c r="M574" t="s">
        <v>2277</v>
      </c>
      <c r="N574" t="s">
        <v>2277</v>
      </c>
      <c r="O574" s="190" t="str">
        <f t="shared" si="8"/>
        <v>[S05_DefaultValues][76][FuelMaterialType]</v>
      </c>
    </row>
    <row r="575" spans="1:15" x14ac:dyDescent="0.3">
      <c r="A575" t="s">
        <v>2278</v>
      </c>
      <c r="B575" t="s">
        <v>1847</v>
      </c>
      <c r="C575" t="s">
        <v>1855</v>
      </c>
      <c r="D575">
        <v>77</v>
      </c>
      <c r="E575" t="s">
        <v>1447</v>
      </c>
      <c r="F575" t="s">
        <v>1857</v>
      </c>
      <c r="G575" t="s">
        <v>1741</v>
      </c>
      <c r="H575" t="s">
        <v>2488</v>
      </c>
      <c r="I575" t="s">
        <v>2277</v>
      </c>
      <c r="J575" t="s">
        <v>2277</v>
      </c>
      <c r="K575" t="s">
        <v>2277</v>
      </c>
      <c r="L575" t="s">
        <v>2277</v>
      </c>
      <c r="M575" t="s">
        <v>2277</v>
      </c>
      <c r="N575" t="s">
        <v>2277</v>
      </c>
      <c r="O575" s="190" t="str">
        <f t="shared" si="8"/>
        <v>[S05_DefaultValues][77][FuelMaterialType]</v>
      </c>
    </row>
    <row r="576" spans="1:15" x14ac:dyDescent="0.3">
      <c r="A576" t="s">
        <v>2278</v>
      </c>
      <c r="B576" t="s">
        <v>1847</v>
      </c>
      <c r="C576" t="s">
        <v>1855</v>
      </c>
      <c r="D576">
        <v>78</v>
      </c>
      <c r="E576" t="s">
        <v>1447</v>
      </c>
      <c r="F576" t="s">
        <v>1857</v>
      </c>
      <c r="G576" t="s">
        <v>1741</v>
      </c>
      <c r="H576" t="s">
        <v>2487</v>
      </c>
      <c r="I576" t="s">
        <v>2277</v>
      </c>
      <c r="J576" t="s">
        <v>2277</v>
      </c>
      <c r="K576" t="s">
        <v>2277</v>
      </c>
      <c r="L576" t="s">
        <v>2277</v>
      </c>
      <c r="M576" t="s">
        <v>2277</v>
      </c>
      <c r="N576" t="s">
        <v>2277</v>
      </c>
      <c r="O576" s="190" t="str">
        <f t="shared" si="8"/>
        <v>[S05_DefaultValues][78][FuelMaterialType]</v>
      </c>
    </row>
    <row r="577" spans="1:15" x14ac:dyDescent="0.3">
      <c r="A577" t="s">
        <v>2278</v>
      </c>
      <c r="B577" t="s">
        <v>1847</v>
      </c>
      <c r="C577" t="s">
        <v>1855</v>
      </c>
      <c r="D577">
        <v>79</v>
      </c>
      <c r="E577" t="s">
        <v>1447</v>
      </c>
      <c r="F577" t="s">
        <v>1857</v>
      </c>
      <c r="G577" t="s">
        <v>1741</v>
      </c>
      <c r="H577" t="s">
        <v>2404</v>
      </c>
      <c r="I577" t="s">
        <v>2277</v>
      </c>
      <c r="J577" t="s">
        <v>2277</v>
      </c>
      <c r="K577" t="s">
        <v>2277</v>
      </c>
      <c r="L577" t="s">
        <v>2277</v>
      </c>
      <c r="M577" t="s">
        <v>2277</v>
      </c>
      <c r="N577" t="s">
        <v>2277</v>
      </c>
      <c r="O577" s="190" t="str">
        <f t="shared" si="8"/>
        <v>[S05_DefaultValues][79][FuelMaterialType]</v>
      </c>
    </row>
    <row r="578" spans="1:15" x14ac:dyDescent="0.3">
      <c r="A578" t="s">
        <v>2278</v>
      </c>
      <c r="B578" t="s">
        <v>1847</v>
      </c>
      <c r="C578" t="s">
        <v>1855</v>
      </c>
      <c r="D578">
        <v>80</v>
      </c>
      <c r="E578" t="s">
        <v>1447</v>
      </c>
      <c r="F578" t="s">
        <v>1857</v>
      </c>
      <c r="G578" t="s">
        <v>1741</v>
      </c>
      <c r="H578" t="s">
        <v>2403</v>
      </c>
      <c r="I578" t="s">
        <v>2277</v>
      </c>
      <c r="J578" t="s">
        <v>2277</v>
      </c>
      <c r="K578" t="s">
        <v>2277</v>
      </c>
      <c r="L578" t="s">
        <v>2277</v>
      </c>
      <c r="M578" t="s">
        <v>2277</v>
      </c>
      <c r="N578" t="s">
        <v>2277</v>
      </c>
      <c r="O578" s="190" t="str">
        <f t="shared" ref="O578:O641" si="9">"["&amp;$C578&amp;"]["&amp;$D578&amp;"]["&amp;$F578&amp;"]"</f>
        <v>[S05_DefaultValues][80][FuelMaterialType]</v>
      </c>
    </row>
    <row r="579" spans="1:15" x14ac:dyDescent="0.3">
      <c r="A579" t="s">
        <v>2278</v>
      </c>
      <c r="B579" t="s">
        <v>1847</v>
      </c>
      <c r="C579" t="s">
        <v>1855</v>
      </c>
      <c r="D579">
        <v>81</v>
      </c>
      <c r="E579" t="s">
        <v>1447</v>
      </c>
      <c r="F579" t="s">
        <v>1857</v>
      </c>
      <c r="G579" t="s">
        <v>1741</v>
      </c>
      <c r="H579" t="s">
        <v>2486</v>
      </c>
      <c r="I579" t="s">
        <v>2277</v>
      </c>
      <c r="J579" t="s">
        <v>2277</v>
      </c>
      <c r="K579" t="s">
        <v>2277</v>
      </c>
      <c r="L579" t="s">
        <v>2277</v>
      </c>
      <c r="M579" t="s">
        <v>2277</v>
      </c>
      <c r="N579" t="s">
        <v>2277</v>
      </c>
      <c r="O579" s="190" t="str">
        <f t="shared" si="9"/>
        <v>[S05_DefaultValues][81][FuelMaterialType]</v>
      </c>
    </row>
    <row r="580" spans="1:15" x14ac:dyDescent="0.3">
      <c r="A580" t="s">
        <v>2278</v>
      </c>
      <c r="B580" t="s">
        <v>1847</v>
      </c>
      <c r="C580" t="s">
        <v>1855</v>
      </c>
      <c r="D580">
        <v>82</v>
      </c>
      <c r="E580" t="s">
        <v>1447</v>
      </c>
      <c r="F580" t="s">
        <v>1857</v>
      </c>
      <c r="G580" t="s">
        <v>1741</v>
      </c>
      <c r="H580" t="s">
        <v>2485</v>
      </c>
      <c r="I580" t="s">
        <v>2277</v>
      </c>
      <c r="J580" t="s">
        <v>2277</v>
      </c>
      <c r="K580" t="s">
        <v>2277</v>
      </c>
      <c r="L580" t="s">
        <v>2277</v>
      </c>
      <c r="M580" t="s">
        <v>2277</v>
      </c>
      <c r="N580" t="s">
        <v>2277</v>
      </c>
      <c r="O580" s="190" t="str">
        <f t="shared" si="9"/>
        <v>[S05_DefaultValues][82][FuelMaterialType]</v>
      </c>
    </row>
    <row r="581" spans="1:15" x14ac:dyDescent="0.3">
      <c r="A581" t="s">
        <v>2278</v>
      </c>
      <c r="B581" t="s">
        <v>1847</v>
      </c>
      <c r="C581" t="s">
        <v>1855</v>
      </c>
      <c r="D581">
        <v>83</v>
      </c>
      <c r="E581" t="s">
        <v>1447</v>
      </c>
      <c r="F581" t="s">
        <v>1857</v>
      </c>
      <c r="G581" t="s">
        <v>1741</v>
      </c>
      <c r="H581" t="s">
        <v>2484</v>
      </c>
      <c r="I581" t="s">
        <v>2277</v>
      </c>
      <c r="J581" t="s">
        <v>2277</v>
      </c>
      <c r="K581" t="s">
        <v>2277</v>
      </c>
      <c r="L581" t="s">
        <v>2277</v>
      </c>
      <c r="M581" t="s">
        <v>2277</v>
      </c>
      <c r="N581" t="s">
        <v>2277</v>
      </c>
      <c r="O581" s="190" t="str">
        <f t="shared" si="9"/>
        <v>[S05_DefaultValues][83][FuelMaterialType]</v>
      </c>
    </row>
    <row r="582" spans="1:15" x14ac:dyDescent="0.3">
      <c r="A582" t="s">
        <v>2278</v>
      </c>
      <c r="B582" t="s">
        <v>1847</v>
      </c>
      <c r="C582" t="s">
        <v>1855</v>
      </c>
      <c r="D582">
        <v>84</v>
      </c>
      <c r="E582" t="s">
        <v>1447</v>
      </c>
      <c r="F582" t="s">
        <v>1857</v>
      </c>
      <c r="G582" t="s">
        <v>1741</v>
      </c>
      <c r="H582" t="s">
        <v>2483</v>
      </c>
      <c r="I582" t="s">
        <v>2277</v>
      </c>
      <c r="J582" t="s">
        <v>2277</v>
      </c>
      <c r="K582" t="s">
        <v>2277</v>
      </c>
      <c r="L582" t="s">
        <v>2277</v>
      </c>
      <c r="M582" t="s">
        <v>2277</v>
      </c>
      <c r="N582" t="s">
        <v>2277</v>
      </c>
      <c r="O582" s="190" t="str">
        <f t="shared" si="9"/>
        <v>[S05_DefaultValues][84][FuelMaterialType]</v>
      </c>
    </row>
    <row r="583" spans="1:15" x14ac:dyDescent="0.3">
      <c r="A583" t="s">
        <v>2278</v>
      </c>
      <c r="B583" t="s">
        <v>1847</v>
      </c>
      <c r="C583" t="s">
        <v>1855</v>
      </c>
      <c r="D583">
        <v>85</v>
      </c>
      <c r="E583" t="s">
        <v>1447</v>
      </c>
      <c r="F583" t="s">
        <v>1857</v>
      </c>
      <c r="G583" t="s">
        <v>1741</v>
      </c>
      <c r="H583" t="s">
        <v>2398</v>
      </c>
      <c r="I583" t="s">
        <v>2277</v>
      </c>
      <c r="J583" t="s">
        <v>2277</v>
      </c>
      <c r="K583" t="s">
        <v>2277</v>
      </c>
      <c r="L583" t="s">
        <v>2277</v>
      </c>
      <c r="M583" t="s">
        <v>2277</v>
      </c>
      <c r="N583" t="s">
        <v>2277</v>
      </c>
      <c r="O583" s="190" t="str">
        <f t="shared" si="9"/>
        <v>[S05_DefaultValues][85][FuelMaterialType]</v>
      </c>
    </row>
    <row r="584" spans="1:15" x14ac:dyDescent="0.3">
      <c r="A584" t="s">
        <v>2278</v>
      </c>
      <c r="B584" t="s">
        <v>1847</v>
      </c>
      <c r="C584" t="s">
        <v>1855</v>
      </c>
      <c r="D584">
        <v>86</v>
      </c>
      <c r="E584" t="s">
        <v>1447</v>
      </c>
      <c r="F584" t="s">
        <v>1857</v>
      </c>
      <c r="G584" t="s">
        <v>1741</v>
      </c>
      <c r="H584" t="s">
        <v>2397</v>
      </c>
      <c r="I584" t="s">
        <v>2277</v>
      </c>
      <c r="J584" t="s">
        <v>2277</v>
      </c>
      <c r="K584" t="s">
        <v>2277</v>
      </c>
      <c r="L584" t="s">
        <v>2277</v>
      </c>
      <c r="M584" t="s">
        <v>2277</v>
      </c>
      <c r="N584" t="s">
        <v>2277</v>
      </c>
      <c r="O584" s="190" t="str">
        <f t="shared" si="9"/>
        <v>[S05_DefaultValues][86][FuelMaterialType]</v>
      </c>
    </row>
    <row r="585" spans="1:15" x14ac:dyDescent="0.3">
      <c r="A585" t="s">
        <v>2278</v>
      </c>
      <c r="B585" t="s">
        <v>1847</v>
      </c>
      <c r="C585" t="s">
        <v>1855</v>
      </c>
      <c r="D585">
        <v>87</v>
      </c>
      <c r="E585" t="s">
        <v>1447</v>
      </c>
      <c r="F585" t="s">
        <v>1857</v>
      </c>
      <c r="G585" t="s">
        <v>1741</v>
      </c>
      <c r="H585" t="s">
        <v>2396</v>
      </c>
      <c r="I585" t="s">
        <v>2277</v>
      </c>
      <c r="J585" t="s">
        <v>2277</v>
      </c>
      <c r="K585" t="s">
        <v>2277</v>
      </c>
      <c r="L585" t="s">
        <v>2277</v>
      </c>
      <c r="M585" t="s">
        <v>2277</v>
      </c>
      <c r="N585" t="s">
        <v>2277</v>
      </c>
      <c r="O585" s="190" t="str">
        <f t="shared" si="9"/>
        <v>[S05_DefaultValues][87][FuelMaterialType]</v>
      </c>
    </row>
    <row r="586" spans="1:15" x14ac:dyDescent="0.3">
      <c r="A586" t="s">
        <v>2278</v>
      </c>
      <c r="B586" t="s">
        <v>1847</v>
      </c>
      <c r="C586" t="s">
        <v>1855</v>
      </c>
      <c r="D586">
        <v>88</v>
      </c>
      <c r="E586" t="s">
        <v>1447</v>
      </c>
      <c r="F586" t="s">
        <v>1857</v>
      </c>
      <c r="G586" t="s">
        <v>1741</v>
      </c>
      <c r="H586" t="s">
        <v>2386</v>
      </c>
      <c r="I586" t="s">
        <v>2277</v>
      </c>
      <c r="J586" t="s">
        <v>2277</v>
      </c>
      <c r="K586" t="s">
        <v>2277</v>
      </c>
      <c r="L586" t="s">
        <v>2277</v>
      </c>
      <c r="M586" t="s">
        <v>2277</v>
      </c>
      <c r="N586" t="s">
        <v>2277</v>
      </c>
      <c r="O586" s="190" t="str">
        <f t="shared" si="9"/>
        <v>[S05_DefaultValues][88][FuelMaterialType]</v>
      </c>
    </row>
    <row r="587" spans="1:15" x14ac:dyDescent="0.3">
      <c r="A587" t="s">
        <v>2278</v>
      </c>
      <c r="B587" t="s">
        <v>1847</v>
      </c>
      <c r="C587" t="s">
        <v>1855</v>
      </c>
      <c r="D587">
        <v>89</v>
      </c>
      <c r="E587" t="s">
        <v>1447</v>
      </c>
      <c r="F587" t="s">
        <v>1857</v>
      </c>
      <c r="G587" t="s">
        <v>1741</v>
      </c>
      <c r="H587" t="s">
        <v>2482</v>
      </c>
      <c r="I587" t="s">
        <v>2277</v>
      </c>
      <c r="J587" t="s">
        <v>2277</v>
      </c>
      <c r="K587" t="s">
        <v>2277</v>
      </c>
      <c r="L587" t="s">
        <v>2277</v>
      </c>
      <c r="M587" t="s">
        <v>2277</v>
      </c>
      <c r="N587" t="s">
        <v>2277</v>
      </c>
      <c r="O587" s="190" t="str">
        <f t="shared" si="9"/>
        <v>[S05_DefaultValues][89][FuelMaterialType]</v>
      </c>
    </row>
    <row r="588" spans="1:15" x14ac:dyDescent="0.3">
      <c r="A588" t="s">
        <v>2278</v>
      </c>
      <c r="B588" t="s">
        <v>1847</v>
      </c>
      <c r="C588" t="s">
        <v>1855</v>
      </c>
      <c r="D588">
        <v>90</v>
      </c>
      <c r="E588" t="s">
        <v>1447</v>
      </c>
      <c r="F588" t="s">
        <v>1857</v>
      </c>
      <c r="G588" t="s">
        <v>1741</v>
      </c>
      <c r="H588" t="s">
        <v>2481</v>
      </c>
      <c r="I588" t="s">
        <v>2277</v>
      </c>
      <c r="J588" t="s">
        <v>2277</v>
      </c>
      <c r="K588" t="s">
        <v>2277</v>
      </c>
      <c r="L588" t="s">
        <v>2277</v>
      </c>
      <c r="M588" t="s">
        <v>2277</v>
      </c>
      <c r="N588" t="s">
        <v>2277</v>
      </c>
      <c r="O588" s="190" t="str">
        <f t="shared" si="9"/>
        <v>[S05_DefaultValues][90][FuelMaterialType]</v>
      </c>
    </row>
    <row r="589" spans="1:15" x14ac:dyDescent="0.3">
      <c r="A589" t="s">
        <v>2278</v>
      </c>
      <c r="B589" t="s">
        <v>1847</v>
      </c>
      <c r="C589" t="s">
        <v>1855</v>
      </c>
      <c r="D589">
        <v>91</v>
      </c>
      <c r="E589" t="s">
        <v>1447</v>
      </c>
      <c r="F589" t="s">
        <v>1857</v>
      </c>
      <c r="G589" t="s">
        <v>1741</v>
      </c>
      <c r="H589" t="s">
        <v>2480</v>
      </c>
      <c r="I589" t="s">
        <v>2277</v>
      </c>
      <c r="J589" t="s">
        <v>2277</v>
      </c>
      <c r="K589" t="s">
        <v>2277</v>
      </c>
      <c r="L589" t="s">
        <v>2277</v>
      </c>
      <c r="M589" t="s">
        <v>2277</v>
      </c>
      <c r="N589" t="s">
        <v>2277</v>
      </c>
      <c r="O589" s="190" t="str">
        <f t="shared" si="9"/>
        <v>[S05_DefaultValues][91][FuelMaterialType]</v>
      </c>
    </row>
    <row r="590" spans="1:15" x14ac:dyDescent="0.3">
      <c r="A590" t="s">
        <v>2278</v>
      </c>
      <c r="B590" t="s">
        <v>1847</v>
      </c>
      <c r="C590" t="s">
        <v>1855</v>
      </c>
      <c r="D590">
        <v>92</v>
      </c>
      <c r="E590" t="s">
        <v>1447</v>
      </c>
      <c r="F590" t="s">
        <v>1857</v>
      </c>
      <c r="G590" t="s">
        <v>1741</v>
      </c>
      <c r="H590" t="s">
        <v>2479</v>
      </c>
      <c r="I590" t="s">
        <v>2277</v>
      </c>
      <c r="J590" t="s">
        <v>2277</v>
      </c>
      <c r="K590" t="s">
        <v>2277</v>
      </c>
      <c r="L590" t="s">
        <v>2277</v>
      </c>
      <c r="M590" t="s">
        <v>2277</v>
      </c>
      <c r="N590" t="s">
        <v>2277</v>
      </c>
      <c r="O590" s="190" t="str">
        <f t="shared" si="9"/>
        <v>[S05_DefaultValues][92][FuelMaterialType]</v>
      </c>
    </row>
    <row r="591" spans="1:15" x14ac:dyDescent="0.3">
      <c r="A591" t="s">
        <v>2278</v>
      </c>
      <c r="B591" t="s">
        <v>1847</v>
      </c>
      <c r="C591" t="s">
        <v>1855</v>
      </c>
      <c r="D591">
        <v>93</v>
      </c>
      <c r="E591" t="s">
        <v>1447</v>
      </c>
      <c r="F591" t="s">
        <v>1857</v>
      </c>
      <c r="G591" t="s">
        <v>1741</v>
      </c>
      <c r="H591" t="s">
        <v>2478</v>
      </c>
      <c r="I591" t="s">
        <v>2277</v>
      </c>
      <c r="J591" t="s">
        <v>2277</v>
      </c>
      <c r="K591" t="s">
        <v>2277</v>
      </c>
      <c r="L591" t="s">
        <v>2277</v>
      </c>
      <c r="M591" t="s">
        <v>2277</v>
      </c>
      <c r="N591" t="s">
        <v>2277</v>
      </c>
      <c r="O591" s="190" t="str">
        <f t="shared" si="9"/>
        <v>[S05_DefaultValues][93][FuelMaterialType]</v>
      </c>
    </row>
    <row r="592" spans="1:15" x14ac:dyDescent="0.3">
      <c r="A592" t="s">
        <v>2278</v>
      </c>
      <c r="B592" t="s">
        <v>1847</v>
      </c>
      <c r="C592" t="s">
        <v>1855</v>
      </c>
      <c r="D592">
        <v>94</v>
      </c>
      <c r="E592" t="s">
        <v>1447</v>
      </c>
      <c r="F592" t="s">
        <v>1857</v>
      </c>
      <c r="G592" t="s">
        <v>1741</v>
      </c>
      <c r="H592" t="s">
        <v>2477</v>
      </c>
      <c r="I592" t="s">
        <v>2277</v>
      </c>
      <c r="J592" t="s">
        <v>2277</v>
      </c>
      <c r="K592" t="s">
        <v>2277</v>
      </c>
      <c r="L592" t="s">
        <v>2277</v>
      </c>
      <c r="M592" t="s">
        <v>2277</v>
      </c>
      <c r="N592" t="s">
        <v>2277</v>
      </c>
      <c r="O592" s="190" t="str">
        <f t="shared" si="9"/>
        <v>[S05_DefaultValues][94][FuelMaterialType]</v>
      </c>
    </row>
    <row r="593" spans="1:15" x14ac:dyDescent="0.3">
      <c r="A593" t="s">
        <v>2278</v>
      </c>
      <c r="B593" t="s">
        <v>1847</v>
      </c>
      <c r="C593" t="s">
        <v>1855</v>
      </c>
      <c r="D593">
        <v>95</v>
      </c>
      <c r="E593" t="s">
        <v>1447</v>
      </c>
      <c r="F593" t="s">
        <v>1857</v>
      </c>
      <c r="G593" t="s">
        <v>1741</v>
      </c>
      <c r="H593" t="s">
        <v>2476</v>
      </c>
      <c r="I593" t="s">
        <v>2277</v>
      </c>
      <c r="J593" t="s">
        <v>2277</v>
      </c>
      <c r="K593" t="s">
        <v>2277</v>
      </c>
      <c r="L593" t="s">
        <v>2277</v>
      </c>
      <c r="M593" t="s">
        <v>2277</v>
      </c>
      <c r="N593" t="s">
        <v>2277</v>
      </c>
      <c r="O593" s="190" t="str">
        <f t="shared" si="9"/>
        <v>[S05_DefaultValues][95][FuelMaterialType]</v>
      </c>
    </row>
    <row r="594" spans="1:15" x14ac:dyDescent="0.3">
      <c r="A594" t="s">
        <v>2278</v>
      </c>
      <c r="B594" t="s">
        <v>1847</v>
      </c>
      <c r="C594" t="s">
        <v>1855</v>
      </c>
      <c r="D594">
        <v>96</v>
      </c>
      <c r="E594" t="s">
        <v>1447</v>
      </c>
      <c r="F594" t="s">
        <v>1857</v>
      </c>
      <c r="G594" t="s">
        <v>1741</v>
      </c>
      <c r="H594" t="s">
        <v>2392</v>
      </c>
      <c r="I594" t="s">
        <v>2277</v>
      </c>
      <c r="J594" t="s">
        <v>2277</v>
      </c>
      <c r="K594" t="s">
        <v>2277</v>
      </c>
      <c r="L594" t="s">
        <v>2277</v>
      </c>
      <c r="M594" t="s">
        <v>2277</v>
      </c>
      <c r="N594" t="s">
        <v>2277</v>
      </c>
      <c r="O594" s="190" t="str">
        <f t="shared" si="9"/>
        <v>[S05_DefaultValues][96][FuelMaterialType]</v>
      </c>
    </row>
    <row r="595" spans="1:15" x14ac:dyDescent="0.3">
      <c r="A595" t="s">
        <v>2278</v>
      </c>
      <c r="B595" t="s">
        <v>1847</v>
      </c>
      <c r="C595" t="s">
        <v>1855</v>
      </c>
      <c r="D595">
        <v>97</v>
      </c>
      <c r="E595" t="s">
        <v>1447</v>
      </c>
      <c r="F595" t="s">
        <v>1857</v>
      </c>
      <c r="G595" t="s">
        <v>1741</v>
      </c>
      <c r="H595" t="s">
        <v>2475</v>
      </c>
      <c r="I595" t="s">
        <v>2277</v>
      </c>
      <c r="J595" t="s">
        <v>2277</v>
      </c>
      <c r="K595" t="s">
        <v>2277</v>
      </c>
      <c r="L595" t="s">
        <v>2277</v>
      </c>
      <c r="M595" t="s">
        <v>2277</v>
      </c>
      <c r="N595" t="s">
        <v>2277</v>
      </c>
      <c r="O595" s="190" t="str">
        <f t="shared" si="9"/>
        <v>[S05_DefaultValues][97][FuelMaterialType]</v>
      </c>
    </row>
    <row r="596" spans="1:15" x14ac:dyDescent="0.3">
      <c r="A596" t="s">
        <v>2278</v>
      </c>
      <c r="B596" t="s">
        <v>1847</v>
      </c>
      <c r="C596" t="s">
        <v>1855</v>
      </c>
      <c r="D596">
        <v>98</v>
      </c>
      <c r="E596" t="s">
        <v>1447</v>
      </c>
      <c r="F596" t="s">
        <v>1857</v>
      </c>
      <c r="G596" t="s">
        <v>1741</v>
      </c>
      <c r="H596" t="s">
        <v>2474</v>
      </c>
      <c r="I596" t="s">
        <v>2277</v>
      </c>
      <c r="J596" t="s">
        <v>2277</v>
      </c>
      <c r="K596" t="s">
        <v>2277</v>
      </c>
      <c r="L596" t="s">
        <v>2277</v>
      </c>
      <c r="M596" t="s">
        <v>2277</v>
      </c>
      <c r="N596" t="s">
        <v>2277</v>
      </c>
      <c r="O596" s="190" t="str">
        <f t="shared" si="9"/>
        <v>[S05_DefaultValues][98][FuelMaterialType]</v>
      </c>
    </row>
    <row r="597" spans="1:15" x14ac:dyDescent="0.3">
      <c r="A597" t="s">
        <v>2278</v>
      </c>
      <c r="B597" t="s">
        <v>1847</v>
      </c>
      <c r="C597" t="s">
        <v>1855</v>
      </c>
      <c r="D597">
        <v>99</v>
      </c>
      <c r="E597" t="s">
        <v>1447</v>
      </c>
      <c r="F597" t="s">
        <v>1857</v>
      </c>
      <c r="G597" t="s">
        <v>1741</v>
      </c>
      <c r="H597" t="s">
        <v>2473</v>
      </c>
      <c r="I597" t="s">
        <v>2277</v>
      </c>
      <c r="J597" t="s">
        <v>2277</v>
      </c>
      <c r="K597" t="s">
        <v>2277</v>
      </c>
      <c r="L597" t="s">
        <v>2277</v>
      </c>
      <c r="M597" t="s">
        <v>2277</v>
      </c>
      <c r="N597" t="s">
        <v>2277</v>
      </c>
      <c r="O597" s="190" t="str">
        <f t="shared" si="9"/>
        <v>[S05_DefaultValues][99][FuelMaterialType]</v>
      </c>
    </row>
    <row r="598" spans="1:15" x14ac:dyDescent="0.3">
      <c r="A598" t="s">
        <v>2278</v>
      </c>
      <c r="B598" t="s">
        <v>1847</v>
      </c>
      <c r="C598" t="s">
        <v>1855</v>
      </c>
      <c r="D598">
        <v>100</v>
      </c>
      <c r="E598" t="s">
        <v>1447</v>
      </c>
      <c r="F598" t="s">
        <v>1857</v>
      </c>
      <c r="G598" t="s">
        <v>1741</v>
      </c>
      <c r="H598" t="s">
        <v>2472</v>
      </c>
      <c r="I598" t="s">
        <v>2277</v>
      </c>
      <c r="J598" t="s">
        <v>2277</v>
      </c>
      <c r="K598" t="s">
        <v>2277</v>
      </c>
      <c r="L598" t="s">
        <v>2277</v>
      </c>
      <c r="M598" t="s">
        <v>2277</v>
      </c>
      <c r="N598" t="s">
        <v>2277</v>
      </c>
      <c r="O598" s="190" t="str">
        <f t="shared" si="9"/>
        <v>[S05_DefaultValues][100][FuelMaterialType]</v>
      </c>
    </row>
    <row r="599" spans="1:15" x14ac:dyDescent="0.3">
      <c r="A599" t="s">
        <v>2278</v>
      </c>
      <c r="B599" t="s">
        <v>1847</v>
      </c>
      <c r="C599" t="s">
        <v>1855</v>
      </c>
      <c r="D599">
        <v>101</v>
      </c>
      <c r="E599" t="s">
        <v>1447</v>
      </c>
      <c r="F599" t="s">
        <v>1857</v>
      </c>
      <c r="G599" t="s">
        <v>1741</v>
      </c>
      <c r="H599" t="s">
        <v>2471</v>
      </c>
      <c r="I599" t="s">
        <v>2277</v>
      </c>
      <c r="J599" t="s">
        <v>2277</v>
      </c>
      <c r="K599" t="s">
        <v>2277</v>
      </c>
      <c r="L599" t="s">
        <v>2277</v>
      </c>
      <c r="M599" t="s">
        <v>2277</v>
      </c>
      <c r="N599" t="s">
        <v>2277</v>
      </c>
      <c r="O599" s="190" t="str">
        <f t="shared" si="9"/>
        <v>[S05_DefaultValues][101][FuelMaterialType]</v>
      </c>
    </row>
    <row r="600" spans="1:15" x14ac:dyDescent="0.3">
      <c r="A600" t="s">
        <v>2278</v>
      </c>
      <c r="B600" t="s">
        <v>1847</v>
      </c>
      <c r="C600" t="s">
        <v>1855</v>
      </c>
      <c r="D600">
        <v>102</v>
      </c>
      <c r="E600" t="s">
        <v>1447</v>
      </c>
      <c r="F600" t="s">
        <v>1857</v>
      </c>
      <c r="G600" t="s">
        <v>1741</v>
      </c>
      <c r="H600" t="s">
        <v>2470</v>
      </c>
      <c r="I600" t="s">
        <v>2277</v>
      </c>
      <c r="J600" t="s">
        <v>2277</v>
      </c>
      <c r="K600" t="s">
        <v>2277</v>
      </c>
      <c r="L600" t="s">
        <v>2277</v>
      </c>
      <c r="M600" t="s">
        <v>2277</v>
      </c>
      <c r="N600" t="s">
        <v>2277</v>
      </c>
      <c r="O600" s="190" t="str">
        <f t="shared" si="9"/>
        <v>[S05_DefaultValues][102][FuelMaterialType]</v>
      </c>
    </row>
    <row r="601" spans="1:15" x14ac:dyDescent="0.3">
      <c r="A601" t="s">
        <v>2278</v>
      </c>
      <c r="B601" t="s">
        <v>1847</v>
      </c>
      <c r="C601" t="s">
        <v>1855</v>
      </c>
      <c r="D601">
        <v>103</v>
      </c>
      <c r="E601" t="s">
        <v>1447</v>
      </c>
      <c r="F601" t="s">
        <v>1857</v>
      </c>
      <c r="G601" t="s">
        <v>1741</v>
      </c>
      <c r="H601" t="s">
        <v>2469</v>
      </c>
      <c r="I601" t="s">
        <v>2277</v>
      </c>
      <c r="J601" t="s">
        <v>2277</v>
      </c>
      <c r="K601" t="s">
        <v>2277</v>
      </c>
      <c r="L601" t="s">
        <v>2277</v>
      </c>
      <c r="M601" t="s">
        <v>2277</v>
      </c>
      <c r="N601" t="s">
        <v>2277</v>
      </c>
      <c r="O601" s="190" t="str">
        <f t="shared" si="9"/>
        <v>[S05_DefaultValues][103][FuelMaterialType]</v>
      </c>
    </row>
    <row r="602" spans="1:15" x14ac:dyDescent="0.3">
      <c r="A602" t="s">
        <v>2278</v>
      </c>
      <c r="B602" t="s">
        <v>1847</v>
      </c>
      <c r="C602" t="s">
        <v>1855</v>
      </c>
      <c r="D602">
        <v>104</v>
      </c>
      <c r="E602" t="s">
        <v>1447</v>
      </c>
      <c r="F602" t="s">
        <v>1857</v>
      </c>
      <c r="G602" t="s">
        <v>1741</v>
      </c>
      <c r="H602" t="s">
        <v>2468</v>
      </c>
      <c r="I602" t="s">
        <v>2277</v>
      </c>
      <c r="J602" t="s">
        <v>2277</v>
      </c>
      <c r="K602" t="s">
        <v>2277</v>
      </c>
      <c r="L602" t="s">
        <v>2277</v>
      </c>
      <c r="M602" t="s">
        <v>2277</v>
      </c>
      <c r="N602" t="s">
        <v>2277</v>
      </c>
      <c r="O602" s="190" t="str">
        <f t="shared" si="9"/>
        <v>[S05_DefaultValues][104][FuelMaterialType]</v>
      </c>
    </row>
    <row r="603" spans="1:15" x14ac:dyDescent="0.3">
      <c r="A603" t="s">
        <v>2278</v>
      </c>
      <c r="B603" t="s">
        <v>1847</v>
      </c>
      <c r="C603" t="s">
        <v>1855</v>
      </c>
      <c r="D603">
        <v>105</v>
      </c>
      <c r="E603" t="s">
        <v>1447</v>
      </c>
      <c r="F603" t="s">
        <v>1857</v>
      </c>
      <c r="G603" t="s">
        <v>1741</v>
      </c>
      <c r="H603" t="s">
        <v>2467</v>
      </c>
      <c r="I603" t="s">
        <v>2277</v>
      </c>
      <c r="J603" t="s">
        <v>2277</v>
      </c>
      <c r="K603" t="s">
        <v>2277</v>
      </c>
      <c r="L603" t="s">
        <v>2277</v>
      </c>
      <c r="M603" t="s">
        <v>2277</v>
      </c>
      <c r="N603" t="s">
        <v>2277</v>
      </c>
      <c r="O603" s="190" t="str">
        <f t="shared" si="9"/>
        <v>[S05_DefaultValues][105][FuelMaterialType]</v>
      </c>
    </row>
    <row r="604" spans="1:15" x14ac:dyDescent="0.3">
      <c r="A604" t="s">
        <v>2278</v>
      </c>
      <c r="B604" t="s">
        <v>1847</v>
      </c>
      <c r="C604" t="s">
        <v>1855</v>
      </c>
      <c r="D604">
        <v>106</v>
      </c>
      <c r="E604" t="s">
        <v>1447</v>
      </c>
      <c r="F604" t="s">
        <v>1857</v>
      </c>
      <c r="G604" t="s">
        <v>1741</v>
      </c>
      <c r="H604" t="s">
        <v>2429</v>
      </c>
      <c r="I604" t="s">
        <v>2277</v>
      </c>
      <c r="J604" t="s">
        <v>2277</v>
      </c>
      <c r="K604" t="s">
        <v>2277</v>
      </c>
      <c r="L604" t="s">
        <v>2277</v>
      </c>
      <c r="M604" t="s">
        <v>2277</v>
      </c>
      <c r="N604" t="s">
        <v>2277</v>
      </c>
      <c r="O604" s="190" t="str">
        <f t="shared" si="9"/>
        <v>[S05_DefaultValues][106][FuelMaterialType]</v>
      </c>
    </row>
    <row r="605" spans="1:15" x14ac:dyDescent="0.3">
      <c r="A605" t="s">
        <v>2278</v>
      </c>
      <c r="B605" t="s">
        <v>1847</v>
      </c>
      <c r="C605" t="s">
        <v>1855</v>
      </c>
      <c r="D605">
        <v>107</v>
      </c>
      <c r="E605" t="s">
        <v>1447</v>
      </c>
      <c r="F605" t="s">
        <v>1857</v>
      </c>
      <c r="G605" t="s">
        <v>1741</v>
      </c>
      <c r="H605" t="s">
        <v>2390</v>
      </c>
      <c r="I605" t="s">
        <v>2277</v>
      </c>
      <c r="J605" t="s">
        <v>2277</v>
      </c>
      <c r="K605" t="s">
        <v>2277</v>
      </c>
      <c r="L605" t="s">
        <v>2277</v>
      </c>
      <c r="M605" t="s">
        <v>2277</v>
      </c>
      <c r="N605" t="s">
        <v>2277</v>
      </c>
      <c r="O605" s="190" t="str">
        <f t="shared" si="9"/>
        <v>[S05_DefaultValues][107][FuelMaterialType]</v>
      </c>
    </row>
    <row r="606" spans="1:15" x14ac:dyDescent="0.3">
      <c r="A606" t="s">
        <v>2278</v>
      </c>
      <c r="B606" t="s">
        <v>1847</v>
      </c>
      <c r="C606" t="s">
        <v>1855</v>
      </c>
      <c r="D606">
        <v>108</v>
      </c>
      <c r="E606" t="s">
        <v>1447</v>
      </c>
      <c r="F606" t="s">
        <v>1857</v>
      </c>
      <c r="G606" t="s">
        <v>1741</v>
      </c>
      <c r="H606" t="s">
        <v>2428</v>
      </c>
      <c r="I606" t="s">
        <v>2277</v>
      </c>
      <c r="J606" t="s">
        <v>2277</v>
      </c>
      <c r="K606" t="s">
        <v>2277</v>
      </c>
      <c r="L606" t="s">
        <v>2277</v>
      </c>
      <c r="M606" t="s">
        <v>2277</v>
      </c>
      <c r="N606" t="s">
        <v>2277</v>
      </c>
      <c r="O606" s="190" t="str">
        <f t="shared" si="9"/>
        <v>[S05_DefaultValues][108][FuelMaterialType]</v>
      </c>
    </row>
    <row r="607" spans="1:15" x14ac:dyDescent="0.3">
      <c r="A607" t="s">
        <v>2278</v>
      </c>
      <c r="B607" t="s">
        <v>1847</v>
      </c>
      <c r="C607" t="s">
        <v>1855</v>
      </c>
      <c r="D607">
        <v>109</v>
      </c>
      <c r="E607" t="s">
        <v>1447</v>
      </c>
      <c r="F607" t="s">
        <v>1857</v>
      </c>
      <c r="G607" t="s">
        <v>1741</v>
      </c>
      <c r="H607" t="s">
        <v>2389</v>
      </c>
      <c r="I607" t="s">
        <v>2277</v>
      </c>
      <c r="J607" t="s">
        <v>2277</v>
      </c>
      <c r="K607" t="s">
        <v>2277</v>
      </c>
      <c r="L607" t="s">
        <v>2277</v>
      </c>
      <c r="M607" t="s">
        <v>2277</v>
      </c>
      <c r="N607" t="s">
        <v>2277</v>
      </c>
      <c r="O607" s="190" t="str">
        <f t="shared" si="9"/>
        <v>[S05_DefaultValues][109][FuelMaterialType]</v>
      </c>
    </row>
    <row r="608" spans="1:15" x14ac:dyDescent="0.3">
      <c r="A608" t="s">
        <v>2278</v>
      </c>
      <c r="B608" t="s">
        <v>1847</v>
      </c>
      <c r="C608" t="s">
        <v>1855</v>
      </c>
      <c r="D608">
        <v>110</v>
      </c>
      <c r="E608" t="s">
        <v>1447</v>
      </c>
      <c r="F608" t="s">
        <v>1857</v>
      </c>
      <c r="G608" t="s">
        <v>1741</v>
      </c>
      <c r="H608" t="s">
        <v>2427</v>
      </c>
      <c r="I608" t="s">
        <v>2277</v>
      </c>
      <c r="J608" t="s">
        <v>2277</v>
      </c>
      <c r="K608" t="s">
        <v>2277</v>
      </c>
      <c r="L608" t="s">
        <v>2277</v>
      </c>
      <c r="M608" t="s">
        <v>2277</v>
      </c>
      <c r="N608" t="s">
        <v>2277</v>
      </c>
      <c r="O608" s="190" t="str">
        <f t="shared" si="9"/>
        <v>[S05_DefaultValues][110][FuelMaterialType]</v>
      </c>
    </row>
    <row r="609" spans="1:15" x14ac:dyDescent="0.3">
      <c r="A609" t="s">
        <v>2278</v>
      </c>
      <c r="B609" t="s">
        <v>1847</v>
      </c>
      <c r="C609" t="s">
        <v>1855</v>
      </c>
      <c r="D609">
        <v>111</v>
      </c>
      <c r="E609" t="s">
        <v>1447</v>
      </c>
      <c r="F609" t="s">
        <v>1857</v>
      </c>
      <c r="G609" t="s">
        <v>1741</v>
      </c>
      <c r="H609" t="s">
        <v>2466</v>
      </c>
      <c r="I609" t="s">
        <v>2277</v>
      </c>
      <c r="J609" t="s">
        <v>2277</v>
      </c>
      <c r="K609" t="s">
        <v>2277</v>
      </c>
      <c r="L609" t="s">
        <v>2277</v>
      </c>
      <c r="M609" t="s">
        <v>2277</v>
      </c>
      <c r="N609" t="s">
        <v>2277</v>
      </c>
      <c r="O609" s="190" t="str">
        <f t="shared" si="9"/>
        <v>[S05_DefaultValues][111][FuelMaterialType]</v>
      </c>
    </row>
    <row r="610" spans="1:15" x14ac:dyDescent="0.3">
      <c r="A610" t="s">
        <v>2278</v>
      </c>
      <c r="B610" t="s">
        <v>1847</v>
      </c>
      <c r="C610" t="s">
        <v>1855</v>
      </c>
      <c r="D610">
        <v>112</v>
      </c>
      <c r="E610" t="s">
        <v>1447</v>
      </c>
      <c r="F610" t="s">
        <v>1857</v>
      </c>
      <c r="G610" t="s">
        <v>1741</v>
      </c>
      <c r="H610" t="s">
        <v>2426</v>
      </c>
      <c r="I610" t="s">
        <v>2277</v>
      </c>
      <c r="J610" t="s">
        <v>2277</v>
      </c>
      <c r="K610" t="s">
        <v>2277</v>
      </c>
      <c r="L610" t="s">
        <v>2277</v>
      </c>
      <c r="M610" t="s">
        <v>2277</v>
      </c>
      <c r="N610" t="s">
        <v>2277</v>
      </c>
      <c r="O610" s="190" t="str">
        <f t="shared" si="9"/>
        <v>[S05_DefaultValues][112][FuelMaterialType]</v>
      </c>
    </row>
    <row r="611" spans="1:15" x14ac:dyDescent="0.3">
      <c r="A611" t="s">
        <v>2278</v>
      </c>
      <c r="B611" t="s">
        <v>1847</v>
      </c>
      <c r="C611" t="s">
        <v>1855</v>
      </c>
      <c r="D611">
        <v>113</v>
      </c>
      <c r="E611" t="s">
        <v>1447</v>
      </c>
      <c r="F611" t="s">
        <v>1857</v>
      </c>
      <c r="G611" t="s">
        <v>1741</v>
      </c>
      <c r="H611" t="s">
        <v>2465</v>
      </c>
      <c r="I611" t="s">
        <v>2277</v>
      </c>
      <c r="J611" t="s">
        <v>2277</v>
      </c>
      <c r="K611" t="s">
        <v>2277</v>
      </c>
      <c r="L611" t="s">
        <v>2277</v>
      </c>
      <c r="M611" t="s">
        <v>2277</v>
      </c>
      <c r="N611" t="s">
        <v>2277</v>
      </c>
      <c r="O611" s="190" t="str">
        <f t="shared" si="9"/>
        <v>[S05_DefaultValues][113][FuelMaterialType]</v>
      </c>
    </row>
    <row r="612" spans="1:15" x14ac:dyDescent="0.3">
      <c r="A612" t="s">
        <v>2278</v>
      </c>
      <c r="B612" t="s">
        <v>1847</v>
      </c>
      <c r="C612" t="s">
        <v>1855</v>
      </c>
      <c r="D612">
        <v>114</v>
      </c>
      <c r="E612" t="s">
        <v>1447</v>
      </c>
      <c r="F612" t="s">
        <v>1857</v>
      </c>
      <c r="G612" t="s">
        <v>1741</v>
      </c>
      <c r="H612" t="s">
        <v>2464</v>
      </c>
      <c r="I612" t="s">
        <v>2277</v>
      </c>
      <c r="J612" t="s">
        <v>2277</v>
      </c>
      <c r="K612" t="s">
        <v>2277</v>
      </c>
      <c r="L612" t="s">
        <v>2277</v>
      </c>
      <c r="M612" t="s">
        <v>2277</v>
      </c>
      <c r="N612" t="s">
        <v>2277</v>
      </c>
      <c r="O612" s="190" t="str">
        <f t="shared" si="9"/>
        <v>[S05_DefaultValues][114][FuelMaterialType]</v>
      </c>
    </row>
    <row r="613" spans="1:15" x14ac:dyDescent="0.3">
      <c r="A613" t="s">
        <v>2278</v>
      </c>
      <c r="B613" t="s">
        <v>1847</v>
      </c>
      <c r="C613" t="s">
        <v>1855</v>
      </c>
      <c r="D613">
        <v>115</v>
      </c>
      <c r="E613" t="s">
        <v>1447</v>
      </c>
      <c r="F613" t="s">
        <v>1857</v>
      </c>
      <c r="G613" t="s">
        <v>1741</v>
      </c>
      <c r="H613" t="s">
        <v>2463</v>
      </c>
      <c r="I613" t="s">
        <v>2277</v>
      </c>
      <c r="J613" t="s">
        <v>2277</v>
      </c>
      <c r="K613" t="s">
        <v>2277</v>
      </c>
      <c r="L613" t="s">
        <v>2277</v>
      </c>
      <c r="M613" t="s">
        <v>2277</v>
      </c>
      <c r="N613" t="s">
        <v>2277</v>
      </c>
      <c r="O613" s="190" t="str">
        <f t="shared" si="9"/>
        <v>[S05_DefaultValues][115][FuelMaterialType]</v>
      </c>
    </row>
    <row r="614" spans="1:15" x14ac:dyDescent="0.3">
      <c r="A614" t="s">
        <v>2278</v>
      </c>
      <c r="B614" t="s">
        <v>1847</v>
      </c>
      <c r="C614" t="s">
        <v>1855</v>
      </c>
      <c r="D614">
        <v>116</v>
      </c>
      <c r="E614" t="s">
        <v>1447</v>
      </c>
      <c r="F614" t="s">
        <v>1857</v>
      </c>
      <c r="G614" t="s">
        <v>1741</v>
      </c>
      <c r="H614" t="s">
        <v>2462</v>
      </c>
      <c r="I614" t="s">
        <v>2277</v>
      </c>
      <c r="J614" t="s">
        <v>2277</v>
      </c>
      <c r="K614" t="s">
        <v>2277</v>
      </c>
      <c r="L614" t="s">
        <v>2277</v>
      </c>
      <c r="M614" t="s">
        <v>2277</v>
      </c>
      <c r="N614" t="s">
        <v>2277</v>
      </c>
      <c r="O614" s="190" t="str">
        <f t="shared" si="9"/>
        <v>[S05_DefaultValues][116][FuelMaterialType]</v>
      </c>
    </row>
    <row r="615" spans="1:15" x14ac:dyDescent="0.3">
      <c r="A615" t="s">
        <v>2278</v>
      </c>
      <c r="B615" t="s">
        <v>1847</v>
      </c>
      <c r="C615" t="s">
        <v>1855</v>
      </c>
      <c r="D615">
        <v>117</v>
      </c>
      <c r="E615" t="s">
        <v>1447</v>
      </c>
      <c r="F615" t="s">
        <v>1857</v>
      </c>
      <c r="G615" t="s">
        <v>1741</v>
      </c>
      <c r="H615" t="s">
        <v>2461</v>
      </c>
      <c r="I615" t="s">
        <v>2277</v>
      </c>
      <c r="J615" t="s">
        <v>2277</v>
      </c>
      <c r="K615" t="s">
        <v>2277</v>
      </c>
      <c r="L615" t="s">
        <v>2277</v>
      </c>
      <c r="M615" t="s">
        <v>2277</v>
      </c>
      <c r="N615" t="s">
        <v>2277</v>
      </c>
      <c r="O615" s="190" t="str">
        <f t="shared" si="9"/>
        <v>[S05_DefaultValues][117][FuelMaterialType]</v>
      </c>
    </row>
    <row r="616" spans="1:15" x14ac:dyDescent="0.3">
      <c r="A616" t="s">
        <v>2278</v>
      </c>
      <c r="B616" t="s">
        <v>1847</v>
      </c>
      <c r="C616" t="s">
        <v>1855</v>
      </c>
      <c r="D616">
        <v>118</v>
      </c>
      <c r="E616" t="s">
        <v>1447</v>
      </c>
      <c r="F616" t="s">
        <v>1857</v>
      </c>
      <c r="G616" t="s">
        <v>1741</v>
      </c>
      <c r="H616" t="s">
        <v>2460</v>
      </c>
      <c r="I616" t="s">
        <v>2277</v>
      </c>
      <c r="J616" t="s">
        <v>2277</v>
      </c>
      <c r="K616" t="s">
        <v>2277</v>
      </c>
      <c r="L616" t="s">
        <v>2277</v>
      </c>
      <c r="M616" t="s">
        <v>2277</v>
      </c>
      <c r="N616" t="s">
        <v>2277</v>
      </c>
      <c r="O616" s="190" t="str">
        <f t="shared" si="9"/>
        <v>[S05_DefaultValues][118][FuelMaterialType]</v>
      </c>
    </row>
    <row r="617" spans="1:15" x14ac:dyDescent="0.3">
      <c r="A617" t="s">
        <v>2278</v>
      </c>
      <c r="B617" t="s">
        <v>1847</v>
      </c>
      <c r="C617" t="s">
        <v>1855</v>
      </c>
      <c r="D617">
        <v>119</v>
      </c>
      <c r="E617" t="s">
        <v>1447</v>
      </c>
      <c r="F617" t="s">
        <v>1857</v>
      </c>
      <c r="G617" t="s">
        <v>1741</v>
      </c>
      <c r="H617" t="s">
        <v>2459</v>
      </c>
      <c r="I617" t="s">
        <v>2277</v>
      </c>
      <c r="J617" t="s">
        <v>2277</v>
      </c>
      <c r="K617" t="s">
        <v>2277</v>
      </c>
      <c r="L617" t="s">
        <v>2277</v>
      </c>
      <c r="M617" t="s">
        <v>2277</v>
      </c>
      <c r="N617" t="s">
        <v>2277</v>
      </c>
      <c r="O617" s="190" t="str">
        <f t="shared" si="9"/>
        <v>[S05_DefaultValues][119][FuelMaterialType]</v>
      </c>
    </row>
    <row r="618" spans="1:15" x14ac:dyDescent="0.3">
      <c r="A618" t="s">
        <v>2278</v>
      </c>
      <c r="B618" t="s">
        <v>1847</v>
      </c>
      <c r="C618" t="s">
        <v>1855</v>
      </c>
      <c r="D618">
        <v>120</v>
      </c>
      <c r="E618" t="s">
        <v>1447</v>
      </c>
      <c r="F618" t="s">
        <v>1857</v>
      </c>
      <c r="G618" t="s">
        <v>1741</v>
      </c>
      <c r="H618" t="s">
        <v>2458</v>
      </c>
      <c r="I618" t="s">
        <v>2277</v>
      </c>
      <c r="J618" t="s">
        <v>2277</v>
      </c>
      <c r="K618" t="s">
        <v>2277</v>
      </c>
      <c r="L618" t="s">
        <v>2277</v>
      </c>
      <c r="M618" t="s">
        <v>2277</v>
      </c>
      <c r="N618" t="s">
        <v>2277</v>
      </c>
      <c r="O618" s="190" t="str">
        <f t="shared" si="9"/>
        <v>[S05_DefaultValues][120][FuelMaterialType]</v>
      </c>
    </row>
    <row r="619" spans="1:15" x14ac:dyDescent="0.3">
      <c r="A619" t="s">
        <v>2278</v>
      </c>
      <c r="B619" t="s">
        <v>1847</v>
      </c>
      <c r="C619" t="s">
        <v>1855</v>
      </c>
      <c r="D619">
        <v>121</v>
      </c>
      <c r="E619" t="s">
        <v>1447</v>
      </c>
      <c r="F619" t="s">
        <v>1857</v>
      </c>
      <c r="G619" t="s">
        <v>1741</v>
      </c>
      <c r="H619" t="s">
        <v>2457</v>
      </c>
      <c r="I619" t="s">
        <v>2277</v>
      </c>
      <c r="J619" t="s">
        <v>2277</v>
      </c>
      <c r="K619" t="s">
        <v>2277</v>
      </c>
      <c r="L619" t="s">
        <v>2277</v>
      </c>
      <c r="M619" t="s">
        <v>2277</v>
      </c>
      <c r="N619" t="s">
        <v>2277</v>
      </c>
      <c r="O619" s="190" t="str">
        <f t="shared" si="9"/>
        <v>[S05_DefaultValues][121][FuelMaterialType]</v>
      </c>
    </row>
    <row r="620" spans="1:15" x14ac:dyDescent="0.3">
      <c r="A620" t="s">
        <v>2278</v>
      </c>
      <c r="B620" t="s">
        <v>1847</v>
      </c>
      <c r="C620" t="s">
        <v>1855</v>
      </c>
      <c r="D620">
        <v>122</v>
      </c>
      <c r="E620" t="s">
        <v>1447</v>
      </c>
      <c r="F620" t="s">
        <v>1857</v>
      </c>
      <c r="G620" t="s">
        <v>1741</v>
      </c>
      <c r="H620" t="s">
        <v>2456</v>
      </c>
      <c r="I620" t="s">
        <v>2277</v>
      </c>
      <c r="J620" t="s">
        <v>2277</v>
      </c>
      <c r="K620" t="s">
        <v>2277</v>
      </c>
      <c r="L620" t="s">
        <v>2277</v>
      </c>
      <c r="M620" t="s">
        <v>2277</v>
      </c>
      <c r="N620" t="s">
        <v>2277</v>
      </c>
      <c r="O620" s="190" t="str">
        <f t="shared" si="9"/>
        <v>[S05_DefaultValues][122][FuelMaterialType]</v>
      </c>
    </row>
    <row r="621" spans="1:15" x14ac:dyDescent="0.3">
      <c r="A621" t="s">
        <v>2278</v>
      </c>
      <c r="B621" t="s">
        <v>1847</v>
      </c>
      <c r="C621" t="s">
        <v>1855</v>
      </c>
      <c r="D621">
        <v>123</v>
      </c>
      <c r="E621" t="s">
        <v>1447</v>
      </c>
      <c r="F621" t="s">
        <v>1857</v>
      </c>
      <c r="G621" t="s">
        <v>1741</v>
      </c>
      <c r="H621" t="s">
        <v>2455</v>
      </c>
      <c r="I621" t="s">
        <v>2277</v>
      </c>
      <c r="J621" t="s">
        <v>2277</v>
      </c>
      <c r="K621" t="s">
        <v>2277</v>
      </c>
      <c r="L621" t="s">
        <v>2277</v>
      </c>
      <c r="M621" t="s">
        <v>2277</v>
      </c>
      <c r="N621" t="s">
        <v>2277</v>
      </c>
      <c r="O621" s="190" t="str">
        <f t="shared" si="9"/>
        <v>[S05_DefaultValues][123][FuelMaterialType]</v>
      </c>
    </row>
    <row r="622" spans="1:15" x14ac:dyDescent="0.3">
      <c r="A622" t="s">
        <v>2278</v>
      </c>
      <c r="B622" t="s">
        <v>1847</v>
      </c>
      <c r="C622" t="s">
        <v>1855</v>
      </c>
      <c r="D622">
        <v>124</v>
      </c>
      <c r="E622" t="s">
        <v>1447</v>
      </c>
      <c r="F622" t="s">
        <v>1857</v>
      </c>
      <c r="G622" t="s">
        <v>1741</v>
      </c>
      <c r="H622" t="s">
        <v>2454</v>
      </c>
      <c r="I622" t="s">
        <v>2277</v>
      </c>
      <c r="J622" t="s">
        <v>2277</v>
      </c>
      <c r="K622" t="s">
        <v>2277</v>
      </c>
      <c r="L622" t="s">
        <v>2277</v>
      </c>
      <c r="M622" t="s">
        <v>2277</v>
      </c>
      <c r="N622" t="s">
        <v>2277</v>
      </c>
      <c r="O622" s="190" t="str">
        <f t="shared" si="9"/>
        <v>[S05_DefaultValues][124][FuelMaterialType]</v>
      </c>
    </row>
    <row r="623" spans="1:15" x14ac:dyDescent="0.3">
      <c r="A623" t="s">
        <v>2278</v>
      </c>
      <c r="B623" t="s">
        <v>1847</v>
      </c>
      <c r="C623" t="s">
        <v>1855</v>
      </c>
      <c r="D623">
        <v>125</v>
      </c>
      <c r="E623" t="s">
        <v>1447</v>
      </c>
      <c r="F623" t="s">
        <v>1857</v>
      </c>
      <c r="G623" t="s">
        <v>1741</v>
      </c>
      <c r="H623" t="s">
        <v>2453</v>
      </c>
      <c r="I623" t="s">
        <v>2277</v>
      </c>
      <c r="J623" t="s">
        <v>2277</v>
      </c>
      <c r="K623" t="s">
        <v>2277</v>
      </c>
      <c r="L623" t="s">
        <v>2277</v>
      </c>
      <c r="M623" t="s">
        <v>2277</v>
      </c>
      <c r="N623" t="s">
        <v>2277</v>
      </c>
      <c r="O623" s="190" t="str">
        <f t="shared" si="9"/>
        <v>[S05_DefaultValues][125][FuelMaterialType]</v>
      </c>
    </row>
    <row r="624" spans="1:15" x14ac:dyDescent="0.3">
      <c r="A624" t="s">
        <v>2278</v>
      </c>
      <c r="B624" t="s">
        <v>1847</v>
      </c>
      <c r="C624" t="s">
        <v>1855</v>
      </c>
      <c r="D624">
        <v>126</v>
      </c>
      <c r="E624" t="s">
        <v>1447</v>
      </c>
      <c r="F624" t="s">
        <v>1857</v>
      </c>
      <c r="G624" t="s">
        <v>1741</v>
      </c>
      <c r="H624" t="s">
        <v>2423</v>
      </c>
      <c r="I624" t="s">
        <v>2277</v>
      </c>
      <c r="J624" t="s">
        <v>2277</v>
      </c>
      <c r="K624" t="s">
        <v>2277</v>
      </c>
      <c r="L624" t="s">
        <v>2277</v>
      </c>
      <c r="M624" t="s">
        <v>2277</v>
      </c>
      <c r="N624" t="s">
        <v>2277</v>
      </c>
      <c r="O624" s="190" t="str">
        <f t="shared" si="9"/>
        <v>[S05_DefaultValues][126][FuelMaterialType]</v>
      </c>
    </row>
    <row r="625" spans="1:15" x14ac:dyDescent="0.3">
      <c r="A625" t="s">
        <v>2278</v>
      </c>
      <c r="B625" t="s">
        <v>1847</v>
      </c>
      <c r="C625" t="s">
        <v>1855</v>
      </c>
      <c r="D625">
        <v>127</v>
      </c>
      <c r="E625" t="s">
        <v>1447</v>
      </c>
      <c r="F625" t="s">
        <v>1857</v>
      </c>
      <c r="G625" t="s">
        <v>1741</v>
      </c>
      <c r="H625" t="s">
        <v>2452</v>
      </c>
      <c r="I625" t="s">
        <v>2277</v>
      </c>
      <c r="J625" t="s">
        <v>2277</v>
      </c>
      <c r="K625" t="s">
        <v>2277</v>
      </c>
      <c r="L625" t="s">
        <v>2277</v>
      </c>
      <c r="M625" t="s">
        <v>2277</v>
      </c>
      <c r="N625" t="s">
        <v>2277</v>
      </c>
      <c r="O625" s="190" t="str">
        <f t="shared" si="9"/>
        <v>[S05_DefaultValues][127][FuelMaterialType]</v>
      </c>
    </row>
    <row r="626" spans="1:15" x14ac:dyDescent="0.3">
      <c r="A626" t="s">
        <v>2278</v>
      </c>
      <c r="B626" t="s">
        <v>1847</v>
      </c>
      <c r="C626" t="s">
        <v>1855</v>
      </c>
      <c r="D626">
        <v>128</v>
      </c>
      <c r="E626" t="s">
        <v>1447</v>
      </c>
      <c r="F626" t="s">
        <v>1857</v>
      </c>
      <c r="G626" t="s">
        <v>1741</v>
      </c>
      <c r="H626" t="s">
        <v>2422</v>
      </c>
      <c r="I626" t="s">
        <v>2277</v>
      </c>
      <c r="J626" t="s">
        <v>2277</v>
      </c>
      <c r="K626" t="s">
        <v>2277</v>
      </c>
      <c r="L626" t="s">
        <v>2277</v>
      </c>
      <c r="M626" t="s">
        <v>2277</v>
      </c>
      <c r="N626" t="s">
        <v>2277</v>
      </c>
      <c r="O626" s="190" t="str">
        <f t="shared" si="9"/>
        <v>[S05_DefaultValues][128][FuelMaterialType]</v>
      </c>
    </row>
    <row r="627" spans="1:15" x14ac:dyDescent="0.3">
      <c r="A627" t="s">
        <v>2278</v>
      </c>
      <c r="B627" t="s">
        <v>1847</v>
      </c>
      <c r="C627" t="s">
        <v>1855</v>
      </c>
      <c r="D627">
        <v>129</v>
      </c>
      <c r="E627" t="s">
        <v>1447</v>
      </c>
      <c r="F627" t="s">
        <v>1857</v>
      </c>
      <c r="G627" t="s">
        <v>1741</v>
      </c>
      <c r="H627" t="s">
        <v>2384</v>
      </c>
      <c r="I627" t="s">
        <v>2277</v>
      </c>
      <c r="J627" t="s">
        <v>2277</v>
      </c>
      <c r="K627" t="s">
        <v>2277</v>
      </c>
      <c r="L627" t="s">
        <v>2277</v>
      </c>
      <c r="M627" t="s">
        <v>2277</v>
      </c>
      <c r="N627" t="s">
        <v>2277</v>
      </c>
      <c r="O627" s="190" t="str">
        <f t="shared" si="9"/>
        <v>[S05_DefaultValues][129][FuelMaterialType]</v>
      </c>
    </row>
    <row r="628" spans="1:15" x14ac:dyDescent="0.3">
      <c r="A628" t="s">
        <v>2278</v>
      </c>
      <c r="B628" t="s">
        <v>1847</v>
      </c>
      <c r="C628" t="s">
        <v>1855</v>
      </c>
      <c r="D628">
        <v>130</v>
      </c>
      <c r="E628" t="s">
        <v>1447</v>
      </c>
      <c r="F628" t="s">
        <v>1857</v>
      </c>
      <c r="G628" t="s">
        <v>1741</v>
      </c>
      <c r="H628" t="s">
        <v>2420</v>
      </c>
      <c r="I628" t="s">
        <v>2277</v>
      </c>
      <c r="J628" t="s">
        <v>2277</v>
      </c>
      <c r="K628" t="s">
        <v>2277</v>
      </c>
      <c r="L628" t="s">
        <v>2277</v>
      </c>
      <c r="M628" t="s">
        <v>2277</v>
      </c>
      <c r="N628" t="s">
        <v>2277</v>
      </c>
      <c r="O628" s="190" t="str">
        <f t="shared" si="9"/>
        <v>[S05_DefaultValues][130][FuelMaterialType]</v>
      </c>
    </row>
    <row r="629" spans="1:15" x14ac:dyDescent="0.3">
      <c r="A629" t="s">
        <v>2278</v>
      </c>
      <c r="B629" t="s">
        <v>1847</v>
      </c>
      <c r="C629" t="s">
        <v>1855</v>
      </c>
      <c r="D629">
        <v>131</v>
      </c>
      <c r="E629" t="s">
        <v>1447</v>
      </c>
      <c r="F629" t="s">
        <v>1857</v>
      </c>
      <c r="G629" t="s">
        <v>1741</v>
      </c>
      <c r="H629" t="s">
        <v>2451</v>
      </c>
      <c r="I629" t="s">
        <v>2277</v>
      </c>
      <c r="J629" t="s">
        <v>2277</v>
      </c>
      <c r="K629" t="s">
        <v>2277</v>
      </c>
      <c r="L629" t="s">
        <v>2277</v>
      </c>
      <c r="M629" t="s">
        <v>2277</v>
      </c>
      <c r="N629" t="s">
        <v>2277</v>
      </c>
      <c r="O629" s="190" t="str">
        <f t="shared" si="9"/>
        <v>[S05_DefaultValues][131][FuelMaterialType]</v>
      </c>
    </row>
    <row r="630" spans="1:15" x14ac:dyDescent="0.3">
      <c r="A630" t="s">
        <v>2278</v>
      </c>
      <c r="B630" t="s">
        <v>1847</v>
      </c>
      <c r="C630" t="s">
        <v>1855</v>
      </c>
      <c r="D630">
        <v>132</v>
      </c>
      <c r="E630" t="s">
        <v>1447</v>
      </c>
      <c r="F630" t="s">
        <v>1857</v>
      </c>
      <c r="G630" t="s">
        <v>1741</v>
      </c>
      <c r="H630" t="s">
        <v>2450</v>
      </c>
      <c r="I630" t="s">
        <v>2277</v>
      </c>
      <c r="J630" t="s">
        <v>2277</v>
      </c>
      <c r="K630" t="s">
        <v>2277</v>
      </c>
      <c r="L630" t="s">
        <v>2277</v>
      </c>
      <c r="M630" t="s">
        <v>2277</v>
      </c>
      <c r="N630" t="s">
        <v>2277</v>
      </c>
      <c r="O630" s="190" t="str">
        <f t="shared" si="9"/>
        <v>[S05_DefaultValues][132][FuelMaterialType]</v>
      </c>
    </row>
    <row r="631" spans="1:15" x14ac:dyDescent="0.3">
      <c r="A631" t="s">
        <v>2278</v>
      </c>
      <c r="B631" t="s">
        <v>1847</v>
      </c>
      <c r="C631" t="s">
        <v>1855</v>
      </c>
      <c r="D631">
        <v>133</v>
      </c>
      <c r="E631" t="s">
        <v>1447</v>
      </c>
      <c r="F631" t="s">
        <v>1857</v>
      </c>
      <c r="G631" t="s">
        <v>1741</v>
      </c>
      <c r="H631" t="s">
        <v>2449</v>
      </c>
      <c r="I631" t="s">
        <v>2277</v>
      </c>
      <c r="J631" t="s">
        <v>2277</v>
      </c>
      <c r="K631" t="s">
        <v>2277</v>
      </c>
      <c r="L631" t="s">
        <v>2277</v>
      </c>
      <c r="M631" t="s">
        <v>2277</v>
      </c>
      <c r="N631" t="s">
        <v>2277</v>
      </c>
      <c r="O631" s="190" t="str">
        <f t="shared" si="9"/>
        <v>[S05_DefaultValues][133][FuelMaterialType]</v>
      </c>
    </row>
    <row r="632" spans="1:15" x14ac:dyDescent="0.3">
      <c r="A632" t="s">
        <v>2278</v>
      </c>
      <c r="B632" t="s">
        <v>1847</v>
      </c>
      <c r="C632" t="s">
        <v>1855</v>
      </c>
      <c r="D632">
        <v>134</v>
      </c>
      <c r="E632" t="s">
        <v>1447</v>
      </c>
      <c r="F632" t="s">
        <v>1857</v>
      </c>
      <c r="G632" t="s">
        <v>1741</v>
      </c>
      <c r="H632" t="s">
        <v>2448</v>
      </c>
      <c r="I632" t="s">
        <v>2277</v>
      </c>
      <c r="J632" t="s">
        <v>2277</v>
      </c>
      <c r="K632" t="s">
        <v>2277</v>
      </c>
      <c r="L632" t="s">
        <v>2277</v>
      </c>
      <c r="M632" t="s">
        <v>2277</v>
      </c>
      <c r="N632" t="s">
        <v>2277</v>
      </c>
      <c r="O632" s="190" t="str">
        <f t="shared" si="9"/>
        <v>[S05_DefaultValues][134][FuelMaterialType]</v>
      </c>
    </row>
    <row r="633" spans="1:15" x14ac:dyDescent="0.3">
      <c r="A633" t="s">
        <v>2278</v>
      </c>
      <c r="B633" t="s">
        <v>1847</v>
      </c>
      <c r="C633" t="s">
        <v>1855</v>
      </c>
      <c r="D633">
        <v>135</v>
      </c>
      <c r="E633" t="s">
        <v>1447</v>
      </c>
      <c r="F633" t="s">
        <v>1857</v>
      </c>
      <c r="G633" t="s">
        <v>1741</v>
      </c>
      <c r="H633" t="s">
        <v>2418</v>
      </c>
      <c r="I633" t="s">
        <v>2277</v>
      </c>
      <c r="J633" t="s">
        <v>2277</v>
      </c>
      <c r="K633" t="s">
        <v>2277</v>
      </c>
      <c r="L633" t="s">
        <v>2277</v>
      </c>
      <c r="M633" t="s">
        <v>2277</v>
      </c>
      <c r="N633" t="s">
        <v>2277</v>
      </c>
      <c r="O633" s="190" t="str">
        <f t="shared" si="9"/>
        <v>[S05_DefaultValues][135][FuelMaterialType]</v>
      </c>
    </row>
    <row r="634" spans="1:15" x14ac:dyDescent="0.3">
      <c r="A634" t="s">
        <v>2278</v>
      </c>
      <c r="B634" t="s">
        <v>1847</v>
      </c>
      <c r="C634" t="s">
        <v>1855</v>
      </c>
      <c r="D634">
        <v>136</v>
      </c>
      <c r="E634" t="s">
        <v>1447</v>
      </c>
      <c r="F634" t="s">
        <v>1857</v>
      </c>
      <c r="G634" t="s">
        <v>1741</v>
      </c>
      <c r="H634" t="s">
        <v>2417</v>
      </c>
      <c r="I634" t="s">
        <v>2277</v>
      </c>
      <c r="J634" t="s">
        <v>2277</v>
      </c>
      <c r="K634" t="s">
        <v>2277</v>
      </c>
      <c r="L634" t="s">
        <v>2277</v>
      </c>
      <c r="M634" t="s">
        <v>2277</v>
      </c>
      <c r="N634" t="s">
        <v>2277</v>
      </c>
      <c r="O634" s="190" t="str">
        <f t="shared" si="9"/>
        <v>[S05_DefaultValues][136][FuelMaterialType]</v>
      </c>
    </row>
    <row r="635" spans="1:15" x14ac:dyDescent="0.3">
      <c r="A635" t="s">
        <v>2278</v>
      </c>
      <c r="B635" t="s">
        <v>1847</v>
      </c>
      <c r="C635" t="s">
        <v>1855</v>
      </c>
      <c r="D635">
        <v>137</v>
      </c>
      <c r="E635" t="s">
        <v>1447</v>
      </c>
      <c r="F635" t="s">
        <v>1857</v>
      </c>
      <c r="G635" t="s">
        <v>1741</v>
      </c>
      <c r="H635" t="s">
        <v>2447</v>
      </c>
      <c r="I635" t="s">
        <v>2277</v>
      </c>
      <c r="J635" t="s">
        <v>2277</v>
      </c>
      <c r="K635" t="s">
        <v>2277</v>
      </c>
      <c r="L635" t="s">
        <v>2277</v>
      </c>
      <c r="M635" t="s">
        <v>2277</v>
      </c>
      <c r="N635" t="s">
        <v>2277</v>
      </c>
      <c r="O635" s="190" t="str">
        <f t="shared" si="9"/>
        <v>[S05_DefaultValues][137][FuelMaterialType]</v>
      </c>
    </row>
    <row r="636" spans="1:15" x14ac:dyDescent="0.3">
      <c r="A636" t="s">
        <v>2278</v>
      </c>
      <c r="B636" t="s">
        <v>1847</v>
      </c>
      <c r="C636" t="s">
        <v>1855</v>
      </c>
      <c r="D636">
        <v>138</v>
      </c>
      <c r="E636" t="s">
        <v>1447</v>
      </c>
      <c r="F636" t="s">
        <v>1857</v>
      </c>
      <c r="G636" t="s">
        <v>1741</v>
      </c>
      <c r="H636" t="s">
        <v>2446</v>
      </c>
      <c r="I636" t="s">
        <v>2277</v>
      </c>
      <c r="J636" t="s">
        <v>2277</v>
      </c>
      <c r="K636" t="s">
        <v>2277</v>
      </c>
      <c r="L636" t="s">
        <v>2277</v>
      </c>
      <c r="M636" t="s">
        <v>2277</v>
      </c>
      <c r="N636" t="s">
        <v>2277</v>
      </c>
      <c r="O636" s="190" t="str">
        <f t="shared" si="9"/>
        <v>[S05_DefaultValues][138][FuelMaterialType]</v>
      </c>
    </row>
    <row r="637" spans="1:15" x14ac:dyDescent="0.3">
      <c r="A637" t="s">
        <v>2278</v>
      </c>
      <c r="B637" t="s">
        <v>1847</v>
      </c>
      <c r="C637" t="s">
        <v>1855</v>
      </c>
      <c r="D637">
        <v>139</v>
      </c>
      <c r="E637" t="s">
        <v>1447</v>
      </c>
      <c r="F637" t="s">
        <v>1857</v>
      </c>
      <c r="G637" t="s">
        <v>1741</v>
      </c>
      <c r="H637" t="s">
        <v>2445</v>
      </c>
      <c r="I637" t="s">
        <v>2277</v>
      </c>
      <c r="J637" t="s">
        <v>2277</v>
      </c>
      <c r="K637" t="s">
        <v>2277</v>
      </c>
      <c r="L637" t="s">
        <v>2277</v>
      </c>
      <c r="M637" t="s">
        <v>2277</v>
      </c>
      <c r="N637" t="s">
        <v>2277</v>
      </c>
      <c r="O637" s="190" t="str">
        <f t="shared" si="9"/>
        <v>[S05_DefaultValues][139][FuelMaterialType]</v>
      </c>
    </row>
    <row r="638" spans="1:15" x14ac:dyDescent="0.3">
      <c r="A638" t="s">
        <v>2278</v>
      </c>
      <c r="B638" t="s">
        <v>1847</v>
      </c>
      <c r="C638" t="s">
        <v>1855</v>
      </c>
      <c r="D638">
        <v>140</v>
      </c>
      <c r="E638" t="s">
        <v>1447</v>
      </c>
      <c r="F638" t="s">
        <v>1857</v>
      </c>
      <c r="G638" t="s">
        <v>1741</v>
      </c>
      <c r="H638" t="s">
        <v>2444</v>
      </c>
      <c r="I638" t="s">
        <v>2277</v>
      </c>
      <c r="J638" t="s">
        <v>2277</v>
      </c>
      <c r="K638" t="s">
        <v>2277</v>
      </c>
      <c r="L638" t="s">
        <v>2277</v>
      </c>
      <c r="M638" t="s">
        <v>2277</v>
      </c>
      <c r="N638" t="s">
        <v>2277</v>
      </c>
      <c r="O638" s="190" t="str">
        <f t="shared" si="9"/>
        <v>[S05_DefaultValues][140][FuelMaterialType]</v>
      </c>
    </row>
    <row r="639" spans="1:15" x14ac:dyDescent="0.3">
      <c r="A639" t="s">
        <v>2278</v>
      </c>
      <c r="B639" t="s">
        <v>1847</v>
      </c>
      <c r="C639" t="s">
        <v>1855</v>
      </c>
      <c r="D639">
        <v>141</v>
      </c>
      <c r="E639" t="s">
        <v>1447</v>
      </c>
      <c r="F639" t="s">
        <v>1857</v>
      </c>
      <c r="G639" t="s">
        <v>1741</v>
      </c>
      <c r="H639" t="s">
        <v>2406</v>
      </c>
      <c r="I639" t="s">
        <v>2277</v>
      </c>
      <c r="J639" t="s">
        <v>2277</v>
      </c>
      <c r="K639" t="s">
        <v>2277</v>
      </c>
      <c r="L639" t="s">
        <v>2277</v>
      </c>
      <c r="M639" t="s">
        <v>2277</v>
      </c>
      <c r="N639" t="s">
        <v>2277</v>
      </c>
      <c r="O639" s="190" t="str">
        <f t="shared" si="9"/>
        <v>[S05_DefaultValues][141][FuelMaterialType]</v>
      </c>
    </row>
    <row r="640" spans="1:15" x14ac:dyDescent="0.3">
      <c r="A640" t="s">
        <v>2278</v>
      </c>
      <c r="B640" t="s">
        <v>1847</v>
      </c>
      <c r="C640" t="s">
        <v>1855</v>
      </c>
      <c r="D640">
        <v>142</v>
      </c>
      <c r="E640" t="s">
        <v>1447</v>
      </c>
      <c r="F640" t="s">
        <v>1857</v>
      </c>
      <c r="G640" t="s">
        <v>1741</v>
      </c>
      <c r="H640" t="s">
        <v>2405</v>
      </c>
      <c r="I640" t="s">
        <v>2277</v>
      </c>
      <c r="J640" t="s">
        <v>2277</v>
      </c>
      <c r="K640" t="s">
        <v>2277</v>
      </c>
      <c r="L640" t="s">
        <v>2277</v>
      </c>
      <c r="M640" t="s">
        <v>2277</v>
      </c>
      <c r="N640" t="s">
        <v>2277</v>
      </c>
      <c r="O640" s="190" t="str">
        <f t="shared" si="9"/>
        <v>[S05_DefaultValues][142][FuelMaterialType]</v>
      </c>
    </row>
    <row r="641" spans="1:15" x14ac:dyDescent="0.3">
      <c r="A641" t="s">
        <v>2278</v>
      </c>
      <c r="B641" t="s">
        <v>1847</v>
      </c>
      <c r="C641" t="s">
        <v>1855</v>
      </c>
      <c r="D641">
        <v>143</v>
      </c>
      <c r="E641" t="s">
        <v>1447</v>
      </c>
      <c r="F641" t="s">
        <v>1857</v>
      </c>
      <c r="G641" t="s">
        <v>1741</v>
      </c>
      <c r="H641" t="s">
        <v>2443</v>
      </c>
      <c r="I641" t="s">
        <v>2277</v>
      </c>
      <c r="J641" t="s">
        <v>2277</v>
      </c>
      <c r="K641" t="s">
        <v>2277</v>
      </c>
      <c r="L641" t="s">
        <v>2277</v>
      </c>
      <c r="M641" t="s">
        <v>2277</v>
      </c>
      <c r="N641" t="s">
        <v>2277</v>
      </c>
      <c r="O641" s="190" t="str">
        <f t="shared" si="9"/>
        <v>[S05_DefaultValues][143][FuelMaterialType]</v>
      </c>
    </row>
    <row r="642" spans="1:15" x14ac:dyDescent="0.3">
      <c r="A642" t="s">
        <v>2278</v>
      </c>
      <c r="B642" t="s">
        <v>1847</v>
      </c>
      <c r="C642" t="s">
        <v>1855</v>
      </c>
      <c r="D642">
        <v>144</v>
      </c>
      <c r="E642" t="s">
        <v>1447</v>
      </c>
      <c r="F642" t="s">
        <v>1857</v>
      </c>
      <c r="G642" t="s">
        <v>1741</v>
      </c>
      <c r="H642" t="s">
        <v>2442</v>
      </c>
      <c r="I642" t="s">
        <v>2277</v>
      </c>
      <c r="J642" t="s">
        <v>2277</v>
      </c>
      <c r="K642" t="s">
        <v>2277</v>
      </c>
      <c r="L642" t="s">
        <v>2277</v>
      </c>
      <c r="M642" t="s">
        <v>2277</v>
      </c>
      <c r="N642" t="s">
        <v>2277</v>
      </c>
      <c r="O642" s="190" t="str">
        <f t="shared" ref="O642:O705" si="10">"["&amp;$C642&amp;"]["&amp;$D642&amp;"]["&amp;$F642&amp;"]"</f>
        <v>[S05_DefaultValues][144][FuelMaterialType]</v>
      </c>
    </row>
    <row r="643" spans="1:15" x14ac:dyDescent="0.3">
      <c r="A643" t="s">
        <v>2278</v>
      </c>
      <c r="B643" t="s">
        <v>1847</v>
      </c>
      <c r="C643" t="s">
        <v>1855</v>
      </c>
      <c r="D643">
        <v>145</v>
      </c>
      <c r="E643" t="s">
        <v>1447</v>
      </c>
      <c r="F643" t="s">
        <v>1857</v>
      </c>
      <c r="G643" t="s">
        <v>1741</v>
      </c>
      <c r="H643" t="s">
        <v>2404</v>
      </c>
      <c r="I643" t="s">
        <v>2277</v>
      </c>
      <c r="J643" t="s">
        <v>2277</v>
      </c>
      <c r="K643" t="s">
        <v>2277</v>
      </c>
      <c r="L643" t="s">
        <v>2277</v>
      </c>
      <c r="M643" t="s">
        <v>2277</v>
      </c>
      <c r="N643" t="s">
        <v>2277</v>
      </c>
      <c r="O643" s="190" t="str">
        <f t="shared" si="10"/>
        <v>[S05_DefaultValues][145][FuelMaterialType]</v>
      </c>
    </row>
    <row r="644" spans="1:15" x14ac:dyDescent="0.3">
      <c r="A644" t="s">
        <v>2278</v>
      </c>
      <c r="B644" t="s">
        <v>1847</v>
      </c>
      <c r="C644" t="s">
        <v>1855</v>
      </c>
      <c r="D644">
        <v>146</v>
      </c>
      <c r="E644" t="s">
        <v>1447</v>
      </c>
      <c r="F644" t="s">
        <v>1857</v>
      </c>
      <c r="G644" t="s">
        <v>1741</v>
      </c>
      <c r="H644" t="s">
        <v>2441</v>
      </c>
      <c r="I644" t="s">
        <v>2277</v>
      </c>
      <c r="J644" t="s">
        <v>2277</v>
      </c>
      <c r="K644" t="s">
        <v>2277</v>
      </c>
      <c r="L644" t="s">
        <v>2277</v>
      </c>
      <c r="M644" t="s">
        <v>2277</v>
      </c>
      <c r="N644" t="s">
        <v>2277</v>
      </c>
      <c r="O644" s="190" t="str">
        <f t="shared" si="10"/>
        <v>[S05_DefaultValues][146][FuelMaterialType]</v>
      </c>
    </row>
    <row r="645" spans="1:15" x14ac:dyDescent="0.3">
      <c r="A645" t="s">
        <v>2278</v>
      </c>
      <c r="B645" t="s">
        <v>1847</v>
      </c>
      <c r="C645" t="s">
        <v>1855</v>
      </c>
      <c r="D645">
        <v>147</v>
      </c>
      <c r="E645" t="s">
        <v>1447</v>
      </c>
      <c r="F645" t="s">
        <v>1857</v>
      </c>
      <c r="G645" t="s">
        <v>1741</v>
      </c>
      <c r="H645" t="s">
        <v>2403</v>
      </c>
      <c r="I645" t="s">
        <v>2277</v>
      </c>
      <c r="J645" t="s">
        <v>2277</v>
      </c>
      <c r="K645" t="s">
        <v>2277</v>
      </c>
      <c r="L645" t="s">
        <v>2277</v>
      </c>
      <c r="M645" t="s">
        <v>2277</v>
      </c>
      <c r="N645" t="s">
        <v>2277</v>
      </c>
      <c r="O645" s="190" t="str">
        <f t="shared" si="10"/>
        <v>[S05_DefaultValues][147][FuelMaterialType]</v>
      </c>
    </row>
    <row r="646" spans="1:15" x14ac:dyDescent="0.3">
      <c r="A646" t="s">
        <v>2278</v>
      </c>
      <c r="B646" t="s">
        <v>1847</v>
      </c>
      <c r="C646" t="s">
        <v>1855</v>
      </c>
      <c r="D646">
        <v>148</v>
      </c>
      <c r="E646" t="s">
        <v>1447</v>
      </c>
      <c r="F646" t="s">
        <v>1857</v>
      </c>
      <c r="G646" t="s">
        <v>1741</v>
      </c>
      <c r="H646" t="s">
        <v>2440</v>
      </c>
      <c r="I646" t="s">
        <v>2277</v>
      </c>
      <c r="J646" t="s">
        <v>2277</v>
      </c>
      <c r="K646" t="s">
        <v>2277</v>
      </c>
      <c r="L646" t="s">
        <v>2277</v>
      </c>
      <c r="M646" t="s">
        <v>2277</v>
      </c>
      <c r="N646" t="s">
        <v>2277</v>
      </c>
      <c r="O646" s="190" t="str">
        <f t="shared" si="10"/>
        <v>[S05_DefaultValues][148][FuelMaterialType]</v>
      </c>
    </row>
    <row r="647" spans="1:15" x14ac:dyDescent="0.3">
      <c r="A647" t="s">
        <v>2278</v>
      </c>
      <c r="B647" t="s">
        <v>1847</v>
      </c>
      <c r="C647" t="s">
        <v>1855</v>
      </c>
      <c r="D647">
        <v>149</v>
      </c>
      <c r="E647" t="s">
        <v>1447</v>
      </c>
      <c r="F647" t="s">
        <v>1857</v>
      </c>
      <c r="G647" t="s">
        <v>1741</v>
      </c>
      <c r="H647" t="s">
        <v>2439</v>
      </c>
      <c r="I647" t="s">
        <v>2277</v>
      </c>
      <c r="J647" t="s">
        <v>2277</v>
      </c>
      <c r="K647" t="s">
        <v>2277</v>
      </c>
      <c r="L647" t="s">
        <v>2277</v>
      </c>
      <c r="M647" t="s">
        <v>2277</v>
      </c>
      <c r="N647" t="s">
        <v>2277</v>
      </c>
      <c r="O647" s="190" t="str">
        <f t="shared" si="10"/>
        <v>[S05_DefaultValues][149][FuelMaterialType]</v>
      </c>
    </row>
    <row r="648" spans="1:15" x14ac:dyDescent="0.3">
      <c r="A648" t="s">
        <v>2278</v>
      </c>
      <c r="B648" t="s">
        <v>1847</v>
      </c>
      <c r="C648" t="s">
        <v>1855</v>
      </c>
      <c r="D648">
        <v>150</v>
      </c>
      <c r="E648" t="s">
        <v>1447</v>
      </c>
      <c r="F648" t="s">
        <v>1857</v>
      </c>
      <c r="G648" t="s">
        <v>1741</v>
      </c>
      <c r="H648" t="s">
        <v>2438</v>
      </c>
      <c r="I648" t="s">
        <v>2277</v>
      </c>
      <c r="J648" t="s">
        <v>2277</v>
      </c>
      <c r="K648" t="s">
        <v>2277</v>
      </c>
      <c r="L648" t="s">
        <v>2277</v>
      </c>
      <c r="M648" t="s">
        <v>2277</v>
      </c>
      <c r="N648" t="s">
        <v>2277</v>
      </c>
      <c r="O648" s="190" t="str">
        <f t="shared" si="10"/>
        <v>[S05_DefaultValues][150][FuelMaterialType]</v>
      </c>
    </row>
    <row r="649" spans="1:15" x14ac:dyDescent="0.3">
      <c r="A649" t="s">
        <v>2278</v>
      </c>
      <c r="B649" t="s">
        <v>1847</v>
      </c>
      <c r="C649" t="s">
        <v>1855</v>
      </c>
      <c r="D649">
        <v>151</v>
      </c>
      <c r="E649" t="s">
        <v>1447</v>
      </c>
      <c r="F649" t="s">
        <v>1857</v>
      </c>
      <c r="G649" t="s">
        <v>1741</v>
      </c>
      <c r="H649" t="s">
        <v>2437</v>
      </c>
      <c r="I649" t="s">
        <v>2277</v>
      </c>
      <c r="J649" t="s">
        <v>2277</v>
      </c>
      <c r="K649" t="s">
        <v>2277</v>
      </c>
      <c r="L649" t="s">
        <v>2277</v>
      </c>
      <c r="M649" t="s">
        <v>2277</v>
      </c>
      <c r="N649" t="s">
        <v>2277</v>
      </c>
      <c r="O649" s="190" t="str">
        <f t="shared" si="10"/>
        <v>[S05_DefaultValues][151][FuelMaterialType]</v>
      </c>
    </row>
    <row r="650" spans="1:15" x14ac:dyDescent="0.3">
      <c r="A650" t="s">
        <v>2278</v>
      </c>
      <c r="B650" t="s">
        <v>1847</v>
      </c>
      <c r="C650" t="s">
        <v>1855</v>
      </c>
      <c r="D650">
        <v>152</v>
      </c>
      <c r="E650" t="s">
        <v>1447</v>
      </c>
      <c r="F650" t="s">
        <v>1857</v>
      </c>
      <c r="G650" t="s">
        <v>1741</v>
      </c>
      <c r="H650" t="s">
        <v>2436</v>
      </c>
      <c r="I650" t="s">
        <v>2277</v>
      </c>
      <c r="J650" t="s">
        <v>2277</v>
      </c>
      <c r="K650" t="s">
        <v>2277</v>
      </c>
      <c r="L650" t="s">
        <v>2277</v>
      </c>
      <c r="M650" t="s">
        <v>2277</v>
      </c>
      <c r="N650" t="s">
        <v>2277</v>
      </c>
      <c r="O650" s="190" t="str">
        <f t="shared" si="10"/>
        <v>[S05_DefaultValues][152][FuelMaterialType]</v>
      </c>
    </row>
    <row r="651" spans="1:15" x14ac:dyDescent="0.3">
      <c r="A651" t="s">
        <v>2278</v>
      </c>
      <c r="B651" t="s">
        <v>1847</v>
      </c>
      <c r="C651" t="s">
        <v>1855</v>
      </c>
      <c r="D651">
        <v>153</v>
      </c>
      <c r="E651" t="s">
        <v>1447</v>
      </c>
      <c r="F651" t="s">
        <v>1857</v>
      </c>
      <c r="G651" t="s">
        <v>1741</v>
      </c>
      <c r="H651" t="s">
        <v>2435</v>
      </c>
      <c r="I651" t="s">
        <v>2277</v>
      </c>
      <c r="J651" t="s">
        <v>2277</v>
      </c>
      <c r="K651" t="s">
        <v>2277</v>
      </c>
      <c r="L651" t="s">
        <v>2277</v>
      </c>
      <c r="M651" t="s">
        <v>2277</v>
      </c>
      <c r="N651" t="s">
        <v>2277</v>
      </c>
      <c r="O651" s="190" t="str">
        <f t="shared" si="10"/>
        <v>[S05_DefaultValues][153][FuelMaterialType]</v>
      </c>
    </row>
    <row r="652" spans="1:15" x14ac:dyDescent="0.3">
      <c r="A652" t="s">
        <v>2278</v>
      </c>
      <c r="B652" t="s">
        <v>1847</v>
      </c>
      <c r="C652" t="s">
        <v>1855</v>
      </c>
      <c r="D652">
        <v>154</v>
      </c>
      <c r="E652" t="s">
        <v>1447</v>
      </c>
      <c r="F652" t="s">
        <v>1857</v>
      </c>
      <c r="G652" t="s">
        <v>1741</v>
      </c>
      <c r="H652" t="s">
        <v>2434</v>
      </c>
      <c r="I652" t="s">
        <v>2277</v>
      </c>
      <c r="J652" t="s">
        <v>2277</v>
      </c>
      <c r="K652" t="s">
        <v>2277</v>
      </c>
      <c r="L652" t="s">
        <v>2277</v>
      </c>
      <c r="M652" t="s">
        <v>2277</v>
      </c>
      <c r="N652" t="s">
        <v>2277</v>
      </c>
      <c r="O652" s="190" t="str">
        <f t="shared" si="10"/>
        <v>[S05_DefaultValues][154][FuelMaterialType]</v>
      </c>
    </row>
    <row r="653" spans="1:15" x14ac:dyDescent="0.3">
      <c r="A653" t="s">
        <v>2278</v>
      </c>
      <c r="B653" t="s">
        <v>1847</v>
      </c>
      <c r="C653" t="s">
        <v>1855</v>
      </c>
      <c r="D653">
        <v>155</v>
      </c>
      <c r="E653" t="s">
        <v>1447</v>
      </c>
      <c r="F653" t="s">
        <v>1857</v>
      </c>
      <c r="G653" t="s">
        <v>1741</v>
      </c>
      <c r="H653" t="s">
        <v>2401</v>
      </c>
      <c r="I653" t="s">
        <v>2277</v>
      </c>
      <c r="J653" t="s">
        <v>2277</v>
      </c>
      <c r="K653" t="s">
        <v>2277</v>
      </c>
      <c r="L653" t="s">
        <v>2277</v>
      </c>
      <c r="M653" t="s">
        <v>2277</v>
      </c>
      <c r="N653" t="s">
        <v>2277</v>
      </c>
      <c r="O653" s="190" t="str">
        <f t="shared" si="10"/>
        <v>[S05_DefaultValues][155][FuelMaterialType]</v>
      </c>
    </row>
    <row r="654" spans="1:15" x14ac:dyDescent="0.3">
      <c r="A654" t="s">
        <v>2278</v>
      </c>
      <c r="B654" t="s">
        <v>1847</v>
      </c>
      <c r="C654" t="s">
        <v>1855</v>
      </c>
      <c r="D654">
        <v>156</v>
      </c>
      <c r="E654" t="s">
        <v>1447</v>
      </c>
      <c r="F654" t="s">
        <v>1857</v>
      </c>
      <c r="G654" t="s">
        <v>1741</v>
      </c>
      <c r="H654" t="s">
        <v>2433</v>
      </c>
      <c r="I654" t="s">
        <v>2277</v>
      </c>
      <c r="J654" t="s">
        <v>2277</v>
      </c>
      <c r="K654" t="s">
        <v>2277</v>
      </c>
      <c r="L654" t="s">
        <v>2277</v>
      </c>
      <c r="M654" t="s">
        <v>2277</v>
      </c>
      <c r="N654" t="s">
        <v>2277</v>
      </c>
      <c r="O654" s="190" t="str">
        <f t="shared" si="10"/>
        <v>[S05_DefaultValues][156][FuelMaterialType]</v>
      </c>
    </row>
    <row r="655" spans="1:15" x14ac:dyDescent="0.3">
      <c r="A655" t="s">
        <v>2278</v>
      </c>
      <c r="B655" t="s">
        <v>1847</v>
      </c>
      <c r="C655" t="s">
        <v>1855</v>
      </c>
      <c r="D655">
        <v>157</v>
      </c>
      <c r="E655" t="s">
        <v>1447</v>
      </c>
      <c r="F655" t="s">
        <v>1857</v>
      </c>
      <c r="G655" t="s">
        <v>1741</v>
      </c>
      <c r="H655" t="s">
        <v>2399</v>
      </c>
      <c r="I655" t="s">
        <v>2277</v>
      </c>
      <c r="J655" t="s">
        <v>2277</v>
      </c>
      <c r="K655" t="s">
        <v>2277</v>
      </c>
      <c r="L655" t="s">
        <v>2277</v>
      </c>
      <c r="M655" t="s">
        <v>2277</v>
      </c>
      <c r="N655" t="s">
        <v>2277</v>
      </c>
      <c r="O655" s="190" t="str">
        <f t="shared" si="10"/>
        <v>[S05_DefaultValues][157][FuelMaterialType]</v>
      </c>
    </row>
    <row r="656" spans="1:15" x14ac:dyDescent="0.3">
      <c r="A656" t="s">
        <v>2278</v>
      </c>
      <c r="B656" t="s">
        <v>1847</v>
      </c>
      <c r="C656" t="s">
        <v>1855</v>
      </c>
      <c r="D656">
        <v>158</v>
      </c>
      <c r="E656" t="s">
        <v>1447</v>
      </c>
      <c r="F656" t="s">
        <v>1857</v>
      </c>
      <c r="G656" t="s">
        <v>1741</v>
      </c>
      <c r="H656" t="s">
        <v>2432</v>
      </c>
      <c r="I656" t="s">
        <v>2277</v>
      </c>
      <c r="J656" t="s">
        <v>2277</v>
      </c>
      <c r="K656" t="s">
        <v>2277</v>
      </c>
      <c r="L656" t="s">
        <v>2277</v>
      </c>
      <c r="M656" t="s">
        <v>2277</v>
      </c>
      <c r="N656" t="s">
        <v>2277</v>
      </c>
      <c r="O656" s="190" t="str">
        <f t="shared" si="10"/>
        <v>[S05_DefaultValues][158][FuelMaterialType]</v>
      </c>
    </row>
    <row r="657" spans="1:15" x14ac:dyDescent="0.3">
      <c r="A657" t="s">
        <v>2278</v>
      </c>
      <c r="B657" t="s">
        <v>1847</v>
      </c>
      <c r="C657" t="s">
        <v>1855</v>
      </c>
      <c r="D657">
        <v>159</v>
      </c>
      <c r="E657" t="s">
        <v>1447</v>
      </c>
      <c r="F657" t="s">
        <v>1857</v>
      </c>
      <c r="G657" t="s">
        <v>1741</v>
      </c>
      <c r="H657" t="s">
        <v>2398</v>
      </c>
      <c r="I657" t="s">
        <v>2277</v>
      </c>
      <c r="J657" t="s">
        <v>2277</v>
      </c>
      <c r="K657" t="s">
        <v>2277</v>
      </c>
      <c r="L657" t="s">
        <v>2277</v>
      </c>
      <c r="M657" t="s">
        <v>2277</v>
      </c>
      <c r="N657" t="s">
        <v>2277</v>
      </c>
      <c r="O657" s="190" t="str">
        <f t="shared" si="10"/>
        <v>[S05_DefaultValues][159][FuelMaterialType]</v>
      </c>
    </row>
    <row r="658" spans="1:15" x14ac:dyDescent="0.3">
      <c r="A658" t="s">
        <v>2278</v>
      </c>
      <c r="B658" t="s">
        <v>1847</v>
      </c>
      <c r="C658" t="s">
        <v>1855</v>
      </c>
      <c r="D658">
        <v>160</v>
      </c>
      <c r="E658" t="s">
        <v>1447</v>
      </c>
      <c r="F658" t="s">
        <v>1857</v>
      </c>
      <c r="G658" t="s">
        <v>1741</v>
      </c>
      <c r="H658" t="s">
        <v>2397</v>
      </c>
      <c r="I658" t="s">
        <v>2277</v>
      </c>
      <c r="J658" t="s">
        <v>2277</v>
      </c>
      <c r="K658" t="s">
        <v>2277</v>
      </c>
      <c r="L658" t="s">
        <v>2277</v>
      </c>
      <c r="M658" t="s">
        <v>2277</v>
      </c>
      <c r="N658" t="s">
        <v>2277</v>
      </c>
      <c r="O658" s="190" t="str">
        <f t="shared" si="10"/>
        <v>[S05_DefaultValues][160][FuelMaterialType]</v>
      </c>
    </row>
    <row r="659" spans="1:15" x14ac:dyDescent="0.3">
      <c r="A659" t="s">
        <v>2278</v>
      </c>
      <c r="B659" t="s">
        <v>1847</v>
      </c>
      <c r="C659" t="s">
        <v>1855</v>
      </c>
      <c r="D659">
        <v>161</v>
      </c>
      <c r="E659" t="s">
        <v>1447</v>
      </c>
      <c r="F659" t="s">
        <v>1857</v>
      </c>
      <c r="G659" t="s">
        <v>1741</v>
      </c>
      <c r="H659" t="s">
        <v>2396</v>
      </c>
      <c r="I659" t="s">
        <v>2277</v>
      </c>
      <c r="J659" t="s">
        <v>2277</v>
      </c>
      <c r="K659" t="s">
        <v>2277</v>
      </c>
      <c r="L659" t="s">
        <v>2277</v>
      </c>
      <c r="M659" t="s">
        <v>2277</v>
      </c>
      <c r="N659" t="s">
        <v>2277</v>
      </c>
      <c r="O659" s="190" t="str">
        <f t="shared" si="10"/>
        <v>[S05_DefaultValues][161][FuelMaterialType]</v>
      </c>
    </row>
    <row r="660" spans="1:15" x14ac:dyDescent="0.3">
      <c r="A660" t="s">
        <v>2278</v>
      </c>
      <c r="B660" t="s">
        <v>1847</v>
      </c>
      <c r="C660" t="s">
        <v>1855</v>
      </c>
      <c r="D660">
        <v>162</v>
      </c>
      <c r="E660" t="s">
        <v>1447</v>
      </c>
      <c r="F660" t="s">
        <v>1857</v>
      </c>
      <c r="G660" t="s">
        <v>1741</v>
      </c>
      <c r="H660" t="s">
        <v>2386</v>
      </c>
      <c r="I660" t="s">
        <v>2277</v>
      </c>
      <c r="J660" t="s">
        <v>2277</v>
      </c>
      <c r="K660" t="s">
        <v>2277</v>
      </c>
      <c r="L660" t="s">
        <v>2277</v>
      </c>
      <c r="M660" t="s">
        <v>2277</v>
      </c>
      <c r="N660" t="s">
        <v>2277</v>
      </c>
      <c r="O660" s="190" t="str">
        <f t="shared" si="10"/>
        <v>[S05_DefaultValues][162][FuelMaterialType]</v>
      </c>
    </row>
    <row r="661" spans="1:15" x14ac:dyDescent="0.3">
      <c r="A661" t="s">
        <v>2278</v>
      </c>
      <c r="B661" t="s">
        <v>1847</v>
      </c>
      <c r="C661" t="s">
        <v>1855</v>
      </c>
      <c r="D661">
        <v>163</v>
      </c>
      <c r="E661" t="s">
        <v>1447</v>
      </c>
      <c r="F661" t="s">
        <v>1857</v>
      </c>
      <c r="G661" t="s">
        <v>1741</v>
      </c>
      <c r="H661" t="s">
        <v>2395</v>
      </c>
      <c r="I661" t="s">
        <v>2277</v>
      </c>
      <c r="J661" t="s">
        <v>2277</v>
      </c>
      <c r="K661" t="s">
        <v>2277</v>
      </c>
      <c r="L661" t="s">
        <v>2277</v>
      </c>
      <c r="M661" t="s">
        <v>2277</v>
      </c>
      <c r="N661" t="s">
        <v>2277</v>
      </c>
      <c r="O661" s="190" t="str">
        <f t="shared" si="10"/>
        <v>[S05_DefaultValues][163][FuelMaterialType]</v>
      </c>
    </row>
    <row r="662" spans="1:15" x14ac:dyDescent="0.3">
      <c r="A662" t="s">
        <v>2278</v>
      </c>
      <c r="B662" t="s">
        <v>1847</v>
      </c>
      <c r="C662" t="s">
        <v>1855</v>
      </c>
      <c r="D662">
        <v>164</v>
      </c>
      <c r="E662" t="s">
        <v>1447</v>
      </c>
      <c r="F662" t="s">
        <v>1857</v>
      </c>
      <c r="G662" t="s">
        <v>1741</v>
      </c>
      <c r="H662" t="s">
        <v>2393</v>
      </c>
      <c r="I662" t="s">
        <v>2277</v>
      </c>
      <c r="J662" t="s">
        <v>2277</v>
      </c>
      <c r="K662" t="s">
        <v>2277</v>
      </c>
      <c r="L662" t="s">
        <v>2277</v>
      </c>
      <c r="M662" t="s">
        <v>2277</v>
      </c>
      <c r="N662" t="s">
        <v>2277</v>
      </c>
      <c r="O662" s="190" t="str">
        <f t="shared" si="10"/>
        <v>[S05_DefaultValues][164][FuelMaterialType]</v>
      </c>
    </row>
    <row r="663" spans="1:15" x14ac:dyDescent="0.3">
      <c r="A663" t="s">
        <v>2278</v>
      </c>
      <c r="B663" t="s">
        <v>1847</v>
      </c>
      <c r="C663" t="s">
        <v>1855</v>
      </c>
      <c r="D663">
        <v>165</v>
      </c>
      <c r="E663" t="s">
        <v>1447</v>
      </c>
      <c r="F663" t="s">
        <v>1857</v>
      </c>
      <c r="G663" t="s">
        <v>1741</v>
      </c>
      <c r="H663" t="s">
        <v>2392</v>
      </c>
      <c r="I663" t="s">
        <v>2277</v>
      </c>
      <c r="J663" t="s">
        <v>2277</v>
      </c>
      <c r="K663" t="s">
        <v>2277</v>
      </c>
      <c r="L663" t="s">
        <v>2277</v>
      </c>
      <c r="M663" t="s">
        <v>2277</v>
      </c>
      <c r="N663" t="s">
        <v>2277</v>
      </c>
      <c r="O663" s="190" t="str">
        <f t="shared" si="10"/>
        <v>[S05_DefaultValues][165][FuelMaterialType]</v>
      </c>
    </row>
    <row r="664" spans="1:15" x14ac:dyDescent="0.3">
      <c r="A664" t="s">
        <v>2278</v>
      </c>
      <c r="B664" t="s">
        <v>1847</v>
      </c>
      <c r="C664" t="s">
        <v>1855</v>
      </c>
      <c r="D664">
        <v>166</v>
      </c>
      <c r="E664" t="s">
        <v>1447</v>
      </c>
      <c r="F664" t="s">
        <v>1857</v>
      </c>
      <c r="G664" t="s">
        <v>1741</v>
      </c>
      <c r="H664" t="s">
        <v>2431</v>
      </c>
      <c r="I664" t="s">
        <v>2277</v>
      </c>
      <c r="J664" t="s">
        <v>2277</v>
      </c>
      <c r="K664" t="s">
        <v>2277</v>
      </c>
      <c r="L664" t="s">
        <v>2277</v>
      </c>
      <c r="M664" t="s">
        <v>2277</v>
      </c>
      <c r="N664" t="s">
        <v>2277</v>
      </c>
      <c r="O664" s="190" t="str">
        <f t="shared" si="10"/>
        <v>[S05_DefaultValues][166][FuelMaterialType]</v>
      </c>
    </row>
    <row r="665" spans="1:15" x14ac:dyDescent="0.3">
      <c r="A665" t="s">
        <v>2278</v>
      </c>
      <c r="B665" t="s">
        <v>1847</v>
      </c>
      <c r="C665" t="s">
        <v>1855</v>
      </c>
      <c r="D665">
        <v>167</v>
      </c>
      <c r="E665" t="s">
        <v>1447</v>
      </c>
      <c r="F665" t="s">
        <v>1857</v>
      </c>
      <c r="G665" t="s">
        <v>1741</v>
      </c>
      <c r="H665" t="s">
        <v>2430</v>
      </c>
      <c r="I665" t="s">
        <v>2277</v>
      </c>
      <c r="J665" t="s">
        <v>2277</v>
      </c>
      <c r="K665" t="s">
        <v>2277</v>
      </c>
      <c r="L665" t="s">
        <v>2277</v>
      </c>
      <c r="M665" t="s">
        <v>2277</v>
      </c>
      <c r="N665" t="s">
        <v>2277</v>
      </c>
      <c r="O665" s="190" t="str">
        <f t="shared" si="10"/>
        <v>[S05_DefaultValues][167][FuelMaterialType]</v>
      </c>
    </row>
    <row r="666" spans="1:15" x14ac:dyDescent="0.3">
      <c r="A666" t="s">
        <v>2278</v>
      </c>
      <c r="B666" t="s">
        <v>1847</v>
      </c>
      <c r="C666" t="s">
        <v>1855</v>
      </c>
      <c r="D666">
        <v>168</v>
      </c>
      <c r="E666" t="s">
        <v>1447</v>
      </c>
      <c r="F666" t="s">
        <v>1857</v>
      </c>
      <c r="G666" t="s">
        <v>1741</v>
      </c>
      <c r="H666" t="s">
        <v>2429</v>
      </c>
      <c r="I666" t="s">
        <v>2277</v>
      </c>
      <c r="J666" t="s">
        <v>2277</v>
      </c>
      <c r="K666" t="s">
        <v>2277</v>
      </c>
      <c r="L666" t="s">
        <v>2277</v>
      </c>
      <c r="M666" t="s">
        <v>2277</v>
      </c>
      <c r="N666" t="s">
        <v>2277</v>
      </c>
      <c r="O666" s="190" t="str">
        <f t="shared" si="10"/>
        <v>[S05_DefaultValues][168][FuelMaterialType]</v>
      </c>
    </row>
    <row r="667" spans="1:15" x14ac:dyDescent="0.3">
      <c r="A667" t="s">
        <v>2278</v>
      </c>
      <c r="B667" t="s">
        <v>1847</v>
      </c>
      <c r="C667" t="s">
        <v>1855</v>
      </c>
      <c r="D667">
        <v>169</v>
      </c>
      <c r="E667" t="s">
        <v>1447</v>
      </c>
      <c r="F667" t="s">
        <v>1857</v>
      </c>
      <c r="G667" t="s">
        <v>1741</v>
      </c>
      <c r="H667" t="s">
        <v>2390</v>
      </c>
      <c r="I667" t="s">
        <v>2277</v>
      </c>
      <c r="J667" t="s">
        <v>2277</v>
      </c>
      <c r="K667" t="s">
        <v>2277</v>
      </c>
      <c r="L667" t="s">
        <v>2277</v>
      </c>
      <c r="M667" t="s">
        <v>2277</v>
      </c>
      <c r="N667" t="s">
        <v>2277</v>
      </c>
      <c r="O667" s="190" t="str">
        <f t="shared" si="10"/>
        <v>[S05_DefaultValues][169][FuelMaterialType]</v>
      </c>
    </row>
    <row r="668" spans="1:15" x14ac:dyDescent="0.3">
      <c r="A668" t="s">
        <v>2278</v>
      </c>
      <c r="B668" t="s">
        <v>1847</v>
      </c>
      <c r="C668" t="s">
        <v>1855</v>
      </c>
      <c r="D668">
        <v>170</v>
      </c>
      <c r="E668" t="s">
        <v>1447</v>
      </c>
      <c r="F668" t="s">
        <v>1857</v>
      </c>
      <c r="G668" t="s">
        <v>1741</v>
      </c>
      <c r="H668" t="s">
        <v>2428</v>
      </c>
      <c r="I668" t="s">
        <v>2277</v>
      </c>
      <c r="J668" t="s">
        <v>2277</v>
      </c>
      <c r="K668" t="s">
        <v>2277</v>
      </c>
      <c r="L668" t="s">
        <v>2277</v>
      </c>
      <c r="M668" t="s">
        <v>2277</v>
      </c>
      <c r="N668" t="s">
        <v>2277</v>
      </c>
      <c r="O668" s="190" t="str">
        <f t="shared" si="10"/>
        <v>[S05_DefaultValues][170][FuelMaterialType]</v>
      </c>
    </row>
    <row r="669" spans="1:15" x14ac:dyDescent="0.3">
      <c r="A669" t="s">
        <v>2278</v>
      </c>
      <c r="B669" t="s">
        <v>1847</v>
      </c>
      <c r="C669" t="s">
        <v>1855</v>
      </c>
      <c r="D669">
        <v>171</v>
      </c>
      <c r="E669" t="s">
        <v>1447</v>
      </c>
      <c r="F669" t="s">
        <v>1857</v>
      </c>
      <c r="G669" t="s">
        <v>1741</v>
      </c>
      <c r="H669" t="s">
        <v>2389</v>
      </c>
      <c r="I669" t="s">
        <v>2277</v>
      </c>
      <c r="J669" t="s">
        <v>2277</v>
      </c>
      <c r="K669" t="s">
        <v>2277</v>
      </c>
      <c r="L669" t="s">
        <v>2277</v>
      </c>
      <c r="M669" t="s">
        <v>2277</v>
      </c>
      <c r="N669" t="s">
        <v>2277</v>
      </c>
      <c r="O669" s="190" t="str">
        <f t="shared" si="10"/>
        <v>[S05_DefaultValues][171][FuelMaterialType]</v>
      </c>
    </row>
    <row r="670" spans="1:15" x14ac:dyDescent="0.3">
      <c r="A670" t="s">
        <v>2278</v>
      </c>
      <c r="B670" t="s">
        <v>1847</v>
      </c>
      <c r="C670" t="s">
        <v>1855</v>
      </c>
      <c r="D670">
        <v>172</v>
      </c>
      <c r="E670" t="s">
        <v>1447</v>
      </c>
      <c r="F670" t="s">
        <v>1857</v>
      </c>
      <c r="G670" t="s">
        <v>1741</v>
      </c>
      <c r="H670" t="s">
        <v>2427</v>
      </c>
      <c r="I670" t="s">
        <v>2277</v>
      </c>
      <c r="J670" t="s">
        <v>2277</v>
      </c>
      <c r="K670" t="s">
        <v>2277</v>
      </c>
      <c r="L670" t="s">
        <v>2277</v>
      </c>
      <c r="M670" t="s">
        <v>2277</v>
      </c>
      <c r="N670" t="s">
        <v>2277</v>
      </c>
      <c r="O670" s="190" t="str">
        <f t="shared" si="10"/>
        <v>[S05_DefaultValues][172][FuelMaterialType]</v>
      </c>
    </row>
    <row r="671" spans="1:15" x14ac:dyDescent="0.3">
      <c r="A671" t="s">
        <v>2278</v>
      </c>
      <c r="B671" t="s">
        <v>1847</v>
      </c>
      <c r="C671" t="s">
        <v>1855</v>
      </c>
      <c r="D671">
        <v>173</v>
      </c>
      <c r="E671" t="s">
        <v>1447</v>
      </c>
      <c r="F671" t="s">
        <v>1857</v>
      </c>
      <c r="G671" t="s">
        <v>1741</v>
      </c>
      <c r="H671" t="s">
        <v>2426</v>
      </c>
      <c r="I671" t="s">
        <v>2277</v>
      </c>
      <c r="J671" t="s">
        <v>2277</v>
      </c>
      <c r="K671" t="s">
        <v>2277</v>
      </c>
      <c r="L671" t="s">
        <v>2277</v>
      </c>
      <c r="M671" t="s">
        <v>2277</v>
      </c>
      <c r="N671" t="s">
        <v>2277</v>
      </c>
      <c r="O671" s="190" t="str">
        <f t="shared" si="10"/>
        <v>[S05_DefaultValues][173][FuelMaterialType]</v>
      </c>
    </row>
    <row r="672" spans="1:15" x14ac:dyDescent="0.3">
      <c r="A672" t="s">
        <v>2278</v>
      </c>
      <c r="B672" t="s">
        <v>1847</v>
      </c>
      <c r="C672" t="s">
        <v>1855</v>
      </c>
      <c r="D672">
        <v>174</v>
      </c>
      <c r="E672" t="s">
        <v>1447</v>
      </c>
      <c r="F672" t="s">
        <v>1857</v>
      </c>
      <c r="G672" t="s">
        <v>1741</v>
      </c>
      <c r="H672" t="s">
        <v>2425</v>
      </c>
      <c r="I672" t="s">
        <v>2277</v>
      </c>
      <c r="J672" t="s">
        <v>2277</v>
      </c>
      <c r="K672" t="s">
        <v>2277</v>
      </c>
      <c r="L672" t="s">
        <v>2277</v>
      </c>
      <c r="M672" t="s">
        <v>2277</v>
      </c>
      <c r="N672" t="s">
        <v>2277</v>
      </c>
      <c r="O672" s="190" t="str">
        <f t="shared" si="10"/>
        <v>[S05_DefaultValues][174][FuelMaterialType]</v>
      </c>
    </row>
    <row r="673" spans="1:15" x14ac:dyDescent="0.3">
      <c r="A673" t="s">
        <v>2278</v>
      </c>
      <c r="B673" t="s">
        <v>1847</v>
      </c>
      <c r="C673" t="s">
        <v>1855</v>
      </c>
      <c r="D673">
        <v>175</v>
      </c>
      <c r="E673" t="s">
        <v>1447</v>
      </c>
      <c r="F673" t="s">
        <v>1857</v>
      </c>
      <c r="G673" t="s">
        <v>1741</v>
      </c>
      <c r="H673" t="s">
        <v>2424</v>
      </c>
      <c r="I673" t="s">
        <v>2277</v>
      </c>
      <c r="J673" t="s">
        <v>2277</v>
      </c>
      <c r="K673" t="s">
        <v>2277</v>
      </c>
      <c r="L673" t="s">
        <v>2277</v>
      </c>
      <c r="M673" t="s">
        <v>2277</v>
      </c>
      <c r="N673" t="s">
        <v>2277</v>
      </c>
      <c r="O673" s="190" t="str">
        <f t="shared" si="10"/>
        <v>[S05_DefaultValues][175][FuelMaterialType]</v>
      </c>
    </row>
    <row r="674" spans="1:15" x14ac:dyDescent="0.3">
      <c r="A674" t="s">
        <v>2278</v>
      </c>
      <c r="B674" t="s">
        <v>1847</v>
      </c>
      <c r="C674" t="s">
        <v>1855</v>
      </c>
      <c r="D674">
        <v>176</v>
      </c>
      <c r="E674" t="s">
        <v>1447</v>
      </c>
      <c r="F674" t="s">
        <v>1857</v>
      </c>
      <c r="G674" t="s">
        <v>1741</v>
      </c>
      <c r="H674" t="s">
        <v>2387</v>
      </c>
      <c r="I674" t="s">
        <v>2277</v>
      </c>
      <c r="J674" t="s">
        <v>2277</v>
      </c>
      <c r="K674" t="s">
        <v>2277</v>
      </c>
      <c r="L674" t="s">
        <v>2277</v>
      </c>
      <c r="M674" t="s">
        <v>2277</v>
      </c>
      <c r="N674" t="s">
        <v>2277</v>
      </c>
      <c r="O674" s="190" t="str">
        <f t="shared" si="10"/>
        <v>[S05_DefaultValues][176][FuelMaterialType]</v>
      </c>
    </row>
    <row r="675" spans="1:15" x14ac:dyDescent="0.3">
      <c r="A675" t="s">
        <v>2278</v>
      </c>
      <c r="B675" t="s">
        <v>1847</v>
      </c>
      <c r="C675" t="s">
        <v>1855</v>
      </c>
      <c r="D675">
        <v>177</v>
      </c>
      <c r="E675" t="s">
        <v>1447</v>
      </c>
      <c r="F675" t="s">
        <v>1857</v>
      </c>
      <c r="G675" t="s">
        <v>1741</v>
      </c>
      <c r="H675" t="s">
        <v>2423</v>
      </c>
      <c r="I675" t="s">
        <v>2277</v>
      </c>
      <c r="J675" t="s">
        <v>2277</v>
      </c>
      <c r="K675" t="s">
        <v>2277</v>
      </c>
      <c r="L675" t="s">
        <v>2277</v>
      </c>
      <c r="M675" t="s">
        <v>2277</v>
      </c>
      <c r="N675" t="s">
        <v>2277</v>
      </c>
      <c r="O675" s="190" t="str">
        <f t="shared" si="10"/>
        <v>[S05_DefaultValues][177][FuelMaterialType]</v>
      </c>
    </row>
    <row r="676" spans="1:15" x14ac:dyDescent="0.3">
      <c r="A676" t="s">
        <v>2278</v>
      </c>
      <c r="B676" t="s">
        <v>1847</v>
      </c>
      <c r="C676" t="s">
        <v>1855</v>
      </c>
      <c r="D676">
        <v>178</v>
      </c>
      <c r="E676" t="s">
        <v>1447</v>
      </c>
      <c r="F676" t="s">
        <v>1857</v>
      </c>
      <c r="G676" t="s">
        <v>1741</v>
      </c>
      <c r="H676" t="s">
        <v>2422</v>
      </c>
      <c r="I676" t="s">
        <v>2277</v>
      </c>
      <c r="J676" t="s">
        <v>2277</v>
      </c>
      <c r="K676" t="s">
        <v>2277</v>
      </c>
      <c r="L676" t="s">
        <v>2277</v>
      </c>
      <c r="M676" t="s">
        <v>2277</v>
      </c>
      <c r="N676" t="s">
        <v>2277</v>
      </c>
      <c r="O676" s="190" t="str">
        <f t="shared" si="10"/>
        <v>[S05_DefaultValues][178][FuelMaterialType]</v>
      </c>
    </row>
    <row r="677" spans="1:15" x14ac:dyDescent="0.3">
      <c r="A677" t="s">
        <v>2278</v>
      </c>
      <c r="B677" t="s">
        <v>1847</v>
      </c>
      <c r="C677" t="s">
        <v>1855</v>
      </c>
      <c r="D677">
        <v>179</v>
      </c>
      <c r="E677" t="s">
        <v>1447</v>
      </c>
      <c r="F677" t="s">
        <v>1857</v>
      </c>
      <c r="G677" t="s">
        <v>1741</v>
      </c>
      <c r="H677" t="s">
        <v>2421</v>
      </c>
      <c r="I677" t="s">
        <v>2277</v>
      </c>
      <c r="J677" t="s">
        <v>2277</v>
      </c>
      <c r="K677" t="s">
        <v>2277</v>
      </c>
      <c r="L677" t="s">
        <v>2277</v>
      </c>
      <c r="M677" t="s">
        <v>2277</v>
      </c>
      <c r="N677" t="s">
        <v>2277</v>
      </c>
      <c r="O677" s="190" t="str">
        <f t="shared" si="10"/>
        <v>[S05_DefaultValues][179][FuelMaterialType]</v>
      </c>
    </row>
    <row r="678" spans="1:15" x14ac:dyDescent="0.3">
      <c r="A678" t="s">
        <v>2278</v>
      </c>
      <c r="B678" t="s">
        <v>1847</v>
      </c>
      <c r="C678" t="s">
        <v>1855</v>
      </c>
      <c r="D678">
        <v>180</v>
      </c>
      <c r="E678" t="s">
        <v>1447</v>
      </c>
      <c r="F678" t="s">
        <v>1857</v>
      </c>
      <c r="G678" t="s">
        <v>1741</v>
      </c>
      <c r="H678" t="s">
        <v>2420</v>
      </c>
      <c r="I678" t="s">
        <v>2277</v>
      </c>
      <c r="J678" t="s">
        <v>2277</v>
      </c>
      <c r="K678" t="s">
        <v>2277</v>
      </c>
      <c r="L678" t="s">
        <v>2277</v>
      </c>
      <c r="M678" t="s">
        <v>2277</v>
      </c>
      <c r="N678" t="s">
        <v>2277</v>
      </c>
      <c r="O678" s="190" t="str">
        <f t="shared" si="10"/>
        <v>[S05_DefaultValues][180][FuelMaterialType]</v>
      </c>
    </row>
    <row r="679" spans="1:15" x14ac:dyDescent="0.3">
      <c r="A679" t="s">
        <v>2278</v>
      </c>
      <c r="B679" t="s">
        <v>1847</v>
      </c>
      <c r="C679" t="s">
        <v>1855</v>
      </c>
      <c r="D679">
        <v>181</v>
      </c>
      <c r="E679" t="s">
        <v>1447</v>
      </c>
      <c r="F679" t="s">
        <v>1857</v>
      </c>
      <c r="G679" t="s">
        <v>1741</v>
      </c>
      <c r="H679" t="s">
        <v>2419</v>
      </c>
      <c r="I679" t="s">
        <v>2277</v>
      </c>
      <c r="J679" t="s">
        <v>2277</v>
      </c>
      <c r="K679" t="s">
        <v>2277</v>
      </c>
      <c r="L679" t="s">
        <v>2277</v>
      </c>
      <c r="M679" t="s">
        <v>2277</v>
      </c>
      <c r="N679" t="s">
        <v>2277</v>
      </c>
      <c r="O679" s="190" t="str">
        <f t="shared" si="10"/>
        <v>[S05_DefaultValues][181][FuelMaterialType]</v>
      </c>
    </row>
    <row r="680" spans="1:15" x14ac:dyDescent="0.3">
      <c r="A680" t="s">
        <v>2278</v>
      </c>
      <c r="B680" t="s">
        <v>1847</v>
      </c>
      <c r="C680" t="s">
        <v>1855</v>
      </c>
      <c r="D680">
        <v>182</v>
      </c>
      <c r="E680" t="s">
        <v>1447</v>
      </c>
      <c r="F680" t="s">
        <v>1857</v>
      </c>
      <c r="G680" t="s">
        <v>1741</v>
      </c>
      <c r="H680" t="s">
        <v>2418</v>
      </c>
      <c r="I680" t="s">
        <v>2277</v>
      </c>
      <c r="J680" t="s">
        <v>2277</v>
      </c>
      <c r="K680" t="s">
        <v>2277</v>
      </c>
      <c r="L680" t="s">
        <v>2277</v>
      </c>
      <c r="M680" t="s">
        <v>2277</v>
      </c>
      <c r="N680" t="s">
        <v>2277</v>
      </c>
      <c r="O680" s="190" t="str">
        <f t="shared" si="10"/>
        <v>[S05_DefaultValues][182][FuelMaterialType]</v>
      </c>
    </row>
    <row r="681" spans="1:15" x14ac:dyDescent="0.3">
      <c r="A681" t="s">
        <v>2278</v>
      </c>
      <c r="B681" t="s">
        <v>1847</v>
      </c>
      <c r="C681" t="s">
        <v>1855</v>
      </c>
      <c r="D681">
        <v>183</v>
      </c>
      <c r="E681" t="s">
        <v>1447</v>
      </c>
      <c r="F681" t="s">
        <v>1857</v>
      </c>
      <c r="G681" t="s">
        <v>1741</v>
      </c>
      <c r="H681" t="s">
        <v>2417</v>
      </c>
      <c r="I681" t="s">
        <v>2277</v>
      </c>
      <c r="J681" t="s">
        <v>2277</v>
      </c>
      <c r="K681" t="s">
        <v>2277</v>
      </c>
      <c r="L681" t="s">
        <v>2277</v>
      </c>
      <c r="M681" t="s">
        <v>2277</v>
      </c>
      <c r="N681" t="s">
        <v>2277</v>
      </c>
      <c r="O681" s="190" t="str">
        <f t="shared" si="10"/>
        <v>[S05_DefaultValues][183][FuelMaterialType]</v>
      </c>
    </row>
    <row r="682" spans="1:15" x14ac:dyDescent="0.3">
      <c r="A682" t="s">
        <v>2278</v>
      </c>
      <c r="B682" t="s">
        <v>1847</v>
      </c>
      <c r="C682" t="s">
        <v>1855</v>
      </c>
      <c r="D682">
        <v>184</v>
      </c>
      <c r="E682" t="s">
        <v>1447</v>
      </c>
      <c r="F682" t="s">
        <v>1857</v>
      </c>
      <c r="G682" t="s">
        <v>1741</v>
      </c>
      <c r="H682" t="s">
        <v>2416</v>
      </c>
      <c r="I682" t="s">
        <v>2277</v>
      </c>
      <c r="J682" t="s">
        <v>2277</v>
      </c>
      <c r="K682" t="s">
        <v>2277</v>
      </c>
      <c r="L682" t="s">
        <v>2277</v>
      </c>
      <c r="M682" t="s">
        <v>2277</v>
      </c>
      <c r="N682" t="s">
        <v>2277</v>
      </c>
      <c r="O682" s="190" t="str">
        <f t="shared" si="10"/>
        <v>[S05_DefaultValues][184][FuelMaterialType]</v>
      </c>
    </row>
    <row r="683" spans="1:15" x14ac:dyDescent="0.3">
      <c r="A683" t="s">
        <v>2278</v>
      </c>
      <c r="B683" t="s">
        <v>1847</v>
      </c>
      <c r="C683" t="s">
        <v>1855</v>
      </c>
      <c r="D683">
        <v>185</v>
      </c>
      <c r="E683" t="s">
        <v>1447</v>
      </c>
      <c r="F683" t="s">
        <v>1857</v>
      </c>
      <c r="G683" t="s">
        <v>1741</v>
      </c>
      <c r="H683" t="s">
        <v>2415</v>
      </c>
      <c r="I683" t="s">
        <v>2277</v>
      </c>
      <c r="J683" t="s">
        <v>2277</v>
      </c>
      <c r="K683" t="s">
        <v>2277</v>
      </c>
      <c r="L683" t="s">
        <v>2277</v>
      </c>
      <c r="M683" t="s">
        <v>2277</v>
      </c>
      <c r="N683" t="s">
        <v>2277</v>
      </c>
      <c r="O683" s="190" t="str">
        <f t="shared" si="10"/>
        <v>[S05_DefaultValues][185][FuelMaterialType]</v>
      </c>
    </row>
    <row r="684" spans="1:15" x14ac:dyDescent="0.3">
      <c r="A684" t="s">
        <v>2278</v>
      </c>
      <c r="B684" t="s">
        <v>1847</v>
      </c>
      <c r="C684" t="s">
        <v>1855</v>
      </c>
      <c r="D684">
        <v>186</v>
      </c>
      <c r="E684" t="s">
        <v>1447</v>
      </c>
      <c r="F684" t="s">
        <v>1857</v>
      </c>
      <c r="G684" t="s">
        <v>1741</v>
      </c>
      <c r="H684" t="s">
        <v>2414</v>
      </c>
      <c r="I684" t="s">
        <v>2277</v>
      </c>
      <c r="J684" t="s">
        <v>2277</v>
      </c>
      <c r="K684" t="s">
        <v>2277</v>
      </c>
      <c r="L684" t="s">
        <v>2277</v>
      </c>
      <c r="M684" t="s">
        <v>2277</v>
      </c>
      <c r="N684" t="s">
        <v>2277</v>
      </c>
      <c r="O684" s="190" t="str">
        <f t="shared" si="10"/>
        <v>[S05_DefaultValues][186][FuelMaterialType]</v>
      </c>
    </row>
    <row r="685" spans="1:15" x14ac:dyDescent="0.3">
      <c r="A685" t="s">
        <v>2278</v>
      </c>
      <c r="B685" t="s">
        <v>1847</v>
      </c>
      <c r="C685" t="s">
        <v>1855</v>
      </c>
      <c r="D685">
        <v>187</v>
      </c>
      <c r="E685" t="s">
        <v>1447</v>
      </c>
      <c r="F685" t="s">
        <v>1857</v>
      </c>
      <c r="G685" t="s">
        <v>1741</v>
      </c>
      <c r="H685" t="s">
        <v>2413</v>
      </c>
      <c r="I685" t="s">
        <v>2277</v>
      </c>
      <c r="J685" t="s">
        <v>2277</v>
      </c>
      <c r="K685" t="s">
        <v>2277</v>
      </c>
      <c r="L685" t="s">
        <v>2277</v>
      </c>
      <c r="M685" t="s">
        <v>2277</v>
      </c>
      <c r="N685" t="s">
        <v>2277</v>
      </c>
      <c r="O685" s="190" t="str">
        <f t="shared" si="10"/>
        <v>[S05_DefaultValues][187][FuelMaterialType]</v>
      </c>
    </row>
    <row r="686" spans="1:15" x14ac:dyDescent="0.3">
      <c r="A686" t="s">
        <v>2278</v>
      </c>
      <c r="B686" t="s">
        <v>1847</v>
      </c>
      <c r="C686" t="s">
        <v>1855</v>
      </c>
      <c r="D686">
        <v>188</v>
      </c>
      <c r="E686" t="s">
        <v>1447</v>
      </c>
      <c r="F686" t="s">
        <v>1857</v>
      </c>
      <c r="G686" t="s">
        <v>1741</v>
      </c>
      <c r="H686" t="s">
        <v>2412</v>
      </c>
      <c r="I686" t="s">
        <v>2277</v>
      </c>
      <c r="J686" t="s">
        <v>2277</v>
      </c>
      <c r="K686" t="s">
        <v>2277</v>
      </c>
      <c r="L686" t="s">
        <v>2277</v>
      </c>
      <c r="M686" t="s">
        <v>2277</v>
      </c>
      <c r="N686" t="s">
        <v>2277</v>
      </c>
      <c r="O686" s="190" t="str">
        <f t="shared" si="10"/>
        <v>[S05_DefaultValues][188][FuelMaterialType]</v>
      </c>
    </row>
    <row r="687" spans="1:15" x14ac:dyDescent="0.3">
      <c r="A687" t="s">
        <v>2278</v>
      </c>
      <c r="B687" t="s">
        <v>1847</v>
      </c>
      <c r="C687" t="s">
        <v>1855</v>
      </c>
      <c r="D687">
        <v>189</v>
      </c>
      <c r="E687" t="s">
        <v>1447</v>
      </c>
      <c r="F687" t="s">
        <v>1857</v>
      </c>
      <c r="G687" t="s">
        <v>1741</v>
      </c>
      <c r="H687" t="s">
        <v>2411</v>
      </c>
      <c r="I687" t="s">
        <v>2277</v>
      </c>
      <c r="J687" t="s">
        <v>2277</v>
      </c>
      <c r="K687" t="s">
        <v>2277</v>
      </c>
      <c r="L687" t="s">
        <v>2277</v>
      </c>
      <c r="M687" t="s">
        <v>2277</v>
      </c>
      <c r="N687" t="s">
        <v>2277</v>
      </c>
      <c r="O687" s="190" t="str">
        <f t="shared" si="10"/>
        <v>[S05_DefaultValues][189][FuelMaterialType]</v>
      </c>
    </row>
    <row r="688" spans="1:15" x14ac:dyDescent="0.3">
      <c r="A688" t="s">
        <v>2278</v>
      </c>
      <c r="B688" t="s">
        <v>1847</v>
      </c>
      <c r="C688" t="s">
        <v>1855</v>
      </c>
      <c r="D688">
        <v>190</v>
      </c>
      <c r="E688" t="s">
        <v>1447</v>
      </c>
      <c r="F688" t="s">
        <v>1857</v>
      </c>
      <c r="G688" t="s">
        <v>1741</v>
      </c>
      <c r="H688" t="s">
        <v>2410</v>
      </c>
      <c r="I688" t="s">
        <v>2277</v>
      </c>
      <c r="J688" t="s">
        <v>2277</v>
      </c>
      <c r="K688" t="s">
        <v>2277</v>
      </c>
      <c r="L688" t="s">
        <v>2277</v>
      </c>
      <c r="M688" t="s">
        <v>2277</v>
      </c>
      <c r="N688" t="s">
        <v>2277</v>
      </c>
      <c r="O688" s="190" t="str">
        <f t="shared" si="10"/>
        <v>[S05_DefaultValues][190][FuelMaterialType]</v>
      </c>
    </row>
    <row r="689" spans="1:15" x14ac:dyDescent="0.3">
      <c r="A689" t="s">
        <v>2278</v>
      </c>
      <c r="B689" t="s">
        <v>1847</v>
      </c>
      <c r="C689" t="s">
        <v>1855</v>
      </c>
      <c r="D689">
        <v>191</v>
      </c>
      <c r="E689" t="s">
        <v>1447</v>
      </c>
      <c r="F689" t="s">
        <v>1857</v>
      </c>
      <c r="G689" t="s">
        <v>1741</v>
      </c>
      <c r="H689" t="s">
        <v>2409</v>
      </c>
      <c r="I689" t="s">
        <v>2277</v>
      </c>
      <c r="J689" t="s">
        <v>2277</v>
      </c>
      <c r="K689" t="s">
        <v>2277</v>
      </c>
      <c r="L689" t="s">
        <v>2277</v>
      </c>
      <c r="M689" t="s">
        <v>2277</v>
      </c>
      <c r="N689" t="s">
        <v>2277</v>
      </c>
      <c r="O689" s="190" t="str">
        <f t="shared" si="10"/>
        <v>[S05_DefaultValues][191][FuelMaterialType]</v>
      </c>
    </row>
    <row r="690" spans="1:15" x14ac:dyDescent="0.3">
      <c r="A690" t="s">
        <v>2278</v>
      </c>
      <c r="B690" t="s">
        <v>1847</v>
      </c>
      <c r="C690" t="s">
        <v>1855</v>
      </c>
      <c r="D690">
        <v>192</v>
      </c>
      <c r="E690" t="s">
        <v>1447</v>
      </c>
      <c r="F690" t="s">
        <v>1857</v>
      </c>
      <c r="G690" t="s">
        <v>1741</v>
      </c>
      <c r="H690" t="s">
        <v>2408</v>
      </c>
      <c r="I690" t="s">
        <v>2277</v>
      </c>
      <c r="J690" t="s">
        <v>2277</v>
      </c>
      <c r="K690" t="s">
        <v>2277</v>
      </c>
      <c r="L690" t="s">
        <v>2277</v>
      </c>
      <c r="M690" t="s">
        <v>2277</v>
      </c>
      <c r="N690" t="s">
        <v>2277</v>
      </c>
      <c r="O690" s="190" t="str">
        <f t="shared" si="10"/>
        <v>[S05_DefaultValues][192][FuelMaterialType]</v>
      </c>
    </row>
    <row r="691" spans="1:15" x14ac:dyDescent="0.3">
      <c r="A691" t="s">
        <v>2278</v>
      </c>
      <c r="B691" t="s">
        <v>1847</v>
      </c>
      <c r="C691" t="s">
        <v>1855</v>
      </c>
      <c r="D691">
        <v>193</v>
      </c>
      <c r="E691" t="s">
        <v>1447</v>
      </c>
      <c r="F691" t="s">
        <v>1857</v>
      </c>
      <c r="G691" t="s">
        <v>1741</v>
      </c>
      <c r="H691" t="s">
        <v>2407</v>
      </c>
      <c r="I691" t="s">
        <v>2277</v>
      </c>
      <c r="J691" t="s">
        <v>2277</v>
      </c>
      <c r="K691" t="s">
        <v>2277</v>
      </c>
      <c r="L691" t="s">
        <v>2277</v>
      </c>
      <c r="M691" t="s">
        <v>2277</v>
      </c>
      <c r="N691" t="s">
        <v>2277</v>
      </c>
      <c r="O691" s="190" t="str">
        <f t="shared" si="10"/>
        <v>[S05_DefaultValues][193][FuelMaterialType]</v>
      </c>
    </row>
    <row r="692" spans="1:15" x14ac:dyDescent="0.3">
      <c r="A692" t="s">
        <v>2278</v>
      </c>
      <c r="B692" t="s">
        <v>1847</v>
      </c>
      <c r="C692" t="s">
        <v>1855</v>
      </c>
      <c r="D692">
        <v>194</v>
      </c>
      <c r="E692" t="s">
        <v>1447</v>
      </c>
      <c r="F692" t="s">
        <v>1857</v>
      </c>
      <c r="G692" t="s">
        <v>1741</v>
      </c>
      <c r="H692" t="s">
        <v>2406</v>
      </c>
      <c r="I692" t="s">
        <v>2277</v>
      </c>
      <c r="J692" t="s">
        <v>2277</v>
      </c>
      <c r="K692" t="s">
        <v>2277</v>
      </c>
      <c r="L692" t="s">
        <v>2277</v>
      </c>
      <c r="M692" t="s">
        <v>2277</v>
      </c>
      <c r="N692" t="s">
        <v>2277</v>
      </c>
      <c r="O692" s="190" t="str">
        <f t="shared" si="10"/>
        <v>[S05_DefaultValues][194][FuelMaterialType]</v>
      </c>
    </row>
    <row r="693" spans="1:15" x14ac:dyDescent="0.3">
      <c r="A693" t="s">
        <v>2278</v>
      </c>
      <c r="B693" t="s">
        <v>1847</v>
      </c>
      <c r="C693" t="s">
        <v>1855</v>
      </c>
      <c r="D693">
        <v>195</v>
      </c>
      <c r="E693" t="s">
        <v>1447</v>
      </c>
      <c r="F693" t="s">
        <v>1857</v>
      </c>
      <c r="G693" t="s">
        <v>1741</v>
      </c>
      <c r="H693" t="s">
        <v>2405</v>
      </c>
      <c r="I693" t="s">
        <v>2277</v>
      </c>
      <c r="J693" t="s">
        <v>2277</v>
      </c>
      <c r="K693" t="s">
        <v>2277</v>
      </c>
      <c r="L693" t="s">
        <v>2277</v>
      </c>
      <c r="M693" t="s">
        <v>2277</v>
      </c>
      <c r="N693" t="s">
        <v>2277</v>
      </c>
      <c r="O693" s="190" t="str">
        <f t="shared" si="10"/>
        <v>[S05_DefaultValues][195][FuelMaterialType]</v>
      </c>
    </row>
    <row r="694" spans="1:15" x14ac:dyDescent="0.3">
      <c r="A694" t="s">
        <v>2278</v>
      </c>
      <c r="B694" t="s">
        <v>1847</v>
      </c>
      <c r="C694" t="s">
        <v>1855</v>
      </c>
      <c r="D694">
        <v>196</v>
      </c>
      <c r="E694" t="s">
        <v>1447</v>
      </c>
      <c r="F694" t="s">
        <v>1857</v>
      </c>
      <c r="G694" t="s">
        <v>1741</v>
      </c>
      <c r="H694" t="s">
        <v>2404</v>
      </c>
      <c r="I694" t="s">
        <v>2277</v>
      </c>
      <c r="J694" t="s">
        <v>2277</v>
      </c>
      <c r="K694" t="s">
        <v>2277</v>
      </c>
      <c r="L694" t="s">
        <v>2277</v>
      </c>
      <c r="M694" t="s">
        <v>2277</v>
      </c>
      <c r="N694" t="s">
        <v>2277</v>
      </c>
      <c r="O694" s="190" t="str">
        <f t="shared" si="10"/>
        <v>[S05_DefaultValues][196][FuelMaterialType]</v>
      </c>
    </row>
    <row r="695" spans="1:15" x14ac:dyDescent="0.3">
      <c r="A695" t="s">
        <v>2278</v>
      </c>
      <c r="B695" t="s">
        <v>1847</v>
      </c>
      <c r="C695" t="s">
        <v>1855</v>
      </c>
      <c r="D695">
        <v>197</v>
      </c>
      <c r="E695" t="s">
        <v>1447</v>
      </c>
      <c r="F695" t="s">
        <v>1857</v>
      </c>
      <c r="G695" t="s">
        <v>1741</v>
      </c>
      <c r="H695" t="s">
        <v>2403</v>
      </c>
      <c r="I695" t="s">
        <v>2277</v>
      </c>
      <c r="J695" t="s">
        <v>2277</v>
      </c>
      <c r="K695" t="s">
        <v>2277</v>
      </c>
      <c r="L695" t="s">
        <v>2277</v>
      </c>
      <c r="M695" t="s">
        <v>2277</v>
      </c>
      <c r="N695" t="s">
        <v>2277</v>
      </c>
      <c r="O695" s="190" t="str">
        <f t="shared" si="10"/>
        <v>[S05_DefaultValues][197][FuelMaterialType]</v>
      </c>
    </row>
    <row r="696" spans="1:15" x14ac:dyDescent="0.3">
      <c r="A696" t="s">
        <v>2278</v>
      </c>
      <c r="B696" t="s">
        <v>1847</v>
      </c>
      <c r="C696" t="s">
        <v>1855</v>
      </c>
      <c r="D696">
        <v>198</v>
      </c>
      <c r="E696" t="s">
        <v>1447</v>
      </c>
      <c r="F696" t="s">
        <v>1857</v>
      </c>
      <c r="G696" t="s">
        <v>1741</v>
      </c>
      <c r="H696" t="s">
        <v>2402</v>
      </c>
      <c r="I696" t="s">
        <v>2277</v>
      </c>
      <c r="J696" t="s">
        <v>2277</v>
      </c>
      <c r="K696" t="s">
        <v>2277</v>
      </c>
      <c r="L696" t="s">
        <v>2277</v>
      </c>
      <c r="M696" t="s">
        <v>2277</v>
      </c>
      <c r="N696" t="s">
        <v>2277</v>
      </c>
      <c r="O696" s="190" t="str">
        <f t="shared" si="10"/>
        <v>[S05_DefaultValues][198][FuelMaterialType]</v>
      </c>
    </row>
    <row r="697" spans="1:15" x14ac:dyDescent="0.3">
      <c r="A697" t="s">
        <v>2278</v>
      </c>
      <c r="B697" t="s">
        <v>1847</v>
      </c>
      <c r="C697" t="s">
        <v>1855</v>
      </c>
      <c r="D697">
        <v>199</v>
      </c>
      <c r="E697" t="s">
        <v>1447</v>
      </c>
      <c r="F697" t="s">
        <v>1857</v>
      </c>
      <c r="G697" t="s">
        <v>1741</v>
      </c>
      <c r="H697" t="s">
        <v>2401</v>
      </c>
      <c r="I697" t="s">
        <v>2277</v>
      </c>
      <c r="J697" t="s">
        <v>2277</v>
      </c>
      <c r="K697" t="s">
        <v>2277</v>
      </c>
      <c r="L697" t="s">
        <v>2277</v>
      </c>
      <c r="M697" t="s">
        <v>2277</v>
      </c>
      <c r="N697" t="s">
        <v>2277</v>
      </c>
      <c r="O697" s="190" t="str">
        <f t="shared" si="10"/>
        <v>[S05_DefaultValues][199][FuelMaterialType]</v>
      </c>
    </row>
    <row r="698" spans="1:15" x14ac:dyDescent="0.3">
      <c r="A698" t="s">
        <v>2278</v>
      </c>
      <c r="B698" t="s">
        <v>1847</v>
      </c>
      <c r="C698" t="s">
        <v>1855</v>
      </c>
      <c r="D698">
        <v>200</v>
      </c>
      <c r="E698" t="s">
        <v>1447</v>
      </c>
      <c r="F698" t="s">
        <v>1857</v>
      </c>
      <c r="G698" t="s">
        <v>1741</v>
      </c>
      <c r="H698" t="s">
        <v>2400</v>
      </c>
      <c r="I698" t="s">
        <v>2277</v>
      </c>
      <c r="J698" t="s">
        <v>2277</v>
      </c>
      <c r="K698" t="s">
        <v>2277</v>
      </c>
      <c r="L698" t="s">
        <v>2277</v>
      </c>
      <c r="M698" t="s">
        <v>2277</v>
      </c>
      <c r="N698" t="s">
        <v>2277</v>
      </c>
      <c r="O698" s="190" t="str">
        <f t="shared" si="10"/>
        <v>[S05_DefaultValues][200][FuelMaterialType]</v>
      </c>
    </row>
    <row r="699" spans="1:15" x14ac:dyDescent="0.3">
      <c r="A699" t="s">
        <v>2278</v>
      </c>
      <c r="B699" t="s">
        <v>1847</v>
      </c>
      <c r="C699" t="s">
        <v>1855</v>
      </c>
      <c r="D699">
        <v>201</v>
      </c>
      <c r="E699" t="s">
        <v>1447</v>
      </c>
      <c r="F699" t="s">
        <v>1857</v>
      </c>
      <c r="G699" t="s">
        <v>1741</v>
      </c>
      <c r="H699" t="s">
        <v>2399</v>
      </c>
      <c r="I699" t="s">
        <v>2277</v>
      </c>
      <c r="J699" t="s">
        <v>2277</v>
      </c>
      <c r="K699" t="s">
        <v>2277</v>
      </c>
      <c r="L699" t="s">
        <v>2277</v>
      </c>
      <c r="M699" t="s">
        <v>2277</v>
      </c>
      <c r="N699" t="s">
        <v>2277</v>
      </c>
      <c r="O699" s="190" t="str">
        <f t="shared" si="10"/>
        <v>[S05_DefaultValues][201][FuelMaterialType]</v>
      </c>
    </row>
    <row r="700" spans="1:15" x14ac:dyDescent="0.3">
      <c r="A700" t="s">
        <v>2278</v>
      </c>
      <c r="B700" t="s">
        <v>1847</v>
      </c>
      <c r="C700" t="s">
        <v>1855</v>
      </c>
      <c r="D700">
        <v>202</v>
      </c>
      <c r="E700" t="s">
        <v>1447</v>
      </c>
      <c r="F700" t="s">
        <v>1857</v>
      </c>
      <c r="G700" t="s">
        <v>1741</v>
      </c>
      <c r="H700" t="s">
        <v>2398</v>
      </c>
      <c r="I700" t="s">
        <v>2277</v>
      </c>
      <c r="J700" t="s">
        <v>2277</v>
      </c>
      <c r="K700" t="s">
        <v>2277</v>
      </c>
      <c r="L700" t="s">
        <v>2277</v>
      </c>
      <c r="M700" t="s">
        <v>2277</v>
      </c>
      <c r="N700" t="s">
        <v>2277</v>
      </c>
      <c r="O700" s="190" t="str">
        <f t="shared" si="10"/>
        <v>[S05_DefaultValues][202][FuelMaterialType]</v>
      </c>
    </row>
    <row r="701" spans="1:15" x14ac:dyDescent="0.3">
      <c r="A701" t="s">
        <v>2278</v>
      </c>
      <c r="B701" t="s">
        <v>1847</v>
      </c>
      <c r="C701" t="s">
        <v>1855</v>
      </c>
      <c r="D701">
        <v>203</v>
      </c>
      <c r="E701" t="s">
        <v>1447</v>
      </c>
      <c r="F701" t="s">
        <v>1857</v>
      </c>
      <c r="G701" t="s">
        <v>1741</v>
      </c>
      <c r="H701" t="s">
        <v>2397</v>
      </c>
      <c r="I701" t="s">
        <v>2277</v>
      </c>
      <c r="J701" t="s">
        <v>2277</v>
      </c>
      <c r="K701" t="s">
        <v>2277</v>
      </c>
      <c r="L701" t="s">
        <v>2277</v>
      </c>
      <c r="M701" t="s">
        <v>2277</v>
      </c>
      <c r="N701" t="s">
        <v>2277</v>
      </c>
      <c r="O701" s="190" t="str">
        <f t="shared" si="10"/>
        <v>[S05_DefaultValues][203][FuelMaterialType]</v>
      </c>
    </row>
    <row r="702" spans="1:15" x14ac:dyDescent="0.3">
      <c r="A702" t="s">
        <v>2278</v>
      </c>
      <c r="B702" t="s">
        <v>1847</v>
      </c>
      <c r="C702" t="s">
        <v>1855</v>
      </c>
      <c r="D702">
        <v>204</v>
      </c>
      <c r="E702" t="s">
        <v>1447</v>
      </c>
      <c r="F702" t="s">
        <v>1857</v>
      </c>
      <c r="G702" t="s">
        <v>1741</v>
      </c>
      <c r="H702" t="s">
        <v>2396</v>
      </c>
      <c r="I702" t="s">
        <v>2277</v>
      </c>
      <c r="J702" t="s">
        <v>2277</v>
      </c>
      <c r="K702" t="s">
        <v>2277</v>
      </c>
      <c r="L702" t="s">
        <v>2277</v>
      </c>
      <c r="M702" t="s">
        <v>2277</v>
      </c>
      <c r="N702" t="s">
        <v>2277</v>
      </c>
      <c r="O702" s="190" t="str">
        <f t="shared" si="10"/>
        <v>[S05_DefaultValues][204][FuelMaterialType]</v>
      </c>
    </row>
    <row r="703" spans="1:15" x14ac:dyDescent="0.3">
      <c r="A703" t="s">
        <v>2278</v>
      </c>
      <c r="B703" t="s">
        <v>1847</v>
      </c>
      <c r="C703" t="s">
        <v>1855</v>
      </c>
      <c r="D703">
        <v>205</v>
      </c>
      <c r="E703" t="s">
        <v>1447</v>
      </c>
      <c r="F703" t="s">
        <v>1857</v>
      </c>
      <c r="G703" t="s">
        <v>1741</v>
      </c>
      <c r="H703" t="s">
        <v>2386</v>
      </c>
      <c r="I703" t="s">
        <v>2277</v>
      </c>
      <c r="J703" t="s">
        <v>2277</v>
      </c>
      <c r="K703" t="s">
        <v>2277</v>
      </c>
      <c r="L703" t="s">
        <v>2277</v>
      </c>
      <c r="M703" t="s">
        <v>2277</v>
      </c>
      <c r="N703" t="s">
        <v>2277</v>
      </c>
      <c r="O703" s="190" t="str">
        <f t="shared" si="10"/>
        <v>[S05_DefaultValues][205][FuelMaterialType]</v>
      </c>
    </row>
    <row r="704" spans="1:15" x14ac:dyDescent="0.3">
      <c r="A704" t="s">
        <v>2278</v>
      </c>
      <c r="B704" t="s">
        <v>1847</v>
      </c>
      <c r="C704" t="s">
        <v>1855</v>
      </c>
      <c r="D704">
        <v>206</v>
      </c>
      <c r="E704" t="s">
        <v>1447</v>
      </c>
      <c r="F704" t="s">
        <v>1857</v>
      </c>
      <c r="G704" t="s">
        <v>1741</v>
      </c>
      <c r="H704" t="s">
        <v>2395</v>
      </c>
      <c r="I704" t="s">
        <v>2277</v>
      </c>
      <c r="J704" t="s">
        <v>2277</v>
      </c>
      <c r="K704" t="s">
        <v>2277</v>
      </c>
      <c r="L704" t="s">
        <v>2277</v>
      </c>
      <c r="M704" t="s">
        <v>2277</v>
      </c>
      <c r="N704" t="s">
        <v>2277</v>
      </c>
      <c r="O704" s="190" t="str">
        <f t="shared" si="10"/>
        <v>[S05_DefaultValues][206][FuelMaterialType]</v>
      </c>
    </row>
    <row r="705" spans="1:15" x14ac:dyDescent="0.3">
      <c r="A705" t="s">
        <v>2278</v>
      </c>
      <c r="B705" t="s">
        <v>1847</v>
      </c>
      <c r="C705" t="s">
        <v>1855</v>
      </c>
      <c r="D705">
        <v>207</v>
      </c>
      <c r="E705" t="s">
        <v>1447</v>
      </c>
      <c r="F705" t="s">
        <v>1857</v>
      </c>
      <c r="G705" t="s">
        <v>1741</v>
      </c>
      <c r="H705" t="s">
        <v>2394</v>
      </c>
      <c r="I705" t="s">
        <v>2277</v>
      </c>
      <c r="J705" t="s">
        <v>2277</v>
      </c>
      <c r="K705" t="s">
        <v>2277</v>
      </c>
      <c r="L705" t="s">
        <v>2277</v>
      </c>
      <c r="M705" t="s">
        <v>2277</v>
      </c>
      <c r="N705" t="s">
        <v>2277</v>
      </c>
      <c r="O705" s="190" t="str">
        <f t="shared" si="10"/>
        <v>[S05_DefaultValues][207][FuelMaterialType]</v>
      </c>
    </row>
    <row r="706" spans="1:15" x14ac:dyDescent="0.3">
      <c r="A706" t="s">
        <v>2278</v>
      </c>
      <c r="B706" t="s">
        <v>1847</v>
      </c>
      <c r="C706" t="s">
        <v>1855</v>
      </c>
      <c r="D706">
        <v>208</v>
      </c>
      <c r="E706" t="s">
        <v>1447</v>
      </c>
      <c r="F706" t="s">
        <v>1857</v>
      </c>
      <c r="G706" t="s">
        <v>1741</v>
      </c>
      <c r="H706" t="s">
        <v>2393</v>
      </c>
      <c r="I706" t="s">
        <v>2277</v>
      </c>
      <c r="J706" t="s">
        <v>2277</v>
      </c>
      <c r="K706" t="s">
        <v>2277</v>
      </c>
      <c r="L706" t="s">
        <v>2277</v>
      </c>
      <c r="M706" t="s">
        <v>2277</v>
      </c>
      <c r="N706" t="s">
        <v>2277</v>
      </c>
      <c r="O706" s="190" t="str">
        <f t="shared" ref="O706:O769" si="11">"["&amp;$C706&amp;"]["&amp;$D706&amp;"]["&amp;$F706&amp;"]"</f>
        <v>[S05_DefaultValues][208][FuelMaterialType]</v>
      </c>
    </row>
    <row r="707" spans="1:15" x14ac:dyDescent="0.3">
      <c r="A707" t="s">
        <v>2278</v>
      </c>
      <c r="B707" t="s">
        <v>1847</v>
      </c>
      <c r="C707" t="s">
        <v>1855</v>
      </c>
      <c r="D707">
        <v>209</v>
      </c>
      <c r="E707" t="s">
        <v>1447</v>
      </c>
      <c r="F707" t="s">
        <v>1857</v>
      </c>
      <c r="G707" t="s">
        <v>1741</v>
      </c>
      <c r="H707" t="s">
        <v>2392</v>
      </c>
      <c r="I707" t="s">
        <v>2277</v>
      </c>
      <c r="J707" t="s">
        <v>2277</v>
      </c>
      <c r="K707" t="s">
        <v>2277</v>
      </c>
      <c r="L707" t="s">
        <v>2277</v>
      </c>
      <c r="M707" t="s">
        <v>2277</v>
      </c>
      <c r="N707" t="s">
        <v>2277</v>
      </c>
      <c r="O707" s="190" t="str">
        <f t="shared" si="11"/>
        <v>[S05_DefaultValues][209][FuelMaterialType]</v>
      </c>
    </row>
    <row r="708" spans="1:15" x14ac:dyDescent="0.3">
      <c r="A708" t="s">
        <v>2278</v>
      </c>
      <c r="B708" t="s">
        <v>1847</v>
      </c>
      <c r="C708" t="s">
        <v>1855</v>
      </c>
      <c r="D708">
        <v>210</v>
      </c>
      <c r="E708" t="s">
        <v>1447</v>
      </c>
      <c r="F708" t="s">
        <v>1857</v>
      </c>
      <c r="G708" t="s">
        <v>1741</v>
      </c>
      <c r="H708" t="s">
        <v>2391</v>
      </c>
      <c r="I708" t="s">
        <v>2277</v>
      </c>
      <c r="J708" t="s">
        <v>2277</v>
      </c>
      <c r="K708" t="s">
        <v>2277</v>
      </c>
      <c r="L708" t="s">
        <v>2277</v>
      </c>
      <c r="M708" t="s">
        <v>2277</v>
      </c>
      <c r="N708" t="s">
        <v>2277</v>
      </c>
      <c r="O708" s="190" t="str">
        <f t="shared" si="11"/>
        <v>[S05_DefaultValues][210][FuelMaterialType]</v>
      </c>
    </row>
    <row r="709" spans="1:15" x14ac:dyDescent="0.3">
      <c r="A709" t="s">
        <v>2278</v>
      </c>
      <c r="B709" t="s">
        <v>1847</v>
      </c>
      <c r="C709" t="s">
        <v>1855</v>
      </c>
      <c r="D709">
        <v>211</v>
      </c>
      <c r="E709" t="s">
        <v>1447</v>
      </c>
      <c r="F709" t="s">
        <v>1857</v>
      </c>
      <c r="G709" t="s">
        <v>1741</v>
      </c>
      <c r="H709" t="s">
        <v>2390</v>
      </c>
      <c r="I709" t="s">
        <v>2277</v>
      </c>
      <c r="J709" t="s">
        <v>2277</v>
      </c>
      <c r="K709" t="s">
        <v>2277</v>
      </c>
      <c r="L709" t="s">
        <v>2277</v>
      </c>
      <c r="M709" t="s">
        <v>2277</v>
      </c>
      <c r="N709" t="s">
        <v>2277</v>
      </c>
      <c r="O709" s="190" t="str">
        <f t="shared" si="11"/>
        <v>[S05_DefaultValues][211][FuelMaterialType]</v>
      </c>
    </row>
    <row r="710" spans="1:15" x14ac:dyDescent="0.3">
      <c r="A710" t="s">
        <v>2278</v>
      </c>
      <c r="B710" t="s">
        <v>1847</v>
      </c>
      <c r="C710" t="s">
        <v>1855</v>
      </c>
      <c r="D710">
        <v>212</v>
      </c>
      <c r="E710" t="s">
        <v>1447</v>
      </c>
      <c r="F710" t="s">
        <v>1857</v>
      </c>
      <c r="G710" t="s">
        <v>1741</v>
      </c>
      <c r="H710" t="s">
        <v>2389</v>
      </c>
      <c r="I710" t="s">
        <v>2277</v>
      </c>
      <c r="J710" t="s">
        <v>2277</v>
      </c>
      <c r="K710" t="s">
        <v>2277</v>
      </c>
      <c r="L710" t="s">
        <v>2277</v>
      </c>
      <c r="M710" t="s">
        <v>2277</v>
      </c>
      <c r="N710" t="s">
        <v>2277</v>
      </c>
      <c r="O710" s="190" t="str">
        <f t="shared" si="11"/>
        <v>[S05_DefaultValues][212][FuelMaterialType]</v>
      </c>
    </row>
    <row r="711" spans="1:15" x14ac:dyDescent="0.3">
      <c r="A711" t="s">
        <v>2278</v>
      </c>
      <c r="B711" t="s">
        <v>1847</v>
      </c>
      <c r="C711" t="s">
        <v>1855</v>
      </c>
      <c r="D711">
        <v>213</v>
      </c>
      <c r="E711" t="s">
        <v>1447</v>
      </c>
      <c r="F711" t="s">
        <v>1857</v>
      </c>
      <c r="G711" t="s">
        <v>1741</v>
      </c>
      <c r="H711" t="s">
        <v>2388</v>
      </c>
      <c r="I711" t="s">
        <v>2277</v>
      </c>
      <c r="J711" t="s">
        <v>2277</v>
      </c>
      <c r="K711" t="s">
        <v>2277</v>
      </c>
      <c r="L711" t="s">
        <v>2277</v>
      </c>
      <c r="M711" t="s">
        <v>2277</v>
      </c>
      <c r="N711" t="s">
        <v>2277</v>
      </c>
      <c r="O711" s="190" t="str">
        <f t="shared" si="11"/>
        <v>[S05_DefaultValues][213][FuelMaterialType]</v>
      </c>
    </row>
    <row r="712" spans="1:15" x14ac:dyDescent="0.3">
      <c r="A712" t="s">
        <v>2278</v>
      </c>
      <c r="B712" t="s">
        <v>1847</v>
      </c>
      <c r="C712" t="s">
        <v>1855</v>
      </c>
      <c r="D712">
        <v>214</v>
      </c>
      <c r="E712" t="s">
        <v>1447</v>
      </c>
      <c r="F712" t="s">
        <v>1857</v>
      </c>
      <c r="G712" t="s">
        <v>1741</v>
      </c>
      <c r="H712" t="s">
        <v>2387</v>
      </c>
      <c r="I712" t="s">
        <v>2277</v>
      </c>
      <c r="J712" t="s">
        <v>2277</v>
      </c>
      <c r="K712" t="s">
        <v>2277</v>
      </c>
      <c r="L712" t="s">
        <v>2277</v>
      </c>
      <c r="M712" t="s">
        <v>2277</v>
      </c>
      <c r="N712" t="s">
        <v>2277</v>
      </c>
      <c r="O712" s="190" t="str">
        <f t="shared" si="11"/>
        <v>[S05_DefaultValues][214][FuelMaterialType]</v>
      </c>
    </row>
    <row r="713" spans="1:15" x14ac:dyDescent="0.3">
      <c r="A713" t="s">
        <v>2278</v>
      </c>
      <c r="B713" t="s">
        <v>1847</v>
      </c>
      <c r="C713" t="s">
        <v>1855</v>
      </c>
      <c r="D713">
        <v>1</v>
      </c>
      <c r="E713" t="s">
        <v>1447</v>
      </c>
      <c r="F713" t="s">
        <v>1858</v>
      </c>
      <c r="G713" t="s">
        <v>1748</v>
      </c>
      <c r="H713" t="s">
        <v>2277</v>
      </c>
      <c r="I713">
        <v>1</v>
      </c>
      <c r="J713" t="s">
        <v>2277</v>
      </c>
      <c r="K713" t="s">
        <v>2277</v>
      </c>
      <c r="L713" t="s">
        <v>2277</v>
      </c>
      <c r="M713" t="s">
        <v>2277</v>
      </c>
      <c r="N713" t="s">
        <v>2277</v>
      </c>
      <c r="O713" s="190" t="str">
        <f t="shared" si="11"/>
        <v>[S05_DefaultValues][1][InstallationNumber]</v>
      </c>
    </row>
    <row r="714" spans="1:15" x14ac:dyDescent="0.3">
      <c r="A714" t="s">
        <v>2278</v>
      </c>
      <c r="B714" t="s">
        <v>1847</v>
      </c>
      <c r="C714" t="s">
        <v>1855</v>
      </c>
      <c r="D714">
        <v>2</v>
      </c>
      <c r="E714" t="s">
        <v>1447</v>
      </c>
      <c r="F714" t="s">
        <v>1858</v>
      </c>
      <c r="G714" t="s">
        <v>1748</v>
      </c>
      <c r="H714" t="s">
        <v>2277</v>
      </c>
      <c r="I714">
        <v>7</v>
      </c>
      <c r="J714" t="s">
        <v>2277</v>
      </c>
      <c r="K714" t="s">
        <v>2277</v>
      </c>
      <c r="L714" t="s">
        <v>2277</v>
      </c>
      <c r="M714" t="s">
        <v>2277</v>
      </c>
      <c r="N714" t="s">
        <v>2277</v>
      </c>
      <c r="O714" s="190" t="str">
        <f t="shared" si="11"/>
        <v>[S05_DefaultValues][2][InstallationNumber]</v>
      </c>
    </row>
    <row r="715" spans="1:15" x14ac:dyDescent="0.3">
      <c r="A715" t="s">
        <v>2278</v>
      </c>
      <c r="B715" t="s">
        <v>1847</v>
      </c>
      <c r="C715" t="s">
        <v>1855</v>
      </c>
      <c r="D715">
        <v>3</v>
      </c>
      <c r="E715" t="s">
        <v>1447</v>
      </c>
      <c r="F715" t="s">
        <v>1858</v>
      </c>
      <c r="G715" t="s">
        <v>1748</v>
      </c>
      <c r="H715" t="s">
        <v>2277</v>
      </c>
      <c r="I715">
        <v>35</v>
      </c>
      <c r="J715" t="s">
        <v>2277</v>
      </c>
      <c r="K715" t="s">
        <v>2277</v>
      </c>
      <c r="L715" t="s">
        <v>2277</v>
      </c>
      <c r="M715" t="s">
        <v>2277</v>
      </c>
      <c r="N715" t="s">
        <v>2277</v>
      </c>
      <c r="O715" s="190" t="str">
        <f t="shared" si="11"/>
        <v>[S05_DefaultValues][3][InstallationNumber]</v>
      </c>
    </row>
    <row r="716" spans="1:15" x14ac:dyDescent="0.3">
      <c r="A716" t="s">
        <v>2278</v>
      </c>
      <c r="B716" t="s">
        <v>1847</v>
      </c>
      <c r="C716" t="s">
        <v>1855</v>
      </c>
      <c r="D716">
        <v>4</v>
      </c>
      <c r="E716" t="s">
        <v>1447</v>
      </c>
      <c r="F716" t="s">
        <v>1858</v>
      </c>
      <c r="G716" t="s">
        <v>1748</v>
      </c>
      <c r="H716" t="s">
        <v>2277</v>
      </c>
      <c r="I716">
        <v>1</v>
      </c>
      <c r="J716" t="s">
        <v>2277</v>
      </c>
      <c r="K716" t="s">
        <v>2277</v>
      </c>
      <c r="L716" t="s">
        <v>2277</v>
      </c>
      <c r="M716" t="s">
        <v>2277</v>
      </c>
      <c r="N716" t="s">
        <v>2277</v>
      </c>
      <c r="O716" s="190" t="str">
        <f t="shared" si="11"/>
        <v>[S05_DefaultValues][4][InstallationNumber]</v>
      </c>
    </row>
    <row r="717" spans="1:15" x14ac:dyDescent="0.3">
      <c r="A717" t="s">
        <v>2278</v>
      </c>
      <c r="B717" t="s">
        <v>1847</v>
      </c>
      <c r="C717" t="s">
        <v>1855</v>
      </c>
      <c r="D717">
        <v>5</v>
      </c>
      <c r="E717" t="s">
        <v>1447</v>
      </c>
      <c r="F717" t="s">
        <v>1858</v>
      </c>
      <c r="G717" t="s">
        <v>1748</v>
      </c>
      <c r="H717" t="s">
        <v>2277</v>
      </c>
      <c r="I717">
        <v>1</v>
      </c>
      <c r="J717" t="s">
        <v>2277</v>
      </c>
      <c r="K717" t="s">
        <v>2277</v>
      </c>
      <c r="L717" t="s">
        <v>2277</v>
      </c>
      <c r="M717" t="s">
        <v>2277</v>
      </c>
      <c r="N717" t="s">
        <v>2277</v>
      </c>
      <c r="O717" s="190" t="str">
        <f t="shared" si="11"/>
        <v>[S05_DefaultValues][5][InstallationNumber]</v>
      </c>
    </row>
    <row r="718" spans="1:15" x14ac:dyDescent="0.3">
      <c r="A718" t="s">
        <v>2278</v>
      </c>
      <c r="B718" t="s">
        <v>1847</v>
      </c>
      <c r="C718" t="s">
        <v>1855</v>
      </c>
      <c r="D718">
        <v>6</v>
      </c>
      <c r="E718" t="s">
        <v>1447</v>
      </c>
      <c r="F718" t="s">
        <v>1858</v>
      </c>
      <c r="G718" t="s">
        <v>1748</v>
      </c>
      <c r="H718" t="s">
        <v>2277</v>
      </c>
      <c r="I718">
        <v>3</v>
      </c>
      <c r="J718" t="s">
        <v>2277</v>
      </c>
      <c r="K718" t="s">
        <v>2277</v>
      </c>
      <c r="L718" t="s">
        <v>2277</v>
      </c>
      <c r="M718" t="s">
        <v>2277</v>
      </c>
      <c r="N718" t="s">
        <v>2277</v>
      </c>
      <c r="O718" s="190" t="str">
        <f t="shared" si="11"/>
        <v>[S05_DefaultValues][6][InstallationNumber]</v>
      </c>
    </row>
    <row r="719" spans="1:15" x14ac:dyDescent="0.3">
      <c r="A719" t="s">
        <v>2278</v>
      </c>
      <c r="B719" t="s">
        <v>1847</v>
      </c>
      <c r="C719" t="s">
        <v>1855</v>
      </c>
      <c r="D719">
        <v>7</v>
      </c>
      <c r="E719" t="s">
        <v>1447</v>
      </c>
      <c r="F719" t="s">
        <v>1858</v>
      </c>
      <c r="G719" t="s">
        <v>1748</v>
      </c>
      <c r="H719" t="s">
        <v>2277</v>
      </c>
      <c r="I719">
        <v>6</v>
      </c>
      <c r="J719" t="s">
        <v>2277</v>
      </c>
      <c r="K719" t="s">
        <v>2277</v>
      </c>
      <c r="L719" t="s">
        <v>2277</v>
      </c>
      <c r="M719" t="s">
        <v>2277</v>
      </c>
      <c r="N719" t="s">
        <v>2277</v>
      </c>
      <c r="O719" s="190" t="str">
        <f t="shared" si="11"/>
        <v>[S05_DefaultValues][7][InstallationNumber]</v>
      </c>
    </row>
    <row r="720" spans="1:15" x14ac:dyDescent="0.3">
      <c r="A720" t="s">
        <v>2278</v>
      </c>
      <c r="B720" t="s">
        <v>1847</v>
      </c>
      <c r="C720" t="s">
        <v>1855</v>
      </c>
      <c r="D720">
        <v>8</v>
      </c>
      <c r="E720" t="s">
        <v>1447</v>
      </c>
      <c r="F720" t="s">
        <v>1858</v>
      </c>
      <c r="G720" t="s">
        <v>1748</v>
      </c>
      <c r="H720" t="s">
        <v>2277</v>
      </c>
      <c r="I720">
        <v>1</v>
      </c>
      <c r="J720" t="s">
        <v>2277</v>
      </c>
      <c r="K720" t="s">
        <v>2277</v>
      </c>
      <c r="L720" t="s">
        <v>2277</v>
      </c>
      <c r="M720" t="s">
        <v>2277</v>
      </c>
      <c r="N720" t="s">
        <v>2277</v>
      </c>
      <c r="O720" s="190" t="str">
        <f t="shared" si="11"/>
        <v>[S05_DefaultValues][8][InstallationNumber]</v>
      </c>
    </row>
    <row r="721" spans="1:15" x14ac:dyDescent="0.3">
      <c r="A721" t="s">
        <v>2278</v>
      </c>
      <c r="B721" t="s">
        <v>1847</v>
      </c>
      <c r="C721" t="s">
        <v>1855</v>
      </c>
      <c r="D721">
        <v>9</v>
      </c>
      <c r="E721" t="s">
        <v>1447</v>
      </c>
      <c r="F721" t="s">
        <v>1858</v>
      </c>
      <c r="G721" t="s">
        <v>1748</v>
      </c>
      <c r="H721" t="s">
        <v>2277</v>
      </c>
      <c r="I721">
        <v>2</v>
      </c>
      <c r="J721" t="s">
        <v>2277</v>
      </c>
      <c r="K721" t="s">
        <v>2277</v>
      </c>
      <c r="L721" t="s">
        <v>2277</v>
      </c>
      <c r="M721" t="s">
        <v>2277</v>
      </c>
      <c r="N721" t="s">
        <v>2277</v>
      </c>
      <c r="O721" s="190" t="str">
        <f t="shared" si="11"/>
        <v>[S05_DefaultValues][9][InstallationNumber]</v>
      </c>
    </row>
    <row r="722" spans="1:15" x14ac:dyDescent="0.3">
      <c r="A722" t="s">
        <v>2278</v>
      </c>
      <c r="B722" t="s">
        <v>1847</v>
      </c>
      <c r="C722" t="s">
        <v>1855</v>
      </c>
      <c r="D722">
        <v>10</v>
      </c>
      <c r="E722" t="s">
        <v>1447</v>
      </c>
      <c r="F722" t="s">
        <v>1858</v>
      </c>
      <c r="G722" t="s">
        <v>1748</v>
      </c>
      <c r="H722" t="s">
        <v>2277</v>
      </c>
      <c r="I722">
        <v>2</v>
      </c>
      <c r="J722" t="s">
        <v>2277</v>
      </c>
      <c r="K722" t="s">
        <v>2277</v>
      </c>
      <c r="L722" t="s">
        <v>2277</v>
      </c>
      <c r="M722" t="s">
        <v>2277</v>
      </c>
      <c r="N722" t="s">
        <v>2277</v>
      </c>
      <c r="O722" s="190" t="str">
        <f t="shared" si="11"/>
        <v>[S05_DefaultValues][10][InstallationNumber]</v>
      </c>
    </row>
    <row r="723" spans="1:15" x14ac:dyDescent="0.3">
      <c r="A723" t="s">
        <v>2278</v>
      </c>
      <c r="B723" t="s">
        <v>1847</v>
      </c>
      <c r="C723" t="s">
        <v>1855</v>
      </c>
      <c r="D723">
        <v>11</v>
      </c>
      <c r="E723" t="s">
        <v>1447</v>
      </c>
      <c r="F723" t="s">
        <v>1858</v>
      </c>
      <c r="G723" t="s">
        <v>1748</v>
      </c>
      <c r="H723" t="s">
        <v>2277</v>
      </c>
      <c r="I723">
        <v>2</v>
      </c>
      <c r="J723" t="s">
        <v>2277</v>
      </c>
      <c r="K723" t="s">
        <v>2277</v>
      </c>
      <c r="L723" t="s">
        <v>2277</v>
      </c>
      <c r="M723" t="s">
        <v>2277</v>
      </c>
      <c r="N723" t="s">
        <v>2277</v>
      </c>
      <c r="O723" s="190" t="str">
        <f t="shared" si="11"/>
        <v>[S05_DefaultValues][11][InstallationNumber]</v>
      </c>
    </row>
    <row r="724" spans="1:15" x14ac:dyDescent="0.3">
      <c r="A724" t="s">
        <v>2278</v>
      </c>
      <c r="B724" t="s">
        <v>1847</v>
      </c>
      <c r="C724" t="s">
        <v>1855</v>
      </c>
      <c r="D724">
        <v>12</v>
      </c>
      <c r="E724" t="s">
        <v>1447</v>
      </c>
      <c r="F724" t="s">
        <v>1858</v>
      </c>
      <c r="G724" t="s">
        <v>1748</v>
      </c>
      <c r="H724" t="s">
        <v>2277</v>
      </c>
      <c r="I724">
        <v>3</v>
      </c>
      <c r="J724" t="s">
        <v>2277</v>
      </c>
      <c r="K724" t="s">
        <v>2277</v>
      </c>
      <c r="L724" t="s">
        <v>2277</v>
      </c>
      <c r="M724" t="s">
        <v>2277</v>
      </c>
      <c r="N724" t="s">
        <v>2277</v>
      </c>
      <c r="O724" s="190" t="str">
        <f t="shared" si="11"/>
        <v>[S05_DefaultValues][12][InstallationNumber]</v>
      </c>
    </row>
    <row r="725" spans="1:15" x14ac:dyDescent="0.3">
      <c r="A725" t="s">
        <v>2278</v>
      </c>
      <c r="B725" t="s">
        <v>1847</v>
      </c>
      <c r="C725" t="s">
        <v>1855</v>
      </c>
      <c r="D725">
        <v>13</v>
      </c>
      <c r="E725" t="s">
        <v>1447</v>
      </c>
      <c r="F725" t="s">
        <v>1858</v>
      </c>
      <c r="G725" t="s">
        <v>1748</v>
      </c>
      <c r="H725" t="s">
        <v>2277</v>
      </c>
      <c r="I725">
        <v>126</v>
      </c>
      <c r="J725" t="s">
        <v>2277</v>
      </c>
      <c r="K725" t="s">
        <v>2277</v>
      </c>
      <c r="L725" t="s">
        <v>2277</v>
      </c>
      <c r="M725" t="s">
        <v>2277</v>
      </c>
      <c r="N725" t="s">
        <v>2277</v>
      </c>
      <c r="O725" s="190" t="str">
        <f t="shared" si="11"/>
        <v>[S05_DefaultValues][13][InstallationNumber]</v>
      </c>
    </row>
    <row r="726" spans="1:15" x14ac:dyDescent="0.3">
      <c r="A726" t="s">
        <v>2278</v>
      </c>
      <c r="B726" t="s">
        <v>1847</v>
      </c>
      <c r="C726" t="s">
        <v>1855</v>
      </c>
      <c r="D726">
        <v>14</v>
      </c>
      <c r="E726" t="s">
        <v>1447</v>
      </c>
      <c r="F726" t="s">
        <v>1858</v>
      </c>
      <c r="G726" t="s">
        <v>1748</v>
      </c>
      <c r="H726" t="s">
        <v>2277</v>
      </c>
      <c r="I726">
        <v>4</v>
      </c>
      <c r="J726" t="s">
        <v>2277</v>
      </c>
      <c r="K726" t="s">
        <v>2277</v>
      </c>
      <c r="L726" t="s">
        <v>2277</v>
      </c>
      <c r="M726" t="s">
        <v>2277</v>
      </c>
      <c r="N726" t="s">
        <v>2277</v>
      </c>
      <c r="O726" s="190" t="str">
        <f t="shared" si="11"/>
        <v>[S05_DefaultValues][14][InstallationNumber]</v>
      </c>
    </row>
    <row r="727" spans="1:15" x14ac:dyDescent="0.3">
      <c r="A727" t="s">
        <v>2278</v>
      </c>
      <c r="B727" t="s">
        <v>1847</v>
      </c>
      <c r="C727" t="s">
        <v>1855</v>
      </c>
      <c r="D727">
        <v>15</v>
      </c>
      <c r="E727" t="s">
        <v>1447</v>
      </c>
      <c r="F727" t="s">
        <v>1858</v>
      </c>
      <c r="G727" t="s">
        <v>1748</v>
      </c>
      <c r="H727" t="s">
        <v>2277</v>
      </c>
      <c r="I727">
        <v>1</v>
      </c>
      <c r="J727" t="s">
        <v>2277</v>
      </c>
      <c r="K727" t="s">
        <v>2277</v>
      </c>
      <c r="L727" t="s">
        <v>2277</v>
      </c>
      <c r="M727" t="s">
        <v>2277</v>
      </c>
      <c r="N727" t="s">
        <v>2277</v>
      </c>
      <c r="O727" s="190" t="str">
        <f t="shared" si="11"/>
        <v>[S05_DefaultValues][15][InstallationNumber]</v>
      </c>
    </row>
    <row r="728" spans="1:15" x14ac:dyDescent="0.3">
      <c r="A728" t="s">
        <v>2278</v>
      </c>
      <c r="B728" t="s">
        <v>1847</v>
      </c>
      <c r="C728" t="s">
        <v>1855</v>
      </c>
      <c r="D728">
        <v>16</v>
      </c>
      <c r="E728" t="s">
        <v>1447</v>
      </c>
      <c r="F728" t="s">
        <v>1858</v>
      </c>
      <c r="G728" t="s">
        <v>1748</v>
      </c>
      <c r="H728" t="s">
        <v>2277</v>
      </c>
      <c r="I728">
        <v>1</v>
      </c>
      <c r="J728" t="s">
        <v>2277</v>
      </c>
      <c r="K728" t="s">
        <v>2277</v>
      </c>
      <c r="L728" t="s">
        <v>2277</v>
      </c>
      <c r="M728" t="s">
        <v>2277</v>
      </c>
      <c r="N728" t="s">
        <v>2277</v>
      </c>
      <c r="O728" s="190" t="str">
        <f t="shared" si="11"/>
        <v>[S05_DefaultValues][16][InstallationNumber]</v>
      </c>
    </row>
    <row r="729" spans="1:15" x14ac:dyDescent="0.3">
      <c r="A729" t="s">
        <v>2278</v>
      </c>
      <c r="B729" t="s">
        <v>1847</v>
      </c>
      <c r="C729" t="s">
        <v>1855</v>
      </c>
      <c r="D729">
        <v>17</v>
      </c>
      <c r="E729" t="s">
        <v>1447</v>
      </c>
      <c r="F729" t="s">
        <v>1858</v>
      </c>
      <c r="G729" t="s">
        <v>1748</v>
      </c>
      <c r="H729" t="s">
        <v>2277</v>
      </c>
      <c r="I729">
        <v>2</v>
      </c>
      <c r="J729" t="s">
        <v>2277</v>
      </c>
      <c r="K729" t="s">
        <v>2277</v>
      </c>
      <c r="L729" t="s">
        <v>2277</v>
      </c>
      <c r="M729" t="s">
        <v>2277</v>
      </c>
      <c r="N729" t="s">
        <v>2277</v>
      </c>
      <c r="O729" s="190" t="str">
        <f t="shared" si="11"/>
        <v>[S05_DefaultValues][17][InstallationNumber]</v>
      </c>
    </row>
    <row r="730" spans="1:15" x14ac:dyDescent="0.3">
      <c r="A730" t="s">
        <v>2278</v>
      </c>
      <c r="B730" t="s">
        <v>1847</v>
      </c>
      <c r="C730" t="s">
        <v>1855</v>
      </c>
      <c r="D730">
        <v>18</v>
      </c>
      <c r="E730" t="s">
        <v>1447</v>
      </c>
      <c r="F730" t="s">
        <v>1858</v>
      </c>
      <c r="G730" t="s">
        <v>1748</v>
      </c>
      <c r="H730" t="s">
        <v>2277</v>
      </c>
      <c r="I730">
        <v>1</v>
      </c>
      <c r="J730" t="s">
        <v>2277</v>
      </c>
      <c r="K730" t="s">
        <v>2277</v>
      </c>
      <c r="L730" t="s">
        <v>2277</v>
      </c>
      <c r="M730" t="s">
        <v>2277</v>
      </c>
      <c r="N730" t="s">
        <v>2277</v>
      </c>
      <c r="O730" s="190" t="str">
        <f t="shared" si="11"/>
        <v>[S05_DefaultValues][18][InstallationNumber]</v>
      </c>
    </row>
    <row r="731" spans="1:15" x14ac:dyDescent="0.3">
      <c r="A731" t="s">
        <v>2278</v>
      </c>
      <c r="B731" t="s">
        <v>1847</v>
      </c>
      <c r="C731" t="s">
        <v>1855</v>
      </c>
      <c r="D731">
        <v>19</v>
      </c>
      <c r="E731" t="s">
        <v>1447</v>
      </c>
      <c r="F731" t="s">
        <v>1858</v>
      </c>
      <c r="G731" t="s">
        <v>1748</v>
      </c>
      <c r="H731" t="s">
        <v>2277</v>
      </c>
      <c r="I731">
        <v>3</v>
      </c>
      <c r="J731" t="s">
        <v>2277</v>
      </c>
      <c r="K731" t="s">
        <v>2277</v>
      </c>
      <c r="L731" t="s">
        <v>2277</v>
      </c>
      <c r="M731" t="s">
        <v>2277</v>
      </c>
      <c r="N731" t="s">
        <v>2277</v>
      </c>
      <c r="O731" s="190" t="str">
        <f t="shared" si="11"/>
        <v>[S05_DefaultValues][19][InstallationNumber]</v>
      </c>
    </row>
    <row r="732" spans="1:15" x14ac:dyDescent="0.3">
      <c r="A732" t="s">
        <v>2278</v>
      </c>
      <c r="B732" t="s">
        <v>1847</v>
      </c>
      <c r="C732" t="s">
        <v>1855</v>
      </c>
      <c r="D732">
        <v>20</v>
      </c>
      <c r="E732" t="s">
        <v>1447</v>
      </c>
      <c r="F732" t="s">
        <v>1858</v>
      </c>
      <c r="G732" t="s">
        <v>1748</v>
      </c>
      <c r="H732" t="s">
        <v>2277</v>
      </c>
      <c r="I732">
        <v>1</v>
      </c>
      <c r="J732" t="s">
        <v>2277</v>
      </c>
      <c r="K732" t="s">
        <v>2277</v>
      </c>
      <c r="L732" t="s">
        <v>2277</v>
      </c>
      <c r="M732" t="s">
        <v>2277</v>
      </c>
      <c r="N732" t="s">
        <v>2277</v>
      </c>
      <c r="O732" s="190" t="str">
        <f t="shared" si="11"/>
        <v>[S05_DefaultValues][20][InstallationNumber]</v>
      </c>
    </row>
    <row r="733" spans="1:15" x14ac:dyDescent="0.3">
      <c r="A733" t="s">
        <v>2278</v>
      </c>
      <c r="B733" t="s">
        <v>1847</v>
      </c>
      <c r="C733" t="s">
        <v>1855</v>
      </c>
      <c r="D733">
        <v>21</v>
      </c>
      <c r="E733" t="s">
        <v>1447</v>
      </c>
      <c r="F733" t="s">
        <v>1858</v>
      </c>
      <c r="G733" t="s">
        <v>1748</v>
      </c>
      <c r="H733" t="s">
        <v>2277</v>
      </c>
      <c r="I733">
        <v>1</v>
      </c>
      <c r="J733" t="s">
        <v>2277</v>
      </c>
      <c r="K733" t="s">
        <v>2277</v>
      </c>
      <c r="L733" t="s">
        <v>2277</v>
      </c>
      <c r="M733" t="s">
        <v>2277</v>
      </c>
      <c r="N733" t="s">
        <v>2277</v>
      </c>
      <c r="O733" s="190" t="str">
        <f t="shared" si="11"/>
        <v>[S05_DefaultValues][21][InstallationNumber]</v>
      </c>
    </row>
    <row r="734" spans="1:15" x14ac:dyDescent="0.3">
      <c r="A734" t="s">
        <v>2278</v>
      </c>
      <c r="B734" t="s">
        <v>1847</v>
      </c>
      <c r="C734" t="s">
        <v>1855</v>
      </c>
      <c r="D734">
        <v>22</v>
      </c>
      <c r="E734" t="s">
        <v>1447</v>
      </c>
      <c r="F734" t="s">
        <v>1858</v>
      </c>
      <c r="G734" t="s">
        <v>1748</v>
      </c>
      <c r="H734" t="s">
        <v>2277</v>
      </c>
      <c r="I734">
        <v>1</v>
      </c>
      <c r="J734" t="s">
        <v>2277</v>
      </c>
      <c r="K734" t="s">
        <v>2277</v>
      </c>
      <c r="L734" t="s">
        <v>2277</v>
      </c>
      <c r="M734" t="s">
        <v>2277</v>
      </c>
      <c r="N734" t="s">
        <v>2277</v>
      </c>
      <c r="O734" s="190" t="str">
        <f t="shared" si="11"/>
        <v>[S05_DefaultValues][22][InstallationNumber]</v>
      </c>
    </row>
    <row r="735" spans="1:15" x14ac:dyDescent="0.3">
      <c r="A735" t="s">
        <v>2278</v>
      </c>
      <c r="B735" t="s">
        <v>1847</v>
      </c>
      <c r="C735" t="s">
        <v>1855</v>
      </c>
      <c r="D735">
        <v>23</v>
      </c>
      <c r="E735" t="s">
        <v>1447</v>
      </c>
      <c r="F735" t="s">
        <v>1858</v>
      </c>
      <c r="G735" t="s">
        <v>1748</v>
      </c>
      <c r="H735" t="s">
        <v>2277</v>
      </c>
      <c r="I735">
        <v>1</v>
      </c>
      <c r="J735" t="s">
        <v>2277</v>
      </c>
      <c r="K735" t="s">
        <v>2277</v>
      </c>
      <c r="L735" t="s">
        <v>2277</v>
      </c>
      <c r="M735" t="s">
        <v>2277</v>
      </c>
      <c r="N735" t="s">
        <v>2277</v>
      </c>
      <c r="O735" s="190" t="str">
        <f t="shared" si="11"/>
        <v>[S05_DefaultValues][23][InstallationNumber]</v>
      </c>
    </row>
    <row r="736" spans="1:15" x14ac:dyDescent="0.3">
      <c r="A736" t="s">
        <v>2278</v>
      </c>
      <c r="B736" t="s">
        <v>1847</v>
      </c>
      <c r="C736" t="s">
        <v>1855</v>
      </c>
      <c r="D736">
        <v>24</v>
      </c>
      <c r="E736" t="s">
        <v>1447</v>
      </c>
      <c r="F736" t="s">
        <v>1858</v>
      </c>
      <c r="G736" t="s">
        <v>1748</v>
      </c>
      <c r="H736" t="s">
        <v>2277</v>
      </c>
      <c r="I736">
        <v>1</v>
      </c>
      <c r="J736" t="s">
        <v>2277</v>
      </c>
      <c r="K736" t="s">
        <v>2277</v>
      </c>
      <c r="L736" t="s">
        <v>2277</v>
      </c>
      <c r="M736" t="s">
        <v>2277</v>
      </c>
      <c r="N736" t="s">
        <v>2277</v>
      </c>
      <c r="O736" s="190" t="str">
        <f t="shared" si="11"/>
        <v>[S05_DefaultValues][24][InstallationNumber]</v>
      </c>
    </row>
    <row r="737" spans="1:15" x14ac:dyDescent="0.3">
      <c r="A737" t="s">
        <v>2278</v>
      </c>
      <c r="B737" t="s">
        <v>1847</v>
      </c>
      <c r="C737" t="s">
        <v>1855</v>
      </c>
      <c r="D737">
        <v>25</v>
      </c>
      <c r="E737" t="s">
        <v>1447</v>
      </c>
      <c r="F737" t="s">
        <v>1858</v>
      </c>
      <c r="G737" t="s">
        <v>1748</v>
      </c>
      <c r="H737" t="s">
        <v>2277</v>
      </c>
      <c r="I737">
        <v>1</v>
      </c>
      <c r="J737" t="s">
        <v>2277</v>
      </c>
      <c r="K737" t="s">
        <v>2277</v>
      </c>
      <c r="L737" t="s">
        <v>2277</v>
      </c>
      <c r="M737" t="s">
        <v>2277</v>
      </c>
      <c r="N737" t="s">
        <v>2277</v>
      </c>
      <c r="O737" s="190" t="str">
        <f t="shared" si="11"/>
        <v>[S05_DefaultValues][25][InstallationNumber]</v>
      </c>
    </row>
    <row r="738" spans="1:15" x14ac:dyDescent="0.3">
      <c r="A738" t="s">
        <v>2278</v>
      </c>
      <c r="B738" t="s">
        <v>1847</v>
      </c>
      <c r="C738" t="s">
        <v>1855</v>
      </c>
      <c r="D738">
        <v>26</v>
      </c>
      <c r="E738" t="s">
        <v>1447</v>
      </c>
      <c r="F738" t="s">
        <v>1858</v>
      </c>
      <c r="G738" t="s">
        <v>1748</v>
      </c>
      <c r="H738" t="s">
        <v>2277</v>
      </c>
      <c r="I738">
        <v>1</v>
      </c>
      <c r="J738" t="s">
        <v>2277</v>
      </c>
      <c r="K738" t="s">
        <v>2277</v>
      </c>
      <c r="L738" t="s">
        <v>2277</v>
      </c>
      <c r="M738" t="s">
        <v>2277</v>
      </c>
      <c r="N738" t="s">
        <v>2277</v>
      </c>
      <c r="O738" s="190" t="str">
        <f t="shared" si="11"/>
        <v>[S05_DefaultValues][26][InstallationNumber]</v>
      </c>
    </row>
    <row r="739" spans="1:15" x14ac:dyDescent="0.3">
      <c r="A739" t="s">
        <v>2278</v>
      </c>
      <c r="B739" t="s">
        <v>1847</v>
      </c>
      <c r="C739" t="s">
        <v>1855</v>
      </c>
      <c r="D739">
        <v>27</v>
      </c>
      <c r="E739" t="s">
        <v>1447</v>
      </c>
      <c r="F739" t="s">
        <v>1858</v>
      </c>
      <c r="G739" t="s">
        <v>1748</v>
      </c>
      <c r="H739" t="s">
        <v>2277</v>
      </c>
      <c r="I739">
        <v>43</v>
      </c>
      <c r="J739" t="s">
        <v>2277</v>
      </c>
      <c r="K739" t="s">
        <v>2277</v>
      </c>
      <c r="L739" t="s">
        <v>2277</v>
      </c>
      <c r="M739" t="s">
        <v>2277</v>
      </c>
      <c r="N739" t="s">
        <v>2277</v>
      </c>
      <c r="O739" s="190" t="str">
        <f t="shared" si="11"/>
        <v>[S05_DefaultValues][27][InstallationNumber]</v>
      </c>
    </row>
    <row r="740" spans="1:15" x14ac:dyDescent="0.3">
      <c r="A740" t="s">
        <v>2278</v>
      </c>
      <c r="B740" t="s">
        <v>1847</v>
      </c>
      <c r="C740" t="s">
        <v>1855</v>
      </c>
      <c r="D740">
        <v>28</v>
      </c>
      <c r="E740" t="s">
        <v>1447</v>
      </c>
      <c r="F740" t="s">
        <v>1858</v>
      </c>
      <c r="G740" t="s">
        <v>1748</v>
      </c>
      <c r="H740" t="s">
        <v>2277</v>
      </c>
      <c r="I740">
        <v>2</v>
      </c>
      <c r="J740" t="s">
        <v>2277</v>
      </c>
      <c r="K740" t="s">
        <v>2277</v>
      </c>
      <c r="L740" t="s">
        <v>2277</v>
      </c>
      <c r="M740" t="s">
        <v>2277</v>
      </c>
      <c r="N740" t="s">
        <v>2277</v>
      </c>
      <c r="O740" s="190" t="str">
        <f t="shared" si="11"/>
        <v>[S05_DefaultValues][28][InstallationNumber]</v>
      </c>
    </row>
    <row r="741" spans="1:15" x14ac:dyDescent="0.3">
      <c r="A741" t="s">
        <v>2278</v>
      </c>
      <c r="B741" t="s">
        <v>1847</v>
      </c>
      <c r="C741" t="s">
        <v>1855</v>
      </c>
      <c r="D741">
        <v>29</v>
      </c>
      <c r="E741" t="s">
        <v>1447</v>
      </c>
      <c r="F741" t="s">
        <v>1858</v>
      </c>
      <c r="G741" t="s">
        <v>1748</v>
      </c>
      <c r="H741" t="s">
        <v>2277</v>
      </c>
      <c r="I741">
        <v>6</v>
      </c>
      <c r="J741" t="s">
        <v>2277</v>
      </c>
      <c r="K741" t="s">
        <v>2277</v>
      </c>
      <c r="L741" t="s">
        <v>2277</v>
      </c>
      <c r="M741" t="s">
        <v>2277</v>
      </c>
      <c r="N741" t="s">
        <v>2277</v>
      </c>
      <c r="O741" s="190" t="str">
        <f t="shared" si="11"/>
        <v>[S05_DefaultValues][29][InstallationNumber]</v>
      </c>
    </row>
    <row r="742" spans="1:15" x14ac:dyDescent="0.3">
      <c r="A742" t="s">
        <v>2278</v>
      </c>
      <c r="B742" t="s">
        <v>1847</v>
      </c>
      <c r="C742" t="s">
        <v>1855</v>
      </c>
      <c r="D742">
        <v>30</v>
      </c>
      <c r="E742" t="s">
        <v>1447</v>
      </c>
      <c r="F742" t="s">
        <v>1858</v>
      </c>
      <c r="G742" t="s">
        <v>1748</v>
      </c>
      <c r="H742" t="s">
        <v>2277</v>
      </c>
      <c r="I742">
        <v>32</v>
      </c>
      <c r="J742" t="s">
        <v>2277</v>
      </c>
      <c r="K742" t="s">
        <v>2277</v>
      </c>
      <c r="L742" t="s">
        <v>2277</v>
      </c>
      <c r="M742" t="s">
        <v>2277</v>
      </c>
      <c r="N742" t="s">
        <v>2277</v>
      </c>
      <c r="O742" s="190" t="str">
        <f t="shared" si="11"/>
        <v>[S05_DefaultValues][30][InstallationNumber]</v>
      </c>
    </row>
    <row r="743" spans="1:15" x14ac:dyDescent="0.3">
      <c r="A743" t="s">
        <v>2278</v>
      </c>
      <c r="B743" t="s">
        <v>1847</v>
      </c>
      <c r="C743" t="s">
        <v>1855</v>
      </c>
      <c r="D743">
        <v>31</v>
      </c>
      <c r="E743" t="s">
        <v>1447</v>
      </c>
      <c r="F743" t="s">
        <v>1858</v>
      </c>
      <c r="G743" t="s">
        <v>1748</v>
      </c>
      <c r="H743" t="s">
        <v>2277</v>
      </c>
      <c r="I743">
        <v>1</v>
      </c>
      <c r="J743" t="s">
        <v>2277</v>
      </c>
      <c r="K743" t="s">
        <v>2277</v>
      </c>
      <c r="L743" t="s">
        <v>2277</v>
      </c>
      <c r="M743" t="s">
        <v>2277</v>
      </c>
      <c r="N743" t="s">
        <v>2277</v>
      </c>
      <c r="O743" s="190" t="str">
        <f t="shared" si="11"/>
        <v>[S05_DefaultValues][31][InstallationNumber]</v>
      </c>
    </row>
    <row r="744" spans="1:15" x14ac:dyDescent="0.3">
      <c r="A744" t="s">
        <v>2278</v>
      </c>
      <c r="B744" t="s">
        <v>1847</v>
      </c>
      <c r="C744" t="s">
        <v>1855</v>
      </c>
      <c r="D744">
        <v>32</v>
      </c>
      <c r="E744" t="s">
        <v>1447</v>
      </c>
      <c r="F744" t="s">
        <v>1858</v>
      </c>
      <c r="G744" t="s">
        <v>1748</v>
      </c>
      <c r="H744" t="s">
        <v>2277</v>
      </c>
      <c r="I744">
        <v>1</v>
      </c>
      <c r="J744" t="s">
        <v>2277</v>
      </c>
      <c r="K744" t="s">
        <v>2277</v>
      </c>
      <c r="L744" t="s">
        <v>2277</v>
      </c>
      <c r="M744" t="s">
        <v>2277</v>
      </c>
      <c r="N744" t="s">
        <v>2277</v>
      </c>
      <c r="O744" s="190" t="str">
        <f t="shared" si="11"/>
        <v>[S05_DefaultValues][32][InstallationNumber]</v>
      </c>
    </row>
    <row r="745" spans="1:15" x14ac:dyDescent="0.3">
      <c r="A745" t="s">
        <v>2278</v>
      </c>
      <c r="B745" t="s">
        <v>1847</v>
      </c>
      <c r="C745" t="s">
        <v>1855</v>
      </c>
      <c r="D745">
        <v>33</v>
      </c>
      <c r="E745" t="s">
        <v>1447</v>
      </c>
      <c r="F745" t="s">
        <v>1858</v>
      </c>
      <c r="G745" t="s">
        <v>1748</v>
      </c>
      <c r="H745" t="s">
        <v>2277</v>
      </c>
      <c r="I745">
        <v>1</v>
      </c>
      <c r="J745" t="s">
        <v>2277</v>
      </c>
      <c r="K745" t="s">
        <v>2277</v>
      </c>
      <c r="L745" t="s">
        <v>2277</v>
      </c>
      <c r="M745" t="s">
        <v>2277</v>
      </c>
      <c r="N745" t="s">
        <v>2277</v>
      </c>
      <c r="O745" s="190" t="str">
        <f t="shared" si="11"/>
        <v>[S05_DefaultValues][33][InstallationNumber]</v>
      </c>
    </row>
    <row r="746" spans="1:15" x14ac:dyDescent="0.3">
      <c r="A746" t="s">
        <v>2278</v>
      </c>
      <c r="B746" t="s">
        <v>1847</v>
      </c>
      <c r="C746" t="s">
        <v>1855</v>
      </c>
      <c r="D746">
        <v>34</v>
      </c>
      <c r="E746" t="s">
        <v>1447</v>
      </c>
      <c r="F746" t="s">
        <v>1858</v>
      </c>
      <c r="G746" t="s">
        <v>1748</v>
      </c>
      <c r="H746" t="s">
        <v>2277</v>
      </c>
      <c r="I746">
        <v>1</v>
      </c>
      <c r="J746" t="s">
        <v>2277</v>
      </c>
      <c r="K746" t="s">
        <v>2277</v>
      </c>
      <c r="L746" t="s">
        <v>2277</v>
      </c>
      <c r="M746" t="s">
        <v>2277</v>
      </c>
      <c r="N746" t="s">
        <v>2277</v>
      </c>
      <c r="O746" s="190" t="str">
        <f t="shared" si="11"/>
        <v>[S05_DefaultValues][34][InstallationNumber]</v>
      </c>
    </row>
    <row r="747" spans="1:15" x14ac:dyDescent="0.3">
      <c r="A747" t="s">
        <v>2278</v>
      </c>
      <c r="B747" t="s">
        <v>1847</v>
      </c>
      <c r="C747" t="s">
        <v>1855</v>
      </c>
      <c r="D747">
        <v>35</v>
      </c>
      <c r="E747" t="s">
        <v>1447</v>
      </c>
      <c r="F747" t="s">
        <v>1858</v>
      </c>
      <c r="G747" t="s">
        <v>1748</v>
      </c>
      <c r="H747" t="s">
        <v>2277</v>
      </c>
      <c r="I747">
        <v>1</v>
      </c>
      <c r="J747" t="s">
        <v>2277</v>
      </c>
      <c r="K747" t="s">
        <v>2277</v>
      </c>
      <c r="L747" t="s">
        <v>2277</v>
      </c>
      <c r="M747" t="s">
        <v>2277</v>
      </c>
      <c r="N747" t="s">
        <v>2277</v>
      </c>
      <c r="O747" s="190" t="str">
        <f t="shared" si="11"/>
        <v>[S05_DefaultValues][35][InstallationNumber]</v>
      </c>
    </row>
    <row r="748" spans="1:15" x14ac:dyDescent="0.3">
      <c r="A748" t="s">
        <v>2278</v>
      </c>
      <c r="B748" t="s">
        <v>1847</v>
      </c>
      <c r="C748" t="s">
        <v>1855</v>
      </c>
      <c r="D748">
        <v>36</v>
      </c>
      <c r="E748" t="s">
        <v>1447</v>
      </c>
      <c r="F748" t="s">
        <v>1858</v>
      </c>
      <c r="G748" t="s">
        <v>1748</v>
      </c>
      <c r="H748" t="s">
        <v>2277</v>
      </c>
      <c r="I748">
        <v>1</v>
      </c>
      <c r="J748" t="s">
        <v>2277</v>
      </c>
      <c r="K748" t="s">
        <v>2277</v>
      </c>
      <c r="L748" t="s">
        <v>2277</v>
      </c>
      <c r="M748" t="s">
        <v>2277</v>
      </c>
      <c r="N748" t="s">
        <v>2277</v>
      </c>
      <c r="O748" s="190" t="str">
        <f t="shared" si="11"/>
        <v>[S05_DefaultValues][36][InstallationNumber]</v>
      </c>
    </row>
    <row r="749" spans="1:15" x14ac:dyDescent="0.3">
      <c r="A749" t="s">
        <v>2278</v>
      </c>
      <c r="B749" t="s">
        <v>1847</v>
      </c>
      <c r="C749" t="s">
        <v>1855</v>
      </c>
      <c r="D749">
        <v>37</v>
      </c>
      <c r="E749" t="s">
        <v>1447</v>
      </c>
      <c r="F749" t="s">
        <v>1858</v>
      </c>
      <c r="G749" t="s">
        <v>1748</v>
      </c>
      <c r="H749" t="s">
        <v>2277</v>
      </c>
      <c r="I749">
        <v>2</v>
      </c>
      <c r="J749" t="s">
        <v>2277</v>
      </c>
      <c r="K749" t="s">
        <v>2277</v>
      </c>
      <c r="L749" t="s">
        <v>2277</v>
      </c>
      <c r="M749" t="s">
        <v>2277</v>
      </c>
      <c r="N749" t="s">
        <v>2277</v>
      </c>
      <c r="O749" s="190" t="str">
        <f t="shared" si="11"/>
        <v>[S05_DefaultValues][37][InstallationNumber]</v>
      </c>
    </row>
    <row r="750" spans="1:15" x14ac:dyDescent="0.3">
      <c r="A750" t="s">
        <v>2278</v>
      </c>
      <c r="B750" t="s">
        <v>1847</v>
      </c>
      <c r="C750" t="s">
        <v>1855</v>
      </c>
      <c r="D750">
        <v>38</v>
      </c>
      <c r="E750" t="s">
        <v>1447</v>
      </c>
      <c r="F750" t="s">
        <v>1858</v>
      </c>
      <c r="G750" t="s">
        <v>1748</v>
      </c>
      <c r="H750" t="s">
        <v>2277</v>
      </c>
      <c r="I750">
        <v>1</v>
      </c>
      <c r="J750" t="s">
        <v>2277</v>
      </c>
      <c r="K750" t="s">
        <v>2277</v>
      </c>
      <c r="L750" t="s">
        <v>2277</v>
      </c>
      <c r="M750" t="s">
        <v>2277</v>
      </c>
      <c r="N750" t="s">
        <v>2277</v>
      </c>
      <c r="O750" s="190" t="str">
        <f t="shared" si="11"/>
        <v>[S05_DefaultValues][38][InstallationNumber]</v>
      </c>
    </row>
    <row r="751" spans="1:15" x14ac:dyDescent="0.3">
      <c r="A751" t="s">
        <v>2278</v>
      </c>
      <c r="B751" t="s">
        <v>1847</v>
      </c>
      <c r="C751" t="s">
        <v>1855</v>
      </c>
      <c r="D751">
        <v>39</v>
      </c>
      <c r="E751" t="s">
        <v>1447</v>
      </c>
      <c r="F751" t="s">
        <v>1858</v>
      </c>
      <c r="G751" t="s">
        <v>1748</v>
      </c>
      <c r="H751" t="s">
        <v>2277</v>
      </c>
      <c r="I751">
        <v>1</v>
      </c>
      <c r="J751" t="s">
        <v>2277</v>
      </c>
      <c r="K751" t="s">
        <v>2277</v>
      </c>
      <c r="L751" t="s">
        <v>2277</v>
      </c>
      <c r="M751" t="s">
        <v>2277</v>
      </c>
      <c r="N751" t="s">
        <v>2277</v>
      </c>
      <c r="O751" s="190" t="str">
        <f t="shared" si="11"/>
        <v>[S05_DefaultValues][39][InstallationNumber]</v>
      </c>
    </row>
    <row r="752" spans="1:15" x14ac:dyDescent="0.3">
      <c r="A752" t="s">
        <v>2278</v>
      </c>
      <c r="B752" t="s">
        <v>1847</v>
      </c>
      <c r="C752" t="s">
        <v>1855</v>
      </c>
      <c r="D752">
        <v>40</v>
      </c>
      <c r="E752" t="s">
        <v>1447</v>
      </c>
      <c r="F752" t="s">
        <v>1858</v>
      </c>
      <c r="G752" t="s">
        <v>1748</v>
      </c>
      <c r="H752" t="s">
        <v>2277</v>
      </c>
      <c r="I752">
        <v>1</v>
      </c>
      <c r="J752" t="s">
        <v>2277</v>
      </c>
      <c r="K752" t="s">
        <v>2277</v>
      </c>
      <c r="L752" t="s">
        <v>2277</v>
      </c>
      <c r="M752" t="s">
        <v>2277</v>
      </c>
      <c r="N752" t="s">
        <v>2277</v>
      </c>
      <c r="O752" s="190" t="str">
        <f t="shared" si="11"/>
        <v>[S05_DefaultValues][40][InstallationNumber]</v>
      </c>
    </row>
    <row r="753" spans="1:15" x14ac:dyDescent="0.3">
      <c r="A753" t="s">
        <v>2278</v>
      </c>
      <c r="B753" t="s">
        <v>1847</v>
      </c>
      <c r="C753" t="s">
        <v>1855</v>
      </c>
      <c r="D753">
        <v>41</v>
      </c>
      <c r="E753" t="s">
        <v>1447</v>
      </c>
      <c r="F753" t="s">
        <v>1858</v>
      </c>
      <c r="G753" t="s">
        <v>1748</v>
      </c>
      <c r="H753" t="s">
        <v>2277</v>
      </c>
      <c r="I753">
        <v>2</v>
      </c>
      <c r="J753" t="s">
        <v>2277</v>
      </c>
      <c r="K753" t="s">
        <v>2277</v>
      </c>
      <c r="L753" t="s">
        <v>2277</v>
      </c>
      <c r="M753" t="s">
        <v>2277</v>
      </c>
      <c r="N753" t="s">
        <v>2277</v>
      </c>
      <c r="O753" s="190" t="str">
        <f t="shared" si="11"/>
        <v>[S05_DefaultValues][41][InstallationNumber]</v>
      </c>
    </row>
    <row r="754" spans="1:15" x14ac:dyDescent="0.3">
      <c r="A754" t="s">
        <v>2278</v>
      </c>
      <c r="B754" t="s">
        <v>1847</v>
      </c>
      <c r="C754" t="s">
        <v>1855</v>
      </c>
      <c r="D754">
        <v>42</v>
      </c>
      <c r="E754" t="s">
        <v>1447</v>
      </c>
      <c r="F754" t="s">
        <v>1858</v>
      </c>
      <c r="G754" t="s">
        <v>1748</v>
      </c>
      <c r="H754" t="s">
        <v>2277</v>
      </c>
      <c r="I754">
        <v>79</v>
      </c>
      <c r="J754" t="s">
        <v>2277</v>
      </c>
      <c r="K754" t="s">
        <v>2277</v>
      </c>
      <c r="L754" t="s">
        <v>2277</v>
      </c>
      <c r="M754" t="s">
        <v>2277</v>
      </c>
      <c r="N754" t="s">
        <v>2277</v>
      </c>
      <c r="O754" s="190" t="str">
        <f t="shared" si="11"/>
        <v>[S05_DefaultValues][42][InstallationNumber]</v>
      </c>
    </row>
    <row r="755" spans="1:15" x14ac:dyDescent="0.3">
      <c r="A755" t="s">
        <v>2278</v>
      </c>
      <c r="B755" t="s">
        <v>1847</v>
      </c>
      <c r="C755" t="s">
        <v>1855</v>
      </c>
      <c r="D755">
        <v>43</v>
      </c>
      <c r="E755" t="s">
        <v>1447</v>
      </c>
      <c r="F755" t="s">
        <v>1858</v>
      </c>
      <c r="G755" t="s">
        <v>1748</v>
      </c>
      <c r="H755" t="s">
        <v>2277</v>
      </c>
      <c r="I755">
        <v>3</v>
      </c>
      <c r="J755" t="s">
        <v>2277</v>
      </c>
      <c r="K755" t="s">
        <v>2277</v>
      </c>
      <c r="L755" t="s">
        <v>2277</v>
      </c>
      <c r="M755" t="s">
        <v>2277</v>
      </c>
      <c r="N755" t="s">
        <v>2277</v>
      </c>
      <c r="O755" s="190" t="str">
        <f t="shared" si="11"/>
        <v>[S05_DefaultValues][43][InstallationNumber]</v>
      </c>
    </row>
    <row r="756" spans="1:15" x14ac:dyDescent="0.3">
      <c r="A756" t="s">
        <v>2278</v>
      </c>
      <c r="B756" t="s">
        <v>1847</v>
      </c>
      <c r="C756" t="s">
        <v>1855</v>
      </c>
      <c r="D756">
        <v>44</v>
      </c>
      <c r="E756" t="s">
        <v>1447</v>
      </c>
      <c r="F756" t="s">
        <v>1858</v>
      </c>
      <c r="G756" t="s">
        <v>1748</v>
      </c>
      <c r="H756" t="s">
        <v>2277</v>
      </c>
      <c r="I756">
        <v>12</v>
      </c>
      <c r="J756" t="s">
        <v>2277</v>
      </c>
      <c r="K756" t="s">
        <v>2277</v>
      </c>
      <c r="L756" t="s">
        <v>2277</v>
      </c>
      <c r="M756" t="s">
        <v>2277</v>
      </c>
      <c r="N756" t="s">
        <v>2277</v>
      </c>
      <c r="O756" s="190" t="str">
        <f t="shared" si="11"/>
        <v>[S05_DefaultValues][44][InstallationNumber]</v>
      </c>
    </row>
    <row r="757" spans="1:15" x14ac:dyDescent="0.3">
      <c r="A757" t="s">
        <v>2278</v>
      </c>
      <c r="B757" t="s">
        <v>1847</v>
      </c>
      <c r="C757" t="s">
        <v>1855</v>
      </c>
      <c r="D757">
        <v>45</v>
      </c>
      <c r="E757" t="s">
        <v>1447</v>
      </c>
      <c r="F757" t="s">
        <v>1858</v>
      </c>
      <c r="G757" t="s">
        <v>1748</v>
      </c>
      <c r="H757" t="s">
        <v>2277</v>
      </c>
      <c r="I757">
        <v>7</v>
      </c>
      <c r="J757" t="s">
        <v>2277</v>
      </c>
      <c r="K757" t="s">
        <v>2277</v>
      </c>
      <c r="L757" t="s">
        <v>2277</v>
      </c>
      <c r="M757" t="s">
        <v>2277</v>
      </c>
      <c r="N757" t="s">
        <v>2277</v>
      </c>
      <c r="O757" s="190" t="str">
        <f t="shared" si="11"/>
        <v>[S05_DefaultValues][45][InstallationNumber]</v>
      </c>
    </row>
    <row r="758" spans="1:15" x14ac:dyDescent="0.3">
      <c r="A758" t="s">
        <v>2278</v>
      </c>
      <c r="B758" t="s">
        <v>1847</v>
      </c>
      <c r="C758" t="s">
        <v>1855</v>
      </c>
      <c r="D758">
        <v>46</v>
      </c>
      <c r="E758" t="s">
        <v>1447</v>
      </c>
      <c r="F758" t="s">
        <v>1858</v>
      </c>
      <c r="G758" t="s">
        <v>1748</v>
      </c>
      <c r="H758" t="s">
        <v>2277</v>
      </c>
      <c r="I758">
        <v>18</v>
      </c>
      <c r="J758" t="s">
        <v>2277</v>
      </c>
      <c r="K758" t="s">
        <v>2277</v>
      </c>
      <c r="L758" t="s">
        <v>2277</v>
      </c>
      <c r="M758" t="s">
        <v>2277</v>
      </c>
      <c r="N758" t="s">
        <v>2277</v>
      </c>
      <c r="O758" s="190" t="str">
        <f t="shared" si="11"/>
        <v>[S05_DefaultValues][46][InstallationNumber]</v>
      </c>
    </row>
    <row r="759" spans="1:15" x14ac:dyDescent="0.3">
      <c r="A759" t="s">
        <v>2278</v>
      </c>
      <c r="B759" t="s">
        <v>1847</v>
      </c>
      <c r="C759" t="s">
        <v>1855</v>
      </c>
      <c r="D759">
        <v>47</v>
      </c>
      <c r="E759" t="s">
        <v>1447</v>
      </c>
      <c r="F759" t="s">
        <v>1858</v>
      </c>
      <c r="G759" t="s">
        <v>1748</v>
      </c>
      <c r="H759" t="s">
        <v>2277</v>
      </c>
      <c r="I759">
        <v>1</v>
      </c>
      <c r="J759" t="s">
        <v>2277</v>
      </c>
      <c r="K759" t="s">
        <v>2277</v>
      </c>
      <c r="L759" t="s">
        <v>2277</v>
      </c>
      <c r="M759" t="s">
        <v>2277</v>
      </c>
      <c r="N759" t="s">
        <v>2277</v>
      </c>
      <c r="O759" s="190" t="str">
        <f t="shared" si="11"/>
        <v>[S05_DefaultValues][47][InstallationNumber]</v>
      </c>
    </row>
    <row r="760" spans="1:15" x14ac:dyDescent="0.3">
      <c r="A760" t="s">
        <v>2278</v>
      </c>
      <c r="B760" t="s">
        <v>1847</v>
      </c>
      <c r="C760" t="s">
        <v>1855</v>
      </c>
      <c r="D760">
        <v>48</v>
      </c>
      <c r="E760" t="s">
        <v>1447</v>
      </c>
      <c r="F760" t="s">
        <v>1858</v>
      </c>
      <c r="G760" t="s">
        <v>1748</v>
      </c>
      <c r="H760" t="s">
        <v>2277</v>
      </c>
      <c r="I760">
        <v>1</v>
      </c>
      <c r="J760" t="s">
        <v>2277</v>
      </c>
      <c r="K760" t="s">
        <v>2277</v>
      </c>
      <c r="L760" t="s">
        <v>2277</v>
      </c>
      <c r="M760" t="s">
        <v>2277</v>
      </c>
      <c r="N760" t="s">
        <v>2277</v>
      </c>
      <c r="O760" s="190" t="str">
        <f t="shared" si="11"/>
        <v>[S05_DefaultValues][48][InstallationNumber]</v>
      </c>
    </row>
    <row r="761" spans="1:15" x14ac:dyDescent="0.3">
      <c r="A761" t="s">
        <v>2278</v>
      </c>
      <c r="B761" t="s">
        <v>1847</v>
      </c>
      <c r="C761" t="s">
        <v>1855</v>
      </c>
      <c r="D761">
        <v>49</v>
      </c>
      <c r="E761" t="s">
        <v>1447</v>
      </c>
      <c r="F761" t="s">
        <v>1858</v>
      </c>
      <c r="G761" t="s">
        <v>1748</v>
      </c>
      <c r="H761" t="s">
        <v>2277</v>
      </c>
      <c r="I761">
        <v>1</v>
      </c>
      <c r="J761" t="s">
        <v>2277</v>
      </c>
      <c r="K761" t="s">
        <v>2277</v>
      </c>
      <c r="L761" t="s">
        <v>2277</v>
      </c>
      <c r="M761" t="s">
        <v>2277</v>
      </c>
      <c r="N761" t="s">
        <v>2277</v>
      </c>
      <c r="O761" s="190" t="str">
        <f t="shared" si="11"/>
        <v>[S05_DefaultValues][49][InstallationNumber]</v>
      </c>
    </row>
    <row r="762" spans="1:15" x14ac:dyDescent="0.3">
      <c r="A762" t="s">
        <v>2278</v>
      </c>
      <c r="B762" t="s">
        <v>1847</v>
      </c>
      <c r="C762" t="s">
        <v>1855</v>
      </c>
      <c r="D762">
        <v>50</v>
      </c>
      <c r="E762" t="s">
        <v>1447</v>
      </c>
      <c r="F762" t="s">
        <v>1858</v>
      </c>
      <c r="G762" t="s">
        <v>1748</v>
      </c>
      <c r="H762" t="s">
        <v>2277</v>
      </c>
      <c r="I762">
        <v>5</v>
      </c>
      <c r="J762" t="s">
        <v>2277</v>
      </c>
      <c r="K762" t="s">
        <v>2277</v>
      </c>
      <c r="L762" t="s">
        <v>2277</v>
      </c>
      <c r="M762" t="s">
        <v>2277</v>
      </c>
      <c r="N762" t="s">
        <v>2277</v>
      </c>
      <c r="O762" s="190" t="str">
        <f t="shared" si="11"/>
        <v>[S05_DefaultValues][50][InstallationNumber]</v>
      </c>
    </row>
    <row r="763" spans="1:15" x14ac:dyDescent="0.3">
      <c r="A763" t="s">
        <v>2278</v>
      </c>
      <c r="B763" t="s">
        <v>1847</v>
      </c>
      <c r="C763" t="s">
        <v>1855</v>
      </c>
      <c r="D763">
        <v>51</v>
      </c>
      <c r="E763" t="s">
        <v>1447</v>
      </c>
      <c r="F763" t="s">
        <v>1858</v>
      </c>
      <c r="G763" t="s">
        <v>1748</v>
      </c>
      <c r="H763" t="s">
        <v>2277</v>
      </c>
      <c r="I763">
        <v>3</v>
      </c>
      <c r="J763" t="s">
        <v>2277</v>
      </c>
      <c r="K763" t="s">
        <v>2277</v>
      </c>
      <c r="L763" t="s">
        <v>2277</v>
      </c>
      <c r="M763" t="s">
        <v>2277</v>
      </c>
      <c r="N763" t="s">
        <v>2277</v>
      </c>
      <c r="O763" s="190" t="str">
        <f t="shared" si="11"/>
        <v>[S05_DefaultValues][51][InstallationNumber]</v>
      </c>
    </row>
    <row r="764" spans="1:15" x14ac:dyDescent="0.3">
      <c r="A764" t="s">
        <v>2278</v>
      </c>
      <c r="B764" t="s">
        <v>1847</v>
      </c>
      <c r="C764" t="s">
        <v>1855</v>
      </c>
      <c r="D764">
        <v>52</v>
      </c>
      <c r="E764" t="s">
        <v>1447</v>
      </c>
      <c r="F764" t="s">
        <v>1858</v>
      </c>
      <c r="G764" t="s">
        <v>1748</v>
      </c>
      <c r="H764" t="s">
        <v>2277</v>
      </c>
      <c r="I764">
        <v>3</v>
      </c>
      <c r="J764" t="s">
        <v>2277</v>
      </c>
      <c r="K764" t="s">
        <v>2277</v>
      </c>
      <c r="L764" t="s">
        <v>2277</v>
      </c>
      <c r="M764" t="s">
        <v>2277</v>
      </c>
      <c r="N764" t="s">
        <v>2277</v>
      </c>
      <c r="O764" s="190" t="str">
        <f t="shared" si="11"/>
        <v>[S05_DefaultValues][52][InstallationNumber]</v>
      </c>
    </row>
    <row r="765" spans="1:15" x14ac:dyDescent="0.3">
      <c r="A765" t="s">
        <v>2278</v>
      </c>
      <c r="B765" t="s">
        <v>1847</v>
      </c>
      <c r="C765" t="s">
        <v>1855</v>
      </c>
      <c r="D765">
        <v>53</v>
      </c>
      <c r="E765" t="s">
        <v>1447</v>
      </c>
      <c r="F765" t="s">
        <v>1858</v>
      </c>
      <c r="G765" t="s">
        <v>1748</v>
      </c>
      <c r="H765" t="s">
        <v>2277</v>
      </c>
      <c r="I765">
        <v>27</v>
      </c>
      <c r="J765" t="s">
        <v>2277</v>
      </c>
      <c r="K765" t="s">
        <v>2277</v>
      </c>
      <c r="L765" t="s">
        <v>2277</v>
      </c>
      <c r="M765" t="s">
        <v>2277</v>
      </c>
      <c r="N765" t="s">
        <v>2277</v>
      </c>
      <c r="O765" s="190" t="str">
        <f t="shared" si="11"/>
        <v>[S05_DefaultValues][53][InstallationNumber]</v>
      </c>
    </row>
    <row r="766" spans="1:15" x14ac:dyDescent="0.3">
      <c r="A766" t="s">
        <v>2278</v>
      </c>
      <c r="B766" t="s">
        <v>1847</v>
      </c>
      <c r="C766" t="s">
        <v>1855</v>
      </c>
      <c r="D766">
        <v>54</v>
      </c>
      <c r="E766" t="s">
        <v>1447</v>
      </c>
      <c r="F766" t="s">
        <v>1858</v>
      </c>
      <c r="G766" t="s">
        <v>1748</v>
      </c>
      <c r="H766" t="s">
        <v>2277</v>
      </c>
      <c r="I766">
        <v>1</v>
      </c>
      <c r="J766" t="s">
        <v>2277</v>
      </c>
      <c r="K766" t="s">
        <v>2277</v>
      </c>
      <c r="L766" t="s">
        <v>2277</v>
      </c>
      <c r="M766" t="s">
        <v>2277</v>
      </c>
      <c r="N766" t="s">
        <v>2277</v>
      </c>
      <c r="O766" s="190" t="str">
        <f t="shared" si="11"/>
        <v>[S05_DefaultValues][54][InstallationNumber]</v>
      </c>
    </row>
    <row r="767" spans="1:15" x14ac:dyDescent="0.3">
      <c r="A767" t="s">
        <v>2278</v>
      </c>
      <c r="B767" t="s">
        <v>1847</v>
      </c>
      <c r="C767" t="s">
        <v>1855</v>
      </c>
      <c r="D767">
        <v>55</v>
      </c>
      <c r="E767" t="s">
        <v>1447</v>
      </c>
      <c r="F767" t="s">
        <v>1858</v>
      </c>
      <c r="G767" t="s">
        <v>1748</v>
      </c>
      <c r="H767" t="s">
        <v>2277</v>
      </c>
      <c r="I767">
        <v>1</v>
      </c>
      <c r="J767" t="s">
        <v>2277</v>
      </c>
      <c r="K767" t="s">
        <v>2277</v>
      </c>
      <c r="L767" t="s">
        <v>2277</v>
      </c>
      <c r="M767" t="s">
        <v>2277</v>
      </c>
      <c r="N767" t="s">
        <v>2277</v>
      </c>
      <c r="O767" s="190" t="str">
        <f t="shared" si="11"/>
        <v>[S05_DefaultValues][55][InstallationNumber]</v>
      </c>
    </row>
    <row r="768" spans="1:15" x14ac:dyDescent="0.3">
      <c r="A768" t="s">
        <v>2278</v>
      </c>
      <c r="B768" t="s">
        <v>1847</v>
      </c>
      <c r="C768" t="s">
        <v>1855</v>
      </c>
      <c r="D768">
        <v>56</v>
      </c>
      <c r="E768" t="s">
        <v>1447</v>
      </c>
      <c r="F768" t="s">
        <v>1858</v>
      </c>
      <c r="G768" t="s">
        <v>1748</v>
      </c>
      <c r="H768" t="s">
        <v>2277</v>
      </c>
      <c r="I768">
        <v>1</v>
      </c>
      <c r="J768" t="s">
        <v>2277</v>
      </c>
      <c r="K768" t="s">
        <v>2277</v>
      </c>
      <c r="L768" t="s">
        <v>2277</v>
      </c>
      <c r="M768" t="s">
        <v>2277</v>
      </c>
      <c r="N768" t="s">
        <v>2277</v>
      </c>
      <c r="O768" s="190" t="str">
        <f t="shared" si="11"/>
        <v>[S05_DefaultValues][56][InstallationNumber]</v>
      </c>
    </row>
    <row r="769" spans="1:15" x14ac:dyDescent="0.3">
      <c r="A769" t="s">
        <v>2278</v>
      </c>
      <c r="B769" t="s">
        <v>1847</v>
      </c>
      <c r="C769" t="s">
        <v>1855</v>
      </c>
      <c r="D769">
        <v>57</v>
      </c>
      <c r="E769" t="s">
        <v>1447</v>
      </c>
      <c r="F769" t="s">
        <v>1858</v>
      </c>
      <c r="G769" t="s">
        <v>1748</v>
      </c>
      <c r="H769" t="s">
        <v>2277</v>
      </c>
      <c r="I769">
        <v>2</v>
      </c>
      <c r="J769" t="s">
        <v>2277</v>
      </c>
      <c r="K769" t="s">
        <v>2277</v>
      </c>
      <c r="L769" t="s">
        <v>2277</v>
      </c>
      <c r="M769" t="s">
        <v>2277</v>
      </c>
      <c r="N769" t="s">
        <v>2277</v>
      </c>
      <c r="O769" s="190" t="str">
        <f t="shared" si="11"/>
        <v>[S05_DefaultValues][57][InstallationNumber]</v>
      </c>
    </row>
    <row r="770" spans="1:15" x14ac:dyDescent="0.3">
      <c r="A770" t="s">
        <v>2278</v>
      </c>
      <c r="B770" t="s">
        <v>1847</v>
      </c>
      <c r="C770" t="s">
        <v>1855</v>
      </c>
      <c r="D770">
        <v>58</v>
      </c>
      <c r="E770" t="s">
        <v>1447</v>
      </c>
      <c r="F770" t="s">
        <v>1858</v>
      </c>
      <c r="G770" t="s">
        <v>1748</v>
      </c>
      <c r="H770" t="s">
        <v>2277</v>
      </c>
      <c r="I770">
        <v>1</v>
      </c>
      <c r="J770" t="s">
        <v>2277</v>
      </c>
      <c r="K770" t="s">
        <v>2277</v>
      </c>
      <c r="L770" t="s">
        <v>2277</v>
      </c>
      <c r="M770" t="s">
        <v>2277</v>
      </c>
      <c r="N770" t="s">
        <v>2277</v>
      </c>
      <c r="O770" s="190" t="str">
        <f t="shared" ref="O770:O833" si="12">"["&amp;$C770&amp;"]["&amp;$D770&amp;"]["&amp;$F770&amp;"]"</f>
        <v>[S05_DefaultValues][58][InstallationNumber]</v>
      </c>
    </row>
    <row r="771" spans="1:15" x14ac:dyDescent="0.3">
      <c r="A771" t="s">
        <v>2278</v>
      </c>
      <c r="B771" t="s">
        <v>1847</v>
      </c>
      <c r="C771" t="s">
        <v>1855</v>
      </c>
      <c r="D771">
        <v>59</v>
      </c>
      <c r="E771" t="s">
        <v>1447</v>
      </c>
      <c r="F771" t="s">
        <v>1858</v>
      </c>
      <c r="G771" t="s">
        <v>1748</v>
      </c>
      <c r="H771" t="s">
        <v>2277</v>
      </c>
      <c r="I771">
        <v>1</v>
      </c>
      <c r="J771" t="s">
        <v>2277</v>
      </c>
      <c r="K771" t="s">
        <v>2277</v>
      </c>
      <c r="L771" t="s">
        <v>2277</v>
      </c>
      <c r="M771" t="s">
        <v>2277</v>
      </c>
      <c r="N771" t="s">
        <v>2277</v>
      </c>
      <c r="O771" s="190" t="str">
        <f t="shared" si="12"/>
        <v>[S05_DefaultValues][59][InstallationNumber]</v>
      </c>
    </row>
    <row r="772" spans="1:15" x14ac:dyDescent="0.3">
      <c r="A772" t="s">
        <v>2278</v>
      </c>
      <c r="B772" t="s">
        <v>1847</v>
      </c>
      <c r="C772" t="s">
        <v>1855</v>
      </c>
      <c r="D772">
        <v>60</v>
      </c>
      <c r="E772" t="s">
        <v>1447</v>
      </c>
      <c r="F772" t="s">
        <v>1858</v>
      </c>
      <c r="G772" t="s">
        <v>1748</v>
      </c>
      <c r="H772" t="s">
        <v>2277</v>
      </c>
      <c r="I772">
        <v>1</v>
      </c>
      <c r="J772" t="s">
        <v>2277</v>
      </c>
      <c r="K772" t="s">
        <v>2277</v>
      </c>
      <c r="L772" t="s">
        <v>2277</v>
      </c>
      <c r="M772" t="s">
        <v>2277</v>
      </c>
      <c r="N772" t="s">
        <v>2277</v>
      </c>
      <c r="O772" s="190" t="str">
        <f t="shared" si="12"/>
        <v>[S05_DefaultValues][60][InstallationNumber]</v>
      </c>
    </row>
    <row r="773" spans="1:15" x14ac:dyDescent="0.3">
      <c r="A773" t="s">
        <v>2278</v>
      </c>
      <c r="B773" t="s">
        <v>1847</v>
      </c>
      <c r="C773" t="s">
        <v>1855</v>
      </c>
      <c r="D773">
        <v>61</v>
      </c>
      <c r="E773" t="s">
        <v>1447</v>
      </c>
      <c r="F773" t="s">
        <v>1858</v>
      </c>
      <c r="G773" t="s">
        <v>1748</v>
      </c>
      <c r="H773" t="s">
        <v>2277</v>
      </c>
      <c r="I773">
        <v>3</v>
      </c>
      <c r="J773" t="s">
        <v>2277</v>
      </c>
      <c r="K773" t="s">
        <v>2277</v>
      </c>
      <c r="L773" t="s">
        <v>2277</v>
      </c>
      <c r="M773" t="s">
        <v>2277</v>
      </c>
      <c r="N773" t="s">
        <v>2277</v>
      </c>
      <c r="O773" s="190" t="str">
        <f t="shared" si="12"/>
        <v>[S05_DefaultValues][61][InstallationNumber]</v>
      </c>
    </row>
    <row r="774" spans="1:15" x14ac:dyDescent="0.3">
      <c r="A774" t="s">
        <v>2278</v>
      </c>
      <c r="B774" t="s">
        <v>1847</v>
      </c>
      <c r="C774" t="s">
        <v>1855</v>
      </c>
      <c r="D774">
        <v>62</v>
      </c>
      <c r="E774" t="s">
        <v>1447</v>
      </c>
      <c r="F774" t="s">
        <v>1858</v>
      </c>
      <c r="G774" t="s">
        <v>1748</v>
      </c>
      <c r="H774" t="s">
        <v>2277</v>
      </c>
      <c r="I774">
        <v>6</v>
      </c>
      <c r="J774" t="s">
        <v>2277</v>
      </c>
      <c r="K774" t="s">
        <v>2277</v>
      </c>
      <c r="L774" t="s">
        <v>2277</v>
      </c>
      <c r="M774" t="s">
        <v>2277</v>
      </c>
      <c r="N774" t="s">
        <v>2277</v>
      </c>
      <c r="O774" s="190" t="str">
        <f t="shared" si="12"/>
        <v>[S05_DefaultValues][62][InstallationNumber]</v>
      </c>
    </row>
    <row r="775" spans="1:15" x14ac:dyDescent="0.3">
      <c r="A775" t="s">
        <v>2278</v>
      </c>
      <c r="B775" t="s">
        <v>1847</v>
      </c>
      <c r="C775" t="s">
        <v>1855</v>
      </c>
      <c r="D775">
        <v>63</v>
      </c>
      <c r="E775" t="s">
        <v>1447</v>
      </c>
      <c r="F775" t="s">
        <v>1858</v>
      </c>
      <c r="G775" t="s">
        <v>1748</v>
      </c>
      <c r="H775" t="s">
        <v>2277</v>
      </c>
      <c r="I775">
        <v>2</v>
      </c>
      <c r="J775" t="s">
        <v>2277</v>
      </c>
      <c r="K775" t="s">
        <v>2277</v>
      </c>
      <c r="L775" t="s">
        <v>2277</v>
      </c>
      <c r="M775" t="s">
        <v>2277</v>
      </c>
      <c r="N775" t="s">
        <v>2277</v>
      </c>
      <c r="O775" s="190" t="str">
        <f t="shared" si="12"/>
        <v>[S05_DefaultValues][63][InstallationNumber]</v>
      </c>
    </row>
    <row r="776" spans="1:15" x14ac:dyDescent="0.3">
      <c r="A776" t="s">
        <v>2278</v>
      </c>
      <c r="B776" t="s">
        <v>1847</v>
      </c>
      <c r="C776" t="s">
        <v>1855</v>
      </c>
      <c r="D776">
        <v>64</v>
      </c>
      <c r="E776" t="s">
        <v>1447</v>
      </c>
      <c r="F776" t="s">
        <v>1858</v>
      </c>
      <c r="G776" t="s">
        <v>1748</v>
      </c>
      <c r="H776" t="s">
        <v>2277</v>
      </c>
      <c r="I776">
        <v>1</v>
      </c>
      <c r="J776" t="s">
        <v>2277</v>
      </c>
      <c r="K776" t="s">
        <v>2277</v>
      </c>
      <c r="L776" t="s">
        <v>2277</v>
      </c>
      <c r="M776" t="s">
        <v>2277</v>
      </c>
      <c r="N776" t="s">
        <v>2277</v>
      </c>
      <c r="O776" s="190" t="str">
        <f t="shared" si="12"/>
        <v>[S05_DefaultValues][64][InstallationNumber]</v>
      </c>
    </row>
    <row r="777" spans="1:15" x14ac:dyDescent="0.3">
      <c r="A777" t="s">
        <v>2278</v>
      </c>
      <c r="B777" t="s">
        <v>1847</v>
      </c>
      <c r="C777" t="s">
        <v>1855</v>
      </c>
      <c r="D777">
        <v>65</v>
      </c>
      <c r="E777" t="s">
        <v>1447</v>
      </c>
      <c r="F777" t="s">
        <v>1858</v>
      </c>
      <c r="G777" t="s">
        <v>1748</v>
      </c>
      <c r="H777" t="s">
        <v>2277</v>
      </c>
      <c r="I777">
        <v>3</v>
      </c>
      <c r="J777" t="s">
        <v>2277</v>
      </c>
      <c r="K777" t="s">
        <v>2277</v>
      </c>
      <c r="L777" t="s">
        <v>2277</v>
      </c>
      <c r="M777" t="s">
        <v>2277</v>
      </c>
      <c r="N777" t="s">
        <v>2277</v>
      </c>
      <c r="O777" s="190" t="str">
        <f t="shared" si="12"/>
        <v>[S05_DefaultValues][65][InstallationNumber]</v>
      </c>
    </row>
    <row r="778" spans="1:15" x14ac:dyDescent="0.3">
      <c r="A778" t="s">
        <v>2278</v>
      </c>
      <c r="B778" t="s">
        <v>1847</v>
      </c>
      <c r="C778" t="s">
        <v>1855</v>
      </c>
      <c r="D778">
        <v>66</v>
      </c>
      <c r="E778" t="s">
        <v>1447</v>
      </c>
      <c r="F778" t="s">
        <v>1858</v>
      </c>
      <c r="G778" t="s">
        <v>1748</v>
      </c>
      <c r="H778" t="s">
        <v>2277</v>
      </c>
      <c r="I778">
        <v>7</v>
      </c>
      <c r="J778" t="s">
        <v>2277</v>
      </c>
      <c r="K778" t="s">
        <v>2277</v>
      </c>
      <c r="L778" t="s">
        <v>2277</v>
      </c>
      <c r="M778" t="s">
        <v>2277</v>
      </c>
      <c r="N778" t="s">
        <v>2277</v>
      </c>
      <c r="O778" s="190" t="str">
        <f t="shared" si="12"/>
        <v>[S05_DefaultValues][66][InstallationNumber]</v>
      </c>
    </row>
    <row r="779" spans="1:15" x14ac:dyDescent="0.3">
      <c r="A779" t="s">
        <v>2278</v>
      </c>
      <c r="B779" t="s">
        <v>1847</v>
      </c>
      <c r="C779" t="s">
        <v>1855</v>
      </c>
      <c r="D779">
        <v>67</v>
      </c>
      <c r="E779" t="s">
        <v>1447</v>
      </c>
      <c r="F779" t="s">
        <v>1858</v>
      </c>
      <c r="G779" t="s">
        <v>1748</v>
      </c>
      <c r="H779" t="s">
        <v>2277</v>
      </c>
      <c r="I779">
        <v>86</v>
      </c>
      <c r="J779" t="s">
        <v>2277</v>
      </c>
      <c r="K779" t="s">
        <v>2277</v>
      </c>
      <c r="L779" t="s">
        <v>2277</v>
      </c>
      <c r="M779" t="s">
        <v>2277</v>
      </c>
      <c r="N779" t="s">
        <v>2277</v>
      </c>
      <c r="O779" s="190" t="str">
        <f t="shared" si="12"/>
        <v>[S05_DefaultValues][67][InstallationNumber]</v>
      </c>
    </row>
    <row r="780" spans="1:15" x14ac:dyDescent="0.3">
      <c r="A780" t="s">
        <v>2278</v>
      </c>
      <c r="B780" t="s">
        <v>1847</v>
      </c>
      <c r="C780" t="s">
        <v>1855</v>
      </c>
      <c r="D780">
        <v>68</v>
      </c>
      <c r="E780" t="s">
        <v>1447</v>
      </c>
      <c r="F780" t="s">
        <v>1858</v>
      </c>
      <c r="G780" t="s">
        <v>1748</v>
      </c>
      <c r="H780" t="s">
        <v>2277</v>
      </c>
      <c r="I780">
        <v>1</v>
      </c>
      <c r="J780" t="s">
        <v>2277</v>
      </c>
      <c r="K780" t="s">
        <v>2277</v>
      </c>
      <c r="L780" t="s">
        <v>2277</v>
      </c>
      <c r="M780" t="s">
        <v>2277</v>
      </c>
      <c r="N780" t="s">
        <v>2277</v>
      </c>
      <c r="O780" s="190" t="str">
        <f t="shared" si="12"/>
        <v>[S05_DefaultValues][68][InstallationNumber]</v>
      </c>
    </row>
    <row r="781" spans="1:15" x14ac:dyDescent="0.3">
      <c r="A781" t="s">
        <v>2278</v>
      </c>
      <c r="B781" t="s">
        <v>1847</v>
      </c>
      <c r="C781" t="s">
        <v>1855</v>
      </c>
      <c r="D781">
        <v>69</v>
      </c>
      <c r="E781" t="s">
        <v>1447</v>
      </c>
      <c r="F781" t="s">
        <v>1858</v>
      </c>
      <c r="G781" t="s">
        <v>1748</v>
      </c>
      <c r="H781" t="s">
        <v>2277</v>
      </c>
      <c r="I781">
        <v>1</v>
      </c>
      <c r="J781" t="s">
        <v>2277</v>
      </c>
      <c r="K781" t="s">
        <v>2277</v>
      </c>
      <c r="L781" t="s">
        <v>2277</v>
      </c>
      <c r="M781" t="s">
        <v>2277</v>
      </c>
      <c r="N781" t="s">
        <v>2277</v>
      </c>
      <c r="O781" s="190" t="str">
        <f t="shared" si="12"/>
        <v>[S05_DefaultValues][69][InstallationNumber]</v>
      </c>
    </row>
    <row r="782" spans="1:15" x14ac:dyDescent="0.3">
      <c r="A782" t="s">
        <v>2278</v>
      </c>
      <c r="B782" t="s">
        <v>1847</v>
      </c>
      <c r="C782" t="s">
        <v>1855</v>
      </c>
      <c r="D782">
        <v>70</v>
      </c>
      <c r="E782" t="s">
        <v>1447</v>
      </c>
      <c r="F782" t="s">
        <v>1858</v>
      </c>
      <c r="G782" t="s">
        <v>1748</v>
      </c>
      <c r="H782" t="s">
        <v>2277</v>
      </c>
      <c r="I782">
        <v>1</v>
      </c>
      <c r="J782" t="s">
        <v>2277</v>
      </c>
      <c r="K782" t="s">
        <v>2277</v>
      </c>
      <c r="L782" t="s">
        <v>2277</v>
      </c>
      <c r="M782" t="s">
        <v>2277</v>
      </c>
      <c r="N782" t="s">
        <v>2277</v>
      </c>
      <c r="O782" s="190" t="str">
        <f t="shared" si="12"/>
        <v>[S05_DefaultValues][70][InstallationNumber]</v>
      </c>
    </row>
    <row r="783" spans="1:15" x14ac:dyDescent="0.3">
      <c r="A783" t="s">
        <v>2278</v>
      </c>
      <c r="B783" t="s">
        <v>1847</v>
      </c>
      <c r="C783" t="s">
        <v>1855</v>
      </c>
      <c r="D783">
        <v>71</v>
      </c>
      <c r="E783" t="s">
        <v>1447</v>
      </c>
      <c r="F783" t="s">
        <v>1858</v>
      </c>
      <c r="G783" t="s">
        <v>1748</v>
      </c>
      <c r="H783" t="s">
        <v>2277</v>
      </c>
      <c r="I783">
        <v>1</v>
      </c>
      <c r="J783" t="s">
        <v>2277</v>
      </c>
      <c r="K783" t="s">
        <v>2277</v>
      </c>
      <c r="L783" t="s">
        <v>2277</v>
      </c>
      <c r="M783" t="s">
        <v>2277</v>
      </c>
      <c r="N783" t="s">
        <v>2277</v>
      </c>
      <c r="O783" s="190" t="str">
        <f t="shared" si="12"/>
        <v>[S05_DefaultValues][71][InstallationNumber]</v>
      </c>
    </row>
    <row r="784" spans="1:15" x14ac:dyDescent="0.3">
      <c r="A784" t="s">
        <v>2278</v>
      </c>
      <c r="B784" t="s">
        <v>1847</v>
      </c>
      <c r="C784" t="s">
        <v>1855</v>
      </c>
      <c r="D784">
        <v>72</v>
      </c>
      <c r="E784" t="s">
        <v>1447</v>
      </c>
      <c r="F784" t="s">
        <v>1858</v>
      </c>
      <c r="G784" t="s">
        <v>1748</v>
      </c>
      <c r="H784" t="s">
        <v>2277</v>
      </c>
      <c r="I784">
        <v>1</v>
      </c>
      <c r="J784" t="s">
        <v>2277</v>
      </c>
      <c r="K784" t="s">
        <v>2277</v>
      </c>
      <c r="L784" t="s">
        <v>2277</v>
      </c>
      <c r="M784" t="s">
        <v>2277</v>
      </c>
      <c r="N784" t="s">
        <v>2277</v>
      </c>
      <c r="O784" s="190" t="str">
        <f t="shared" si="12"/>
        <v>[S05_DefaultValues][72][InstallationNumber]</v>
      </c>
    </row>
    <row r="785" spans="1:15" x14ac:dyDescent="0.3">
      <c r="A785" t="s">
        <v>2278</v>
      </c>
      <c r="B785" t="s">
        <v>1847</v>
      </c>
      <c r="C785" t="s">
        <v>1855</v>
      </c>
      <c r="D785">
        <v>73</v>
      </c>
      <c r="E785" t="s">
        <v>1447</v>
      </c>
      <c r="F785" t="s">
        <v>1858</v>
      </c>
      <c r="G785" t="s">
        <v>1748</v>
      </c>
      <c r="H785" t="s">
        <v>2277</v>
      </c>
      <c r="I785">
        <v>1</v>
      </c>
      <c r="J785" t="s">
        <v>2277</v>
      </c>
      <c r="K785" t="s">
        <v>2277</v>
      </c>
      <c r="L785" t="s">
        <v>2277</v>
      </c>
      <c r="M785" t="s">
        <v>2277</v>
      </c>
      <c r="N785" t="s">
        <v>2277</v>
      </c>
      <c r="O785" s="190" t="str">
        <f t="shared" si="12"/>
        <v>[S05_DefaultValues][73][InstallationNumber]</v>
      </c>
    </row>
    <row r="786" spans="1:15" x14ac:dyDescent="0.3">
      <c r="A786" t="s">
        <v>2278</v>
      </c>
      <c r="B786" t="s">
        <v>1847</v>
      </c>
      <c r="C786" t="s">
        <v>1855</v>
      </c>
      <c r="D786">
        <v>74</v>
      </c>
      <c r="E786" t="s">
        <v>1447</v>
      </c>
      <c r="F786" t="s">
        <v>1858</v>
      </c>
      <c r="G786" t="s">
        <v>1748</v>
      </c>
      <c r="H786" t="s">
        <v>2277</v>
      </c>
      <c r="I786">
        <v>2</v>
      </c>
      <c r="J786" t="s">
        <v>2277</v>
      </c>
      <c r="K786" t="s">
        <v>2277</v>
      </c>
      <c r="L786" t="s">
        <v>2277</v>
      </c>
      <c r="M786" t="s">
        <v>2277</v>
      </c>
      <c r="N786" t="s">
        <v>2277</v>
      </c>
      <c r="O786" s="190" t="str">
        <f t="shared" si="12"/>
        <v>[S05_DefaultValues][74][InstallationNumber]</v>
      </c>
    </row>
    <row r="787" spans="1:15" x14ac:dyDescent="0.3">
      <c r="A787" t="s">
        <v>2278</v>
      </c>
      <c r="B787" t="s">
        <v>1847</v>
      </c>
      <c r="C787" t="s">
        <v>1855</v>
      </c>
      <c r="D787">
        <v>75</v>
      </c>
      <c r="E787" t="s">
        <v>1447</v>
      </c>
      <c r="F787" t="s">
        <v>1858</v>
      </c>
      <c r="G787" t="s">
        <v>1748</v>
      </c>
      <c r="H787" t="s">
        <v>2277</v>
      </c>
      <c r="I787">
        <v>1</v>
      </c>
      <c r="J787" t="s">
        <v>2277</v>
      </c>
      <c r="K787" t="s">
        <v>2277</v>
      </c>
      <c r="L787" t="s">
        <v>2277</v>
      </c>
      <c r="M787" t="s">
        <v>2277</v>
      </c>
      <c r="N787" t="s">
        <v>2277</v>
      </c>
      <c r="O787" s="190" t="str">
        <f t="shared" si="12"/>
        <v>[S05_DefaultValues][75][InstallationNumber]</v>
      </c>
    </row>
    <row r="788" spans="1:15" x14ac:dyDescent="0.3">
      <c r="A788" t="s">
        <v>2278</v>
      </c>
      <c r="B788" t="s">
        <v>1847</v>
      </c>
      <c r="C788" t="s">
        <v>1855</v>
      </c>
      <c r="D788">
        <v>76</v>
      </c>
      <c r="E788" t="s">
        <v>1447</v>
      </c>
      <c r="F788" t="s">
        <v>1858</v>
      </c>
      <c r="G788" t="s">
        <v>1748</v>
      </c>
      <c r="H788" t="s">
        <v>2277</v>
      </c>
      <c r="I788">
        <v>1</v>
      </c>
      <c r="J788" t="s">
        <v>2277</v>
      </c>
      <c r="K788" t="s">
        <v>2277</v>
      </c>
      <c r="L788" t="s">
        <v>2277</v>
      </c>
      <c r="M788" t="s">
        <v>2277</v>
      </c>
      <c r="N788" t="s">
        <v>2277</v>
      </c>
      <c r="O788" s="190" t="str">
        <f t="shared" si="12"/>
        <v>[S05_DefaultValues][76][InstallationNumber]</v>
      </c>
    </row>
    <row r="789" spans="1:15" x14ac:dyDescent="0.3">
      <c r="A789" t="s">
        <v>2278</v>
      </c>
      <c r="B789" t="s">
        <v>1847</v>
      </c>
      <c r="C789" t="s">
        <v>1855</v>
      </c>
      <c r="D789">
        <v>77</v>
      </c>
      <c r="E789" t="s">
        <v>1447</v>
      </c>
      <c r="F789" t="s">
        <v>1858</v>
      </c>
      <c r="G789" t="s">
        <v>1748</v>
      </c>
      <c r="H789" t="s">
        <v>2277</v>
      </c>
      <c r="I789">
        <v>1</v>
      </c>
      <c r="J789" t="s">
        <v>2277</v>
      </c>
      <c r="K789" t="s">
        <v>2277</v>
      </c>
      <c r="L789" t="s">
        <v>2277</v>
      </c>
      <c r="M789" t="s">
        <v>2277</v>
      </c>
      <c r="N789" t="s">
        <v>2277</v>
      </c>
      <c r="O789" s="190" t="str">
        <f t="shared" si="12"/>
        <v>[S05_DefaultValues][77][InstallationNumber]</v>
      </c>
    </row>
    <row r="790" spans="1:15" x14ac:dyDescent="0.3">
      <c r="A790" t="s">
        <v>2278</v>
      </c>
      <c r="B790" t="s">
        <v>1847</v>
      </c>
      <c r="C790" t="s">
        <v>1855</v>
      </c>
      <c r="D790">
        <v>78</v>
      </c>
      <c r="E790" t="s">
        <v>1447</v>
      </c>
      <c r="F790" t="s">
        <v>1858</v>
      </c>
      <c r="G790" t="s">
        <v>1748</v>
      </c>
      <c r="H790" t="s">
        <v>2277</v>
      </c>
      <c r="I790">
        <v>1</v>
      </c>
      <c r="J790" t="s">
        <v>2277</v>
      </c>
      <c r="K790" t="s">
        <v>2277</v>
      </c>
      <c r="L790" t="s">
        <v>2277</v>
      </c>
      <c r="M790" t="s">
        <v>2277</v>
      </c>
      <c r="N790" t="s">
        <v>2277</v>
      </c>
      <c r="O790" s="190" t="str">
        <f t="shared" si="12"/>
        <v>[S05_DefaultValues][78][InstallationNumber]</v>
      </c>
    </row>
    <row r="791" spans="1:15" x14ac:dyDescent="0.3">
      <c r="A791" t="s">
        <v>2278</v>
      </c>
      <c r="B791" t="s">
        <v>1847</v>
      </c>
      <c r="C791" t="s">
        <v>1855</v>
      </c>
      <c r="D791">
        <v>79</v>
      </c>
      <c r="E791" t="s">
        <v>1447</v>
      </c>
      <c r="F791" t="s">
        <v>1858</v>
      </c>
      <c r="G791" t="s">
        <v>1748</v>
      </c>
      <c r="H791" t="s">
        <v>2277</v>
      </c>
      <c r="I791">
        <v>1</v>
      </c>
      <c r="J791" t="s">
        <v>2277</v>
      </c>
      <c r="K791" t="s">
        <v>2277</v>
      </c>
      <c r="L791" t="s">
        <v>2277</v>
      </c>
      <c r="M791" t="s">
        <v>2277</v>
      </c>
      <c r="N791" t="s">
        <v>2277</v>
      </c>
      <c r="O791" s="190" t="str">
        <f t="shared" si="12"/>
        <v>[S05_DefaultValues][79][InstallationNumber]</v>
      </c>
    </row>
    <row r="792" spans="1:15" x14ac:dyDescent="0.3">
      <c r="A792" t="s">
        <v>2278</v>
      </c>
      <c r="B792" t="s">
        <v>1847</v>
      </c>
      <c r="C792" t="s">
        <v>1855</v>
      </c>
      <c r="D792">
        <v>80</v>
      </c>
      <c r="E792" t="s">
        <v>1447</v>
      </c>
      <c r="F792" t="s">
        <v>1858</v>
      </c>
      <c r="G792" t="s">
        <v>1748</v>
      </c>
      <c r="H792" t="s">
        <v>2277</v>
      </c>
      <c r="I792">
        <v>8</v>
      </c>
      <c r="J792" t="s">
        <v>2277</v>
      </c>
      <c r="K792" t="s">
        <v>2277</v>
      </c>
      <c r="L792" t="s">
        <v>2277</v>
      </c>
      <c r="M792" t="s">
        <v>2277</v>
      </c>
      <c r="N792" t="s">
        <v>2277</v>
      </c>
      <c r="O792" s="190" t="str">
        <f t="shared" si="12"/>
        <v>[S05_DefaultValues][80][InstallationNumber]</v>
      </c>
    </row>
    <row r="793" spans="1:15" x14ac:dyDescent="0.3">
      <c r="A793" t="s">
        <v>2278</v>
      </c>
      <c r="B793" t="s">
        <v>1847</v>
      </c>
      <c r="C793" t="s">
        <v>1855</v>
      </c>
      <c r="D793">
        <v>81</v>
      </c>
      <c r="E793" t="s">
        <v>1447</v>
      </c>
      <c r="F793" t="s">
        <v>1858</v>
      </c>
      <c r="G793" t="s">
        <v>1748</v>
      </c>
      <c r="H793" t="s">
        <v>2277</v>
      </c>
      <c r="I793">
        <v>1</v>
      </c>
      <c r="J793" t="s">
        <v>2277</v>
      </c>
      <c r="K793" t="s">
        <v>2277</v>
      </c>
      <c r="L793" t="s">
        <v>2277</v>
      </c>
      <c r="M793" t="s">
        <v>2277</v>
      </c>
      <c r="N793" t="s">
        <v>2277</v>
      </c>
      <c r="O793" s="190" t="str">
        <f t="shared" si="12"/>
        <v>[S05_DefaultValues][81][InstallationNumber]</v>
      </c>
    </row>
    <row r="794" spans="1:15" x14ac:dyDescent="0.3">
      <c r="A794" t="s">
        <v>2278</v>
      </c>
      <c r="B794" t="s">
        <v>1847</v>
      </c>
      <c r="C794" t="s">
        <v>1855</v>
      </c>
      <c r="D794">
        <v>82</v>
      </c>
      <c r="E794" t="s">
        <v>1447</v>
      </c>
      <c r="F794" t="s">
        <v>1858</v>
      </c>
      <c r="G794" t="s">
        <v>1748</v>
      </c>
      <c r="H794" t="s">
        <v>2277</v>
      </c>
      <c r="I794">
        <v>1</v>
      </c>
      <c r="J794" t="s">
        <v>2277</v>
      </c>
      <c r="K794" t="s">
        <v>2277</v>
      </c>
      <c r="L794" t="s">
        <v>2277</v>
      </c>
      <c r="M794" t="s">
        <v>2277</v>
      </c>
      <c r="N794" t="s">
        <v>2277</v>
      </c>
      <c r="O794" s="190" t="str">
        <f t="shared" si="12"/>
        <v>[S05_DefaultValues][82][InstallationNumber]</v>
      </c>
    </row>
    <row r="795" spans="1:15" x14ac:dyDescent="0.3">
      <c r="A795" t="s">
        <v>2278</v>
      </c>
      <c r="B795" t="s">
        <v>1847</v>
      </c>
      <c r="C795" t="s">
        <v>1855</v>
      </c>
      <c r="D795">
        <v>83</v>
      </c>
      <c r="E795" t="s">
        <v>1447</v>
      </c>
      <c r="F795" t="s">
        <v>1858</v>
      </c>
      <c r="G795" t="s">
        <v>1748</v>
      </c>
      <c r="H795" t="s">
        <v>2277</v>
      </c>
      <c r="I795">
        <v>1</v>
      </c>
      <c r="J795" t="s">
        <v>2277</v>
      </c>
      <c r="K795" t="s">
        <v>2277</v>
      </c>
      <c r="L795" t="s">
        <v>2277</v>
      </c>
      <c r="M795" t="s">
        <v>2277</v>
      </c>
      <c r="N795" t="s">
        <v>2277</v>
      </c>
      <c r="O795" s="190" t="str">
        <f t="shared" si="12"/>
        <v>[S05_DefaultValues][83][InstallationNumber]</v>
      </c>
    </row>
    <row r="796" spans="1:15" x14ac:dyDescent="0.3">
      <c r="A796" t="s">
        <v>2278</v>
      </c>
      <c r="B796" t="s">
        <v>1847</v>
      </c>
      <c r="C796" t="s">
        <v>1855</v>
      </c>
      <c r="D796">
        <v>84</v>
      </c>
      <c r="E796" t="s">
        <v>1447</v>
      </c>
      <c r="F796" t="s">
        <v>1858</v>
      </c>
      <c r="G796" t="s">
        <v>1748</v>
      </c>
      <c r="H796" t="s">
        <v>2277</v>
      </c>
      <c r="I796">
        <v>3</v>
      </c>
      <c r="J796" t="s">
        <v>2277</v>
      </c>
      <c r="K796" t="s">
        <v>2277</v>
      </c>
      <c r="L796" t="s">
        <v>2277</v>
      </c>
      <c r="M796" t="s">
        <v>2277</v>
      </c>
      <c r="N796" t="s">
        <v>2277</v>
      </c>
      <c r="O796" s="190" t="str">
        <f t="shared" si="12"/>
        <v>[S05_DefaultValues][84][InstallationNumber]</v>
      </c>
    </row>
    <row r="797" spans="1:15" x14ac:dyDescent="0.3">
      <c r="A797" t="s">
        <v>2278</v>
      </c>
      <c r="B797" t="s">
        <v>1847</v>
      </c>
      <c r="C797" t="s">
        <v>1855</v>
      </c>
      <c r="D797">
        <v>85</v>
      </c>
      <c r="E797" t="s">
        <v>1447</v>
      </c>
      <c r="F797" t="s">
        <v>1858</v>
      </c>
      <c r="G797" t="s">
        <v>1748</v>
      </c>
      <c r="H797" t="s">
        <v>2277</v>
      </c>
      <c r="I797">
        <v>43</v>
      </c>
      <c r="J797" t="s">
        <v>2277</v>
      </c>
      <c r="K797" t="s">
        <v>2277</v>
      </c>
      <c r="L797" t="s">
        <v>2277</v>
      </c>
      <c r="M797" t="s">
        <v>2277</v>
      </c>
      <c r="N797" t="s">
        <v>2277</v>
      </c>
      <c r="O797" s="190" t="str">
        <f t="shared" si="12"/>
        <v>[S05_DefaultValues][85][InstallationNumber]</v>
      </c>
    </row>
    <row r="798" spans="1:15" x14ac:dyDescent="0.3">
      <c r="A798" t="s">
        <v>2278</v>
      </c>
      <c r="B798" t="s">
        <v>1847</v>
      </c>
      <c r="C798" t="s">
        <v>1855</v>
      </c>
      <c r="D798">
        <v>86</v>
      </c>
      <c r="E798" t="s">
        <v>1447</v>
      </c>
      <c r="F798" t="s">
        <v>1858</v>
      </c>
      <c r="G798" t="s">
        <v>1748</v>
      </c>
      <c r="H798" t="s">
        <v>2277</v>
      </c>
      <c r="I798">
        <v>2</v>
      </c>
      <c r="J798" t="s">
        <v>2277</v>
      </c>
      <c r="K798" t="s">
        <v>2277</v>
      </c>
      <c r="L798" t="s">
        <v>2277</v>
      </c>
      <c r="M798" t="s">
        <v>2277</v>
      </c>
      <c r="N798" t="s">
        <v>2277</v>
      </c>
      <c r="O798" s="190" t="str">
        <f t="shared" si="12"/>
        <v>[S05_DefaultValues][86][InstallationNumber]</v>
      </c>
    </row>
    <row r="799" spans="1:15" x14ac:dyDescent="0.3">
      <c r="A799" t="s">
        <v>2278</v>
      </c>
      <c r="B799" t="s">
        <v>1847</v>
      </c>
      <c r="C799" t="s">
        <v>1855</v>
      </c>
      <c r="D799">
        <v>87</v>
      </c>
      <c r="E799" t="s">
        <v>1447</v>
      </c>
      <c r="F799" t="s">
        <v>1858</v>
      </c>
      <c r="G799" t="s">
        <v>1748</v>
      </c>
      <c r="H799" t="s">
        <v>2277</v>
      </c>
      <c r="I799">
        <v>3</v>
      </c>
      <c r="J799" t="s">
        <v>2277</v>
      </c>
      <c r="K799" t="s">
        <v>2277</v>
      </c>
      <c r="L799" t="s">
        <v>2277</v>
      </c>
      <c r="M799" t="s">
        <v>2277</v>
      </c>
      <c r="N799" t="s">
        <v>2277</v>
      </c>
      <c r="O799" s="190" t="str">
        <f t="shared" si="12"/>
        <v>[S05_DefaultValues][87][InstallationNumber]</v>
      </c>
    </row>
    <row r="800" spans="1:15" x14ac:dyDescent="0.3">
      <c r="A800" t="s">
        <v>2278</v>
      </c>
      <c r="B800" t="s">
        <v>1847</v>
      </c>
      <c r="C800" t="s">
        <v>1855</v>
      </c>
      <c r="D800">
        <v>88</v>
      </c>
      <c r="E800" t="s">
        <v>1447</v>
      </c>
      <c r="F800" t="s">
        <v>1858</v>
      </c>
      <c r="G800" t="s">
        <v>1748</v>
      </c>
      <c r="H800" t="s">
        <v>2277</v>
      </c>
      <c r="I800">
        <v>17</v>
      </c>
      <c r="J800" t="s">
        <v>2277</v>
      </c>
      <c r="K800" t="s">
        <v>2277</v>
      </c>
      <c r="L800" t="s">
        <v>2277</v>
      </c>
      <c r="M800" t="s">
        <v>2277</v>
      </c>
      <c r="N800" t="s">
        <v>2277</v>
      </c>
      <c r="O800" s="190" t="str">
        <f t="shared" si="12"/>
        <v>[S05_DefaultValues][88][InstallationNumber]</v>
      </c>
    </row>
    <row r="801" spans="1:15" x14ac:dyDescent="0.3">
      <c r="A801" t="s">
        <v>2278</v>
      </c>
      <c r="B801" t="s">
        <v>1847</v>
      </c>
      <c r="C801" t="s">
        <v>1855</v>
      </c>
      <c r="D801">
        <v>89</v>
      </c>
      <c r="E801" t="s">
        <v>1447</v>
      </c>
      <c r="F801" t="s">
        <v>1858</v>
      </c>
      <c r="G801" t="s">
        <v>1748</v>
      </c>
      <c r="H801" t="s">
        <v>2277</v>
      </c>
      <c r="I801">
        <v>1</v>
      </c>
      <c r="J801" t="s">
        <v>2277</v>
      </c>
      <c r="K801" t="s">
        <v>2277</v>
      </c>
      <c r="L801" t="s">
        <v>2277</v>
      </c>
      <c r="M801" t="s">
        <v>2277</v>
      </c>
      <c r="N801" t="s">
        <v>2277</v>
      </c>
      <c r="O801" s="190" t="str">
        <f t="shared" si="12"/>
        <v>[S05_DefaultValues][89][InstallationNumber]</v>
      </c>
    </row>
    <row r="802" spans="1:15" x14ac:dyDescent="0.3">
      <c r="A802" t="s">
        <v>2278</v>
      </c>
      <c r="B802" t="s">
        <v>1847</v>
      </c>
      <c r="C802" t="s">
        <v>1855</v>
      </c>
      <c r="D802">
        <v>90</v>
      </c>
      <c r="E802" t="s">
        <v>1447</v>
      </c>
      <c r="F802" t="s">
        <v>1858</v>
      </c>
      <c r="G802" t="s">
        <v>1748</v>
      </c>
      <c r="H802" t="s">
        <v>2277</v>
      </c>
      <c r="I802">
        <v>1</v>
      </c>
      <c r="J802" t="s">
        <v>2277</v>
      </c>
      <c r="K802" t="s">
        <v>2277</v>
      </c>
      <c r="L802" t="s">
        <v>2277</v>
      </c>
      <c r="M802" t="s">
        <v>2277</v>
      </c>
      <c r="N802" t="s">
        <v>2277</v>
      </c>
      <c r="O802" s="190" t="str">
        <f t="shared" si="12"/>
        <v>[S05_DefaultValues][90][InstallationNumber]</v>
      </c>
    </row>
    <row r="803" spans="1:15" x14ac:dyDescent="0.3">
      <c r="A803" t="s">
        <v>2278</v>
      </c>
      <c r="B803" t="s">
        <v>1847</v>
      </c>
      <c r="C803" t="s">
        <v>1855</v>
      </c>
      <c r="D803">
        <v>91</v>
      </c>
      <c r="E803" t="s">
        <v>1447</v>
      </c>
      <c r="F803" t="s">
        <v>1858</v>
      </c>
      <c r="G803" t="s">
        <v>1748</v>
      </c>
      <c r="H803" t="s">
        <v>2277</v>
      </c>
      <c r="I803">
        <v>1</v>
      </c>
      <c r="J803" t="s">
        <v>2277</v>
      </c>
      <c r="K803" t="s">
        <v>2277</v>
      </c>
      <c r="L803" t="s">
        <v>2277</v>
      </c>
      <c r="M803" t="s">
        <v>2277</v>
      </c>
      <c r="N803" t="s">
        <v>2277</v>
      </c>
      <c r="O803" s="190" t="str">
        <f t="shared" si="12"/>
        <v>[S05_DefaultValues][91][InstallationNumber]</v>
      </c>
    </row>
    <row r="804" spans="1:15" x14ac:dyDescent="0.3">
      <c r="A804" t="s">
        <v>2278</v>
      </c>
      <c r="B804" t="s">
        <v>1847</v>
      </c>
      <c r="C804" t="s">
        <v>1855</v>
      </c>
      <c r="D804">
        <v>92</v>
      </c>
      <c r="E804" t="s">
        <v>1447</v>
      </c>
      <c r="F804" t="s">
        <v>1858</v>
      </c>
      <c r="G804" t="s">
        <v>1748</v>
      </c>
      <c r="H804" t="s">
        <v>2277</v>
      </c>
      <c r="I804">
        <v>1</v>
      </c>
      <c r="J804" t="s">
        <v>2277</v>
      </c>
      <c r="K804" t="s">
        <v>2277</v>
      </c>
      <c r="L804" t="s">
        <v>2277</v>
      </c>
      <c r="M804" t="s">
        <v>2277</v>
      </c>
      <c r="N804" t="s">
        <v>2277</v>
      </c>
      <c r="O804" s="190" t="str">
        <f t="shared" si="12"/>
        <v>[S05_DefaultValues][92][InstallationNumber]</v>
      </c>
    </row>
    <row r="805" spans="1:15" x14ac:dyDescent="0.3">
      <c r="A805" t="s">
        <v>2278</v>
      </c>
      <c r="B805" t="s">
        <v>1847</v>
      </c>
      <c r="C805" t="s">
        <v>1855</v>
      </c>
      <c r="D805">
        <v>93</v>
      </c>
      <c r="E805" t="s">
        <v>1447</v>
      </c>
      <c r="F805" t="s">
        <v>1858</v>
      </c>
      <c r="G805" t="s">
        <v>1748</v>
      </c>
      <c r="H805" t="s">
        <v>2277</v>
      </c>
      <c r="I805">
        <v>1</v>
      </c>
      <c r="J805" t="s">
        <v>2277</v>
      </c>
      <c r="K805" t="s">
        <v>2277</v>
      </c>
      <c r="L805" t="s">
        <v>2277</v>
      </c>
      <c r="M805" t="s">
        <v>2277</v>
      </c>
      <c r="N805" t="s">
        <v>2277</v>
      </c>
      <c r="O805" s="190" t="str">
        <f t="shared" si="12"/>
        <v>[S05_DefaultValues][93][InstallationNumber]</v>
      </c>
    </row>
    <row r="806" spans="1:15" x14ac:dyDescent="0.3">
      <c r="A806" t="s">
        <v>2278</v>
      </c>
      <c r="B806" t="s">
        <v>1847</v>
      </c>
      <c r="C806" t="s">
        <v>1855</v>
      </c>
      <c r="D806">
        <v>94</v>
      </c>
      <c r="E806" t="s">
        <v>1447</v>
      </c>
      <c r="F806" t="s">
        <v>1858</v>
      </c>
      <c r="G806" t="s">
        <v>1748</v>
      </c>
      <c r="H806" t="s">
        <v>2277</v>
      </c>
      <c r="I806">
        <v>1</v>
      </c>
      <c r="J806" t="s">
        <v>2277</v>
      </c>
      <c r="K806" t="s">
        <v>2277</v>
      </c>
      <c r="L806" t="s">
        <v>2277</v>
      </c>
      <c r="M806" t="s">
        <v>2277</v>
      </c>
      <c r="N806" t="s">
        <v>2277</v>
      </c>
      <c r="O806" s="190" t="str">
        <f t="shared" si="12"/>
        <v>[S05_DefaultValues][94][InstallationNumber]</v>
      </c>
    </row>
    <row r="807" spans="1:15" x14ac:dyDescent="0.3">
      <c r="A807" t="s">
        <v>2278</v>
      </c>
      <c r="B807" t="s">
        <v>1847</v>
      </c>
      <c r="C807" t="s">
        <v>1855</v>
      </c>
      <c r="D807">
        <v>95</v>
      </c>
      <c r="E807" t="s">
        <v>1447</v>
      </c>
      <c r="F807" t="s">
        <v>1858</v>
      </c>
      <c r="G807" t="s">
        <v>1748</v>
      </c>
      <c r="H807" t="s">
        <v>2277</v>
      </c>
      <c r="I807">
        <v>1</v>
      </c>
      <c r="J807" t="s">
        <v>2277</v>
      </c>
      <c r="K807" t="s">
        <v>2277</v>
      </c>
      <c r="L807" t="s">
        <v>2277</v>
      </c>
      <c r="M807" t="s">
        <v>2277</v>
      </c>
      <c r="N807" t="s">
        <v>2277</v>
      </c>
      <c r="O807" s="190" t="str">
        <f t="shared" si="12"/>
        <v>[S05_DefaultValues][95][InstallationNumber]</v>
      </c>
    </row>
    <row r="808" spans="1:15" x14ac:dyDescent="0.3">
      <c r="A808" t="s">
        <v>2278</v>
      </c>
      <c r="B808" t="s">
        <v>1847</v>
      </c>
      <c r="C808" t="s">
        <v>1855</v>
      </c>
      <c r="D808">
        <v>96</v>
      </c>
      <c r="E808" t="s">
        <v>1447</v>
      </c>
      <c r="F808" t="s">
        <v>1858</v>
      </c>
      <c r="G808" t="s">
        <v>1748</v>
      </c>
      <c r="H808" t="s">
        <v>2277</v>
      </c>
      <c r="I808">
        <v>4</v>
      </c>
      <c r="J808" t="s">
        <v>2277</v>
      </c>
      <c r="K808" t="s">
        <v>2277</v>
      </c>
      <c r="L808" t="s">
        <v>2277</v>
      </c>
      <c r="M808" t="s">
        <v>2277</v>
      </c>
      <c r="N808" t="s">
        <v>2277</v>
      </c>
      <c r="O808" s="190" t="str">
        <f t="shared" si="12"/>
        <v>[S05_DefaultValues][96][InstallationNumber]</v>
      </c>
    </row>
    <row r="809" spans="1:15" x14ac:dyDescent="0.3">
      <c r="A809" t="s">
        <v>2278</v>
      </c>
      <c r="B809" t="s">
        <v>1847</v>
      </c>
      <c r="C809" t="s">
        <v>1855</v>
      </c>
      <c r="D809">
        <v>97</v>
      </c>
      <c r="E809" t="s">
        <v>1447</v>
      </c>
      <c r="F809" t="s">
        <v>1858</v>
      </c>
      <c r="G809" t="s">
        <v>1748</v>
      </c>
      <c r="H809" t="s">
        <v>2277</v>
      </c>
      <c r="I809">
        <v>1</v>
      </c>
      <c r="J809" t="s">
        <v>2277</v>
      </c>
      <c r="K809" t="s">
        <v>2277</v>
      </c>
      <c r="L809" t="s">
        <v>2277</v>
      </c>
      <c r="M809" t="s">
        <v>2277</v>
      </c>
      <c r="N809" t="s">
        <v>2277</v>
      </c>
      <c r="O809" s="190" t="str">
        <f t="shared" si="12"/>
        <v>[S05_DefaultValues][97][InstallationNumber]</v>
      </c>
    </row>
    <row r="810" spans="1:15" x14ac:dyDescent="0.3">
      <c r="A810" t="s">
        <v>2278</v>
      </c>
      <c r="B810" t="s">
        <v>1847</v>
      </c>
      <c r="C810" t="s">
        <v>1855</v>
      </c>
      <c r="D810">
        <v>98</v>
      </c>
      <c r="E810" t="s">
        <v>1447</v>
      </c>
      <c r="F810" t="s">
        <v>1858</v>
      </c>
      <c r="G810" t="s">
        <v>1748</v>
      </c>
      <c r="H810" t="s">
        <v>2277</v>
      </c>
      <c r="I810">
        <v>2</v>
      </c>
      <c r="J810" t="s">
        <v>2277</v>
      </c>
      <c r="K810" t="s">
        <v>2277</v>
      </c>
      <c r="L810" t="s">
        <v>2277</v>
      </c>
      <c r="M810" t="s">
        <v>2277</v>
      </c>
      <c r="N810" t="s">
        <v>2277</v>
      </c>
      <c r="O810" s="190" t="str">
        <f t="shared" si="12"/>
        <v>[S05_DefaultValues][98][InstallationNumber]</v>
      </c>
    </row>
    <row r="811" spans="1:15" x14ac:dyDescent="0.3">
      <c r="A811" t="s">
        <v>2278</v>
      </c>
      <c r="B811" t="s">
        <v>1847</v>
      </c>
      <c r="C811" t="s">
        <v>1855</v>
      </c>
      <c r="D811">
        <v>99</v>
      </c>
      <c r="E811" t="s">
        <v>1447</v>
      </c>
      <c r="F811" t="s">
        <v>1858</v>
      </c>
      <c r="G811" t="s">
        <v>1748</v>
      </c>
      <c r="H811" t="s">
        <v>2277</v>
      </c>
      <c r="I811">
        <v>1</v>
      </c>
      <c r="J811" t="s">
        <v>2277</v>
      </c>
      <c r="K811" t="s">
        <v>2277</v>
      </c>
      <c r="L811" t="s">
        <v>2277</v>
      </c>
      <c r="M811" t="s">
        <v>2277</v>
      </c>
      <c r="N811" t="s">
        <v>2277</v>
      </c>
      <c r="O811" s="190" t="str">
        <f t="shared" si="12"/>
        <v>[S05_DefaultValues][99][InstallationNumber]</v>
      </c>
    </row>
    <row r="812" spans="1:15" x14ac:dyDescent="0.3">
      <c r="A812" t="s">
        <v>2278</v>
      </c>
      <c r="B812" t="s">
        <v>1847</v>
      </c>
      <c r="C812" t="s">
        <v>1855</v>
      </c>
      <c r="D812">
        <v>100</v>
      </c>
      <c r="E812" t="s">
        <v>1447</v>
      </c>
      <c r="F812" t="s">
        <v>1858</v>
      </c>
      <c r="G812" t="s">
        <v>1748</v>
      </c>
      <c r="H812" t="s">
        <v>2277</v>
      </c>
      <c r="I812">
        <v>1</v>
      </c>
      <c r="J812" t="s">
        <v>2277</v>
      </c>
      <c r="K812" t="s">
        <v>2277</v>
      </c>
      <c r="L812" t="s">
        <v>2277</v>
      </c>
      <c r="M812" t="s">
        <v>2277</v>
      </c>
      <c r="N812" t="s">
        <v>2277</v>
      </c>
      <c r="O812" s="190" t="str">
        <f t="shared" si="12"/>
        <v>[S05_DefaultValues][100][InstallationNumber]</v>
      </c>
    </row>
    <row r="813" spans="1:15" x14ac:dyDescent="0.3">
      <c r="A813" t="s">
        <v>2278</v>
      </c>
      <c r="B813" t="s">
        <v>1847</v>
      </c>
      <c r="C813" t="s">
        <v>1855</v>
      </c>
      <c r="D813">
        <v>101</v>
      </c>
      <c r="E813" t="s">
        <v>1447</v>
      </c>
      <c r="F813" t="s">
        <v>1858</v>
      </c>
      <c r="G813" t="s">
        <v>1748</v>
      </c>
      <c r="H813" t="s">
        <v>2277</v>
      </c>
      <c r="I813">
        <v>1</v>
      </c>
      <c r="J813" t="s">
        <v>2277</v>
      </c>
      <c r="K813" t="s">
        <v>2277</v>
      </c>
      <c r="L813" t="s">
        <v>2277</v>
      </c>
      <c r="M813" t="s">
        <v>2277</v>
      </c>
      <c r="N813" t="s">
        <v>2277</v>
      </c>
      <c r="O813" s="190" t="str">
        <f t="shared" si="12"/>
        <v>[S05_DefaultValues][101][InstallationNumber]</v>
      </c>
    </row>
    <row r="814" spans="1:15" x14ac:dyDescent="0.3">
      <c r="A814" t="s">
        <v>2278</v>
      </c>
      <c r="B814" t="s">
        <v>1847</v>
      </c>
      <c r="C814" t="s">
        <v>1855</v>
      </c>
      <c r="D814">
        <v>102</v>
      </c>
      <c r="E814" t="s">
        <v>1447</v>
      </c>
      <c r="F814" t="s">
        <v>1858</v>
      </c>
      <c r="G814" t="s">
        <v>1748</v>
      </c>
      <c r="H814" t="s">
        <v>2277</v>
      </c>
      <c r="I814">
        <v>2</v>
      </c>
      <c r="J814" t="s">
        <v>2277</v>
      </c>
      <c r="K814" t="s">
        <v>2277</v>
      </c>
      <c r="L814" t="s">
        <v>2277</v>
      </c>
      <c r="M814" t="s">
        <v>2277</v>
      </c>
      <c r="N814" t="s">
        <v>2277</v>
      </c>
      <c r="O814" s="190" t="str">
        <f t="shared" si="12"/>
        <v>[S05_DefaultValues][102][InstallationNumber]</v>
      </c>
    </row>
    <row r="815" spans="1:15" x14ac:dyDescent="0.3">
      <c r="A815" t="s">
        <v>2278</v>
      </c>
      <c r="B815" t="s">
        <v>1847</v>
      </c>
      <c r="C815" t="s">
        <v>1855</v>
      </c>
      <c r="D815">
        <v>103</v>
      </c>
      <c r="E815" t="s">
        <v>1447</v>
      </c>
      <c r="F815" t="s">
        <v>1858</v>
      </c>
      <c r="G815" t="s">
        <v>1748</v>
      </c>
      <c r="H815" t="s">
        <v>2277</v>
      </c>
      <c r="I815">
        <v>1</v>
      </c>
      <c r="J815" t="s">
        <v>2277</v>
      </c>
      <c r="K815" t="s">
        <v>2277</v>
      </c>
      <c r="L815" t="s">
        <v>2277</v>
      </c>
      <c r="M815" t="s">
        <v>2277</v>
      </c>
      <c r="N815" t="s">
        <v>2277</v>
      </c>
      <c r="O815" s="190" t="str">
        <f t="shared" si="12"/>
        <v>[S05_DefaultValues][103][InstallationNumber]</v>
      </c>
    </row>
    <row r="816" spans="1:15" x14ac:dyDescent="0.3">
      <c r="A816" t="s">
        <v>2278</v>
      </c>
      <c r="B816" t="s">
        <v>1847</v>
      </c>
      <c r="C816" t="s">
        <v>1855</v>
      </c>
      <c r="D816">
        <v>104</v>
      </c>
      <c r="E816" t="s">
        <v>1447</v>
      </c>
      <c r="F816" t="s">
        <v>1858</v>
      </c>
      <c r="G816" t="s">
        <v>1748</v>
      </c>
      <c r="H816" t="s">
        <v>2277</v>
      </c>
      <c r="I816">
        <v>1</v>
      </c>
      <c r="J816" t="s">
        <v>2277</v>
      </c>
      <c r="K816" t="s">
        <v>2277</v>
      </c>
      <c r="L816" t="s">
        <v>2277</v>
      </c>
      <c r="M816" t="s">
        <v>2277</v>
      </c>
      <c r="N816" t="s">
        <v>2277</v>
      </c>
      <c r="O816" s="190" t="str">
        <f t="shared" si="12"/>
        <v>[S05_DefaultValues][104][InstallationNumber]</v>
      </c>
    </row>
    <row r="817" spans="1:15" x14ac:dyDescent="0.3">
      <c r="A817" t="s">
        <v>2278</v>
      </c>
      <c r="B817" t="s">
        <v>1847</v>
      </c>
      <c r="C817" t="s">
        <v>1855</v>
      </c>
      <c r="D817">
        <v>105</v>
      </c>
      <c r="E817" t="s">
        <v>1447</v>
      </c>
      <c r="F817" t="s">
        <v>1858</v>
      </c>
      <c r="G817" t="s">
        <v>1748</v>
      </c>
      <c r="H817" t="s">
        <v>2277</v>
      </c>
      <c r="I817">
        <v>3</v>
      </c>
      <c r="J817" t="s">
        <v>2277</v>
      </c>
      <c r="K817" t="s">
        <v>2277</v>
      </c>
      <c r="L817" t="s">
        <v>2277</v>
      </c>
      <c r="M817" t="s">
        <v>2277</v>
      </c>
      <c r="N817" t="s">
        <v>2277</v>
      </c>
      <c r="O817" s="190" t="str">
        <f t="shared" si="12"/>
        <v>[S05_DefaultValues][105][InstallationNumber]</v>
      </c>
    </row>
    <row r="818" spans="1:15" x14ac:dyDescent="0.3">
      <c r="A818" t="s">
        <v>2278</v>
      </c>
      <c r="B818" t="s">
        <v>1847</v>
      </c>
      <c r="C818" t="s">
        <v>1855</v>
      </c>
      <c r="D818">
        <v>106</v>
      </c>
      <c r="E818" t="s">
        <v>1447</v>
      </c>
      <c r="F818" t="s">
        <v>1858</v>
      </c>
      <c r="G818" t="s">
        <v>1748</v>
      </c>
      <c r="H818" t="s">
        <v>2277</v>
      </c>
      <c r="I818">
        <v>1</v>
      </c>
      <c r="J818" t="s">
        <v>2277</v>
      </c>
      <c r="K818" t="s">
        <v>2277</v>
      </c>
      <c r="L818" t="s">
        <v>2277</v>
      </c>
      <c r="M818" t="s">
        <v>2277</v>
      </c>
      <c r="N818" t="s">
        <v>2277</v>
      </c>
      <c r="O818" s="190" t="str">
        <f t="shared" si="12"/>
        <v>[S05_DefaultValues][106][InstallationNumber]</v>
      </c>
    </row>
    <row r="819" spans="1:15" x14ac:dyDescent="0.3">
      <c r="A819" t="s">
        <v>2278</v>
      </c>
      <c r="B819" t="s">
        <v>1847</v>
      </c>
      <c r="C819" t="s">
        <v>1855</v>
      </c>
      <c r="D819">
        <v>107</v>
      </c>
      <c r="E819" t="s">
        <v>1447</v>
      </c>
      <c r="F819" t="s">
        <v>1858</v>
      </c>
      <c r="G819" t="s">
        <v>1748</v>
      </c>
      <c r="H819" t="s">
        <v>2277</v>
      </c>
      <c r="I819">
        <v>71</v>
      </c>
      <c r="J819" t="s">
        <v>2277</v>
      </c>
      <c r="K819" t="s">
        <v>2277</v>
      </c>
      <c r="L819" t="s">
        <v>2277</v>
      </c>
      <c r="M819" t="s">
        <v>2277</v>
      </c>
      <c r="N819" t="s">
        <v>2277</v>
      </c>
      <c r="O819" s="190" t="str">
        <f t="shared" si="12"/>
        <v>[S05_DefaultValues][107][InstallationNumber]</v>
      </c>
    </row>
    <row r="820" spans="1:15" x14ac:dyDescent="0.3">
      <c r="A820" t="s">
        <v>2278</v>
      </c>
      <c r="B820" t="s">
        <v>1847</v>
      </c>
      <c r="C820" t="s">
        <v>1855</v>
      </c>
      <c r="D820">
        <v>108</v>
      </c>
      <c r="E820" t="s">
        <v>1447</v>
      </c>
      <c r="F820" t="s">
        <v>1858</v>
      </c>
      <c r="G820" t="s">
        <v>1748</v>
      </c>
      <c r="H820" t="s">
        <v>2277</v>
      </c>
      <c r="I820">
        <v>4</v>
      </c>
      <c r="J820" t="s">
        <v>2277</v>
      </c>
      <c r="K820" t="s">
        <v>2277</v>
      </c>
      <c r="L820" t="s">
        <v>2277</v>
      </c>
      <c r="M820" t="s">
        <v>2277</v>
      </c>
      <c r="N820" t="s">
        <v>2277</v>
      </c>
      <c r="O820" s="190" t="str">
        <f t="shared" si="12"/>
        <v>[S05_DefaultValues][108][InstallationNumber]</v>
      </c>
    </row>
    <row r="821" spans="1:15" x14ac:dyDescent="0.3">
      <c r="A821" t="s">
        <v>2278</v>
      </c>
      <c r="B821" t="s">
        <v>1847</v>
      </c>
      <c r="C821" t="s">
        <v>1855</v>
      </c>
      <c r="D821">
        <v>109</v>
      </c>
      <c r="E821" t="s">
        <v>1447</v>
      </c>
      <c r="F821" t="s">
        <v>1858</v>
      </c>
      <c r="G821" t="s">
        <v>1748</v>
      </c>
      <c r="H821" t="s">
        <v>2277</v>
      </c>
      <c r="I821">
        <v>10</v>
      </c>
      <c r="J821" t="s">
        <v>2277</v>
      </c>
      <c r="K821" t="s">
        <v>2277</v>
      </c>
      <c r="L821" t="s">
        <v>2277</v>
      </c>
      <c r="M821" t="s">
        <v>2277</v>
      </c>
      <c r="N821" t="s">
        <v>2277</v>
      </c>
      <c r="O821" s="190" t="str">
        <f t="shared" si="12"/>
        <v>[S05_DefaultValues][109][InstallationNumber]</v>
      </c>
    </row>
    <row r="822" spans="1:15" x14ac:dyDescent="0.3">
      <c r="A822" t="s">
        <v>2278</v>
      </c>
      <c r="B822" t="s">
        <v>1847</v>
      </c>
      <c r="C822" t="s">
        <v>1855</v>
      </c>
      <c r="D822">
        <v>110</v>
      </c>
      <c r="E822" t="s">
        <v>1447</v>
      </c>
      <c r="F822" t="s">
        <v>1858</v>
      </c>
      <c r="G822" t="s">
        <v>1748</v>
      </c>
      <c r="H822" t="s">
        <v>2277</v>
      </c>
      <c r="I822">
        <v>10</v>
      </c>
      <c r="J822" t="s">
        <v>2277</v>
      </c>
      <c r="K822" t="s">
        <v>2277</v>
      </c>
      <c r="L822" t="s">
        <v>2277</v>
      </c>
      <c r="M822" t="s">
        <v>2277</v>
      </c>
      <c r="N822" t="s">
        <v>2277</v>
      </c>
      <c r="O822" s="190" t="str">
        <f t="shared" si="12"/>
        <v>[S05_DefaultValues][110][InstallationNumber]</v>
      </c>
    </row>
    <row r="823" spans="1:15" x14ac:dyDescent="0.3">
      <c r="A823" t="s">
        <v>2278</v>
      </c>
      <c r="B823" t="s">
        <v>1847</v>
      </c>
      <c r="C823" t="s">
        <v>1855</v>
      </c>
      <c r="D823">
        <v>111</v>
      </c>
      <c r="E823" t="s">
        <v>1447</v>
      </c>
      <c r="F823" t="s">
        <v>1858</v>
      </c>
      <c r="G823" t="s">
        <v>1748</v>
      </c>
      <c r="H823" t="s">
        <v>2277</v>
      </c>
      <c r="I823">
        <v>1</v>
      </c>
      <c r="J823" t="s">
        <v>2277</v>
      </c>
      <c r="K823" t="s">
        <v>2277</v>
      </c>
      <c r="L823" t="s">
        <v>2277</v>
      </c>
      <c r="M823" t="s">
        <v>2277</v>
      </c>
      <c r="N823" t="s">
        <v>2277</v>
      </c>
      <c r="O823" s="190" t="str">
        <f t="shared" si="12"/>
        <v>[S05_DefaultValues][111][InstallationNumber]</v>
      </c>
    </row>
    <row r="824" spans="1:15" x14ac:dyDescent="0.3">
      <c r="A824" t="s">
        <v>2278</v>
      </c>
      <c r="B824" t="s">
        <v>1847</v>
      </c>
      <c r="C824" t="s">
        <v>1855</v>
      </c>
      <c r="D824">
        <v>112</v>
      </c>
      <c r="E824" t="s">
        <v>1447</v>
      </c>
      <c r="F824" t="s">
        <v>1858</v>
      </c>
      <c r="G824" t="s">
        <v>1748</v>
      </c>
      <c r="H824" t="s">
        <v>2277</v>
      </c>
      <c r="I824">
        <v>18</v>
      </c>
      <c r="J824" t="s">
        <v>2277</v>
      </c>
      <c r="K824" t="s">
        <v>2277</v>
      </c>
      <c r="L824" t="s">
        <v>2277</v>
      </c>
      <c r="M824" t="s">
        <v>2277</v>
      </c>
      <c r="N824" t="s">
        <v>2277</v>
      </c>
      <c r="O824" s="190" t="str">
        <f t="shared" si="12"/>
        <v>[S05_DefaultValues][112][InstallationNumber]</v>
      </c>
    </row>
    <row r="825" spans="1:15" x14ac:dyDescent="0.3">
      <c r="A825" t="s">
        <v>2278</v>
      </c>
      <c r="B825" t="s">
        <v>1847</v>
      </c>
      <c r="C825" t="s">
        <v>1855</v>
      </c>
      <c r="D825">
        <v>113</v>
      </c>
      <c r="E825" t="s">
        <v>1447</v>
      </c>
      <c r="F825" t="s">
        <v>1858</v>
      </c>
      <c r="G825" t="s">
        <v>1748</v>
      </c>
      <c r="H825" t="s">
        <v>2277</v>
      </c>
      <c r="I825">
        <v>1</v>
      </c>
      <c r="J825" t="s">
        <v>2277</v>
      </c>
      <c r="K825" t="s">
        <v>2277</v>
      </c>
      <c r="L825" t="s">
        <v>2277</v>
      </c>
      <c r="M825" t="s">
        <v>2277</v>
      </c>
      <c r="N825" t="s">
        <v>2277</v>
      </c>
      <c r="O825" s="190" t="str">
        <f t="shared" si="12"/>
        <v>[S05_DefaultValues][113][InstallationNumber]</v>
      </c>
    </row>
    <row r="826" spans="1:15" x14ac:dyDescent="0.3">
      <c r="A826" t="s">
        <v>2278</v>
      </c>
      <c r="B826" t="s">
        <v>1847</v>
      </c>
      <c r="C826" t="s">
        <v>1855</v>
      </c>
      <c r="D826">
        <v>114</v>
      </c>
      <c r="E826" t="s">
        <v>1447</v>
      </c>
      <c r="F826" t="s">
        <v>1858</v>
      </c>
      <c r="G826" t="s">
        <v>1748</v>
      </c>
      <c r="H826" t="s">
        <v>2277</v>
      </c>
      <c r="I826">
        <v>3</v>
      </c>
      <c r="J826" t="s">
        <v>2277</v>
      </c>
      <c r="K826" t="s">
        <v>2277</v>
      </c>
      <c r="L826" t="s">
        <v>2277</v>
      </c>
      <c r="M826" t="s">
        <v>2277</v>
      </c>
      <c r="N826" t="s">
        <v>2277</v>
      </c>
      <c r="O826" s="190" t="str">
        <f t="shared" si="12"/>
        <v>[S05_DefaultValues][114][InstallationNumber]</v>
      </c>
    </row>
    <row r="827" spans="1:15" x14ac:dyDescent="0.3">
      <c r="A827" t="s">
        <v>2278</v>
      </c>
      <c r="B827" t="s">
        <v>1847</v>
      </c>
      <c r="C827" t="s">
        <v>1855</v>
      </c>
      <c r="D827">
        <v>115</v>
      </c>
      <c r="E827" t="s">
        <v>1447</v>
      </c>
      <c r="F827" t="s">
        <v>1858</v>
      </c>
      <c r="G827" t="s">
        <v>1748</v>
      </c>
      <c r="H827" t="s">
        <v>2277</v>
      </c>
      <c r="I827">
        <v>1</v>
      </c>
      <c r="J827" t="s">
        <v>2277</v>
      </c>
      <c r="K827" t="s">
        <v>2277</v>
      </c>
      <c r="L827" t="s">
        <v>2277</v>
      </c>
      <c r="M827" t="s">
        <v>2277</v>
      </c>
      <c r="N827" t="s">
        <v>2277</v>
      </c>
      <c r="O827" s="190" t="str">
        <f t="shared" si="12"/>
        <v>[S05_DefaultValues][115][InstallationNumber]</v>
      </c>
    </row>
    <row r="828" spans="1:15" x14ac:dyDescent="0.3">
      <c r="A828" t="s">
        <v>2278</v>
      </c>
      <c r="B828" t="s">
        <v>1847</v>
      </c>
      <c r="C828" t="s">
        <v>1855</v>
      </c>
      <c r="D828">
        <v>116</v>
      </c>
      <c r="E828" t="s">
        <v>1447</v>
      </c>
      <c r="F828" t="s">
        <v>1858</v>
      </c>
      <c r="G828" t="s">
        <v>1748</v>
      </c>
      <c r="H828" t="s">
        <v>2277</v>
      </c>
      <c r="I828">
        <v>1</v>
      </c>
      <c r="J828" t="s">
        <v>2277</v>
      </c>
      <c r="K828" t="s">
        <v>2277</v>
      </c>
      <c r="L828" t="s">
        <v>2277</v>
      </c>
      <c r="M828" t="s">
        <v>2277</v>
      </c>
      <c r="N828" t="s">
        <v>2277</v>
      </c>
      <c r="O828" s="190" t="str">
        <f t="shared" si="12"/>
        <v>[S05_DefaultValues][116][InstallationNumber]</v>
      </c>
    </row>
    <row r="829" spans="1:15" x14ac:dyDescent="0.3">
      <c r="A829" t="s">
        <v>2278</v>
      </c>
      <c r="B829" t="s">
        <v>1847</v>
      </c>
      <c r="C829" t="s">
        <v>1855</v>
      </c>
      <c r="D829">
        <v>117</v>
      </c>
      <c r="E829" t="s">
        <v>1447</v>
      </c>
      <c r="F829" t="s">
        <v>1858</v>
      </c>
      <c r="G829" t="s">
        <v>1748</v>
      </c>
      <c r="H829" t="s">
        <v>2277</v>
      </c>
      <c r="I829">
        <v>1</v>
      </c>
      <c r="J829" t="s">
        <v>2277</v>
      </c>
      <c r="K829" t="s">
        <v>2277</v>
      </c>
      <c r="L829" t="s">
        <v>2277</v>
      </c>
      <c r="M829" t="s">
        <v>2277</v>
      </c>
      <c r="N829" t="s">
        <v>2277</v>
      </c>
      <c r="O829" s="190" t="str">
        <f t="shared" si="12"/>
        <v>[S05_DefaultValues][117][InstallationNumber]</v>
      </c>
    </row>
    <row r="830" spans="1:15" x14ac:dyDescent="0.3">
      <c r="A830" t="s">
        <v>2278</v>
      </c>
      <c r="B830" t="s">
        <v>1847</v>
      </c>
      <c r="C830" t="s">
        <v>1855</v>
      </c>
      <c r="D830">
        <v>118</v>
      </c>
      <c r="E830" t="s">
        <v>1447</v>
      </c>
      <c r="F830" t="s">
        <v>1858</v>
      </c>
      <c r="G830" t="s">
        <v>1748</v>
      </c>
      <c r="H830" t="s">
        <v>2277</v>
      </c>
      <c r="I830">
        <v>1</v>
      </c>
      <c r="J830" t="s">
        <v>2277</v>
      </c>
      <c r="K830" t="s">
        <v>2277</v>
      </c>
      <c r="L830" t="s">
        <v>2277</v>
      </c>
      <c r="M830" t="s">
        <v>2277</v>
      </c>
      <c r="N830" t="s">
        <v>2277</v>
      </c>
      <c r="O830" s="190" t="str">
        <f t="shared" si="12"/>
        <v>[S05_DefaultValues][118][InstallationNumber]</v>
      </c>
    </row>
    <row r="831" spans="1:15" x14ac:dyDescent="0.3">
      <c r="A831" t="s">
        <v>2278</v>
      </c>
      <c r="B831" t="s">
        <v>1847</v>
      </c>
      <c r="C831" t="s">
        <v>1855</v>
      </c>
      <c r="D831">
        <v>119</v>
      </c>
      <c r="E831" t="s">
        <v>1447</v>
      </c>
      <c r="F831" t="s">
        <v>1858</v>
      </c>
      <c r="G831" t="s">
        <v>1748</v>
      </c>
      <c r="H831" t="s">
        <v>2277</v>
      </c>
      <c r="I831">
        <v>1</v>
      </c>
      <c r="J831" t="s">
        <v>2277</v>
      </c>
      <c r="K831" t="s">
        <v>2277</v>
      </c>
      <c r="L831" t="s">
        <v>2277</v>
      </c>
      <c r="M831" t="s">
        <v>2277</v>
      </c>
      <c r="N831" t="s">
        <v>2277</v>
      </c>
      <c r="O831" s="190" t="str">
        <f t="shared" si="12"/>
        <v>[S05_DefaultValues][119][InstallationNumber]</v>
      </c>
    </row>
    <row r="832" spans="1:15" x14ac:dyDescent="0.3">
      <c r="A832" t="s">
        <v>2278</v>
      </c>
      <c r="B832" t="s">
        <v>1847</v>
      </c>
      <c r="C832" t="s">
        <v>1855</v>
      </c>
      <c r="D832">
        <v>120</v>
      </c>
      <c r="E832" t="s">
        <v>1447</v>
      </c>
      <c r="F832" t="s">
        <v>1858</v>
      </c>
      <c r="G832" t="s">
        <v>1748</v>
      </c>
      <c r="H832" t="s">
        <v>2277</v>
      </c>
      <c r="I832">
        <v>1</v>
      </c>
      <c r="J832" t="s">
        <v>2277</v>
      </c>
      <c r="K832" t="s">
        <v>2277</v>
      </c>
      <c r="L832" t="s">
        <v>2277</v>
      </c>
      <c r="M832" t="s">
        <v>2277</v>
      </c>
      <c r="N832" t="s">
        <v>2277</v>
      </c>
      <c r="O832" s="190" t="str">
        <f t="shared" si="12"/>
        <v>[S05_DefaultValues][120][InstallationNumber]</v>
      </c>
    </row>
    <row r="833" spans="1:15" x14ac:dyDescent="0.3">
      <c r="A833" t="s">
        <v>2278</v>
      </c>
      <c r="B833" t="s">
        <v>1847</v>
      </c>
      <c r="C833" t="s">
        <v>1855</v>
      </c>
      <c r="D833">
        <v>121</v>
      </c>
      <c r="E833" t="s">
        <v>1447</v>
      </c>
      <c r="F833" t="s">
        <v>1858</v>
      </c>
      <c r="G833" t="s">
        <v>1748</v>
      </c>
      <c r="H833" t="s">
        <v>2277</v>
      </c>
      <c r="I833">
        <v>1</v>
      </c>
      <c r="J833" t="s">
        <v>2277</v>
      </c>
      <c r="K833" t="s">
        <v>2277</v>
      </c>
      <c r="L833" t="s">
        <v>2277</v>
      </c>
      <c r="M833" t="s">
        <v>2277</v>
      </c>
      <c r="N833" t="s">
        <v>2277</v>
      </c>
      <c r="O833" s="190" t="str">
        <f t="shared" si="12"/>
        <v>[S05_DefaultValues][121][InstallationNumber]</v>
      </c>
    </row>
    <row r="834" spans="1:15" x14ac:dyDescent="0.3">
      <c r="A834" t="s">
        <v>2278</v>
      </c>
      <c r="B834" t="s">
        <v>1847</v>
      </c>
      <c r="C834" t="s">
        <v>1855</v>
      </c>
      <c r="D834">
        <v>122</v>
      </c>
      <c r="E834" t="s">
        <v>1447</v>
      </c>
      <c r="F834" t="s">
        <v>1858</v>
      </c>
      <c r="G834" t="s">
        <v>1748</v>
      </c>
      <c r="H834" t="s">
        <v>2277</v>
      </c>
      <c r="I834">
        <v>1</v>
      </c>
      <c r="J834" t="s">
        <v>2277</v>
      </c>
      <c r="K834" t="s">
        <v>2277</v>
      </c>
      <c r="L834" t="s">
        <v>2277</v>
      </c>
      <c r="M834" t="s">
        <v>2277</v>
      </c>
      <c r="N834" t="s">
        <v>2277</v>
      </c>
      <c r="O834" s="190" t="str">
        <f t="shared" ref="O834:O897" si="13">"["&amp;$C834&amp;"]["&amp;$D834&amp;"]["&amp;$F834&amp;"]"</f>
        <v>[S05_DefaultValues][122][InstallationNumber]</v>
      </c>
    </row>
    <row r="835" spans="1:15" x14ac:dyDescent="0.3">
      <c r="A835" t="s">
        <v>2278</v>
      </c>
      <c r="B835" t="s">
        <v>1847</v>
      </c>
      <c r="C835" t="s">
        <v>1855</v>
      </c>
      <c r="D835">
        <v>123</v>
      </c>
      <c r="E835" t="s">
        <v>1447</v>
      </c>
      <c r="F835" t="s">
        <v>1858</v>
      </c>
      <c r="G835" t="s">
        <v>1748</v>
      </c>
      <c r="H835" t="s">
        <v>2277</v>
      </c>
      <c r="I835">
        <v>1</v>
      </c>
      <c r="J835" t="s">
        <v>2277</v>
      </c>
      <c r="K835" t="s">
        <v>2277</v>
      </c>
      <c r="L835" t="s">
        <v>2277</v>
      </c>
      <c r="M835" t="s">
        <v>2277</v>
      </c>
      <c r="N835" t="s">
        <v>2277</v>
      </c>
      <c r="O835" s="190" t="str">
        <f t="shared" si="13"/>
        <v>[S05_DefaultValues][123][InstallationNumber]</v>
      </c>
    </row>
    <row r="836" spans="1:15" x14ac:dyDescent="0.3">
      <c r="A836" t="s">
        <v>2278</v>
      </c>
      <c r="B836" t="s">
        <v>1847</v>
      </c>
      <c r="C836" t="s">
        <v>1855</v>
      </c>
      <c r="D836">
        <v>124</v>
      </c>
      <c r="E836" t="s">
        <v>1447</v>
      </c>
      <c r="F836" t="s">
        <v>1858</v>
      </c>
      <c r="G836" t="s">
        <v>1748</v>
      </c>
      <c r="H836" t="s">
        <v>2277</v>
      </c>
      <c r="I836">
        <v>1</v>
      </c>
      <c r="J836" t="s">
        <v>2277</v>
      </c>
      <c r="K836" t="s">
        <v>2277</v>
      </c>
      <c r="L836" t="s">
        <v>2277</v>
      </c>
      <c r="M836" t="s">
        <v>2277</v>
      </c>
      <c r="N836" t="s">
        <v>2277</v>
      </c>
      <c r="O836" s="190" t="str">
        <f t="shared" si="13"/>
        <v>[S05_DefaultValues][124][InstallationNumber]</v>
      </c>
    </row>
    <row r="837" spans="1:15" x14ac:dyDescent="0.3">
      <c r="A837" t="s">
        <v>2278</v>
      </c>
      <c r="B837" t="s">
        <v>1847</v>
      </c>
      <c r="C837" t="s">
        <v>1855</v>
      </c>
      <c r="D837">
        <v>125</v>
      </c>
      <c r="E837" t="s">
        <v>1447</v>
      </c>
      <c r="F837" t="s">
        <v>1858</v>
      </c>
      <c r="G837" t="s">
        <v>1748</v>
      </c>
      <c r="H837" t="s">
        <v>2277</v>
      </c>
      <c r="I837">
        <v>1</v>
      </c>
      <c r="J837" t="s">
        <v>2277</v>
      </c>
      <c r="K837" t="s">
        <v>2277</v>
      </c>
      <c r="L837" t="s">
        <v>2277</v>
      </c>
      <c r="M837" t="s">
        <v>2277</v>
      </c>
      <c r="N837" t="s">
        <v>2277</v>
      </c>
      <c r="O837" s="190" t="str">
        <f t="shared" si="13"/>
        <v>[S05_DefaultValues][125][InstallationNumber]</v>
      </c>
    </row>
    <row r="838" spans="1:15" x14ac:dyDescent="0.3">
      <c r="A838" t="s">
        <v>2278</v>
      </c>
      <c r="B838" t="s">
        <v>1847</v>
      </c>
      <c r="C838" t="s">
        <v>1855</v>
      </c>
      <c r="D838">
        <v>126</v>
      </c>
      <c r="E838" t="s">
        <v>1447</v>
      </c>
      <c r="F838" t="s">
        <v>1858</v>
      </c>
      <c r="G838" t="s">
        <v>1748</v>
      </c>
      <c r="H838" t="s">
        <v>2277</v>
      </c>
      <c r="I838">
        <v>2</v>
      </c>
      <c r="J838" t="s">
        <v>2277</v>
      </c>
      <c r="K838" t="s">
        <v>2277</v>
      </c>
      <c r="L838" t="s">
        <v>2277</v>
      </c>
      <c r="M838" t="s">
        <v>2277</v>
      </c>
      <c r="N838" t="s">
        <v>2277</v>
      </c>
      <c r="O838" s="190" t="str">
        <f t="shared" si="13"/>
        <v>[S05_DefaultValues][126][InstallationNumber]</v>
      </c>
    </row>
    <row r="839" spans="1:15" x14ac:dyDescent="0.3">
      <c r="A839" t="s">
        <v>2278</v>
      </c>
      <c r="B839" t="s">
        <v>1847</v>
      </c>
      <c r="C839" t="s">
        <v>1855</v>
      </c>
      <c r="D839">
        <v>127</v>
      </c>
      <c r="E839" t="s">
        <v>1447</v>
      </c>
      <c r="F839" t="s">
        <v>1858</v>
      </c>
      <c r="G839" t="s">
        <v>1748</v>
      </c>
      <c r="H839" t="s">
        <v>2277</v>
      </c>
      <c r="I839">
        <v>14</v>
      </c>
      <c r="J839" t="s">
        <v>2277</v>
      </c>
      <c r="K839" t="s">
        <v>2277</v>
      </c>
      <c r="L839" t="s">
        <v>2277</v>
      </c>
      <c r="M839" t="s">
        <v>2277</v>
      </c>
      <c r="N839" t="s">
        <v>2277</v>
      </c>
      <c r="O839" s="190" t="str">
        <f t="shared" si="13"/>
        <v>[S05_DefaultValues][127][InstallationNumber]</v>
      </c>
    </row>
    <row r="840" spans="1:15" x14ac:dyDescent="0.3">
      <c r="A840" t="s">
        <v>2278</v>
      </c>
      <c r="B840" t="s">
        <v>1847</v>
      </c>
      <c r="C840" t="s">
        <v>1855</v>
      </c>
      <c r="D840">
        <v>128</v>
      </c>
      <c r="E840" t="s">
        <v>1447</v>
      </c>
      <c r="F840" t="s">
        <v>1858</v>
      </c>
      <c r="G840" t="s">
        <v>1748</v>
      </c>
      <c r="H840" t="s">
        <v>2277</v>
      </c>
      <c r="I840">
        <v>1</v>
      </c>
      <c r="J840" t="s">
        <v>2277</v>
      </c>
      <c r="K840" t="s">
        <v>2277</v>
      </c>
      <c r="L840" t="s">
        <v>2277</v>
      </c>
      <c r="M840" t="s">
        <v>2277</v>
      </c>
      <c r="N840" t="s">
        <v>2277</v>
      </c>
      <c r="O840" s="190" t="str">
        <f t="shared" si="13"/>
        <v>[S05_DefaultValues][128][InstallationNumber]</v>
      </c>
    </row>
    <row r="841" spans="1:15" x14ac:dyDescent="0.3">
      <c r="A841" t="s">
        <v>2278</v>
      </c>
      <c r="B841" t="s">
        <v>1847</v>
      </c>
      <c r="C841" t="s">
        <v>1855</v>
      </c>
      <c r="D841">
        <v>129</v>
      </c>
      <c r="E841" t="s">
        <v>1447</v>
      </c>
      <c r="F841" t="s">
        <v>1858</v>
      </c>
      <c r="G841" t="s">
        <v>1748</v>
      </c>
      <c r="H841" t="s">
        <v>2277</v>
      </c>
      <c r="I841">
        <v>11</v>
      </c>
      <c r="J841" t="s">
        <v>2277</v>
      </c>
      <c r="K841" t="s">
        <v>2277</v>
      </c>
      <c r="L841" t="s">
        <v>2277</v>
      </c>
      <c r="M841" t="s">
        <v>2277</v>
      </c>
      <c r="N841" t="s">
        <v>2277</v>
      </c>
      <c r="O841" s="190" t="str">
        <f t="shared" si="13"/>
        <v>[S05_DefaultValues][129][InstallationNumber]</v>
      </c>
    </row>
    <row r="842" spans="1:15" x14ac:dyDescent="0.3">
      <c r="A842" t="s">
        <v>2278</v>
      </c>
      <c r="B842" t="s">
        <v>1847</v>
      </c>
      <c r="C842" t="s">
        <v>1855</v>
      </c>
      <c r="D842">
        <v>130</v>
      </c>
      <c r="E842" t="s">
        <v>1447</v>
      </c>
      <c r="F842" t="s">
        <v>1858</v>
      </c>
      <c r="G842" t="s">
        <v>1748</v>
      </c>
      <c r="H842" t="s">
        <v>2277</v>
      </c>
      <c r="I842">
        <v>31</v>
      </c>
      <c r="J842" t="s">
        <v>2277</v>
      </c>
      <c r="K842" t="s">
        <v>2277</v>
      </c>
      <c r="L842" t="s">
        <v>2277</v>
      </c>
      <c r="M842" t="s">
        <v>2277</v>
      </c>
      <c r="N842" t="s">
        <v>2277</v>
      </c>
      <c r="O842" s="190" t="str">
        <f t="shared" si="13"/>
        <v>[S05_DefaultValues][130][InstallationNumber]</v>
      </c>
    </row>
    <row r="843" spans="1:15" x14ac:dyDescent="0.3">
      <c r="A843" t="s">
        <v>2278</v>
      </c>
      <c r="B843" t="s">
        <v>1847</v>
      </c>
      <c r="C843" t="s">
        <v>1855</v>
      </c>
      <c r="D843">
        <v>131</v>
      </c>
      <c r="E843" t="s">
        <v>1447</v>
      </c>
      <c r="F843" t="s">
        <v>1858</v>
      </c>
      <c r="G843" t="s">
        <v>1748</v>
      </c>
      <c r="H843" t="s">
        <v>2277</v>
      </c>
      <c r="I843">
        <v>1</v>
      </c>
      <c r="J843" t="s">
        <v>2277</v>
      </c>
      <c r="K843" t="s">
        <v>2277</v>
      </c>
      <c r="L843" t="s">
        <v>2277</v>
      </c>
      <c r="M843" t="s">
        <v>2277</v>
      </c>
      <c r="N843" t="s">
        <v>2277</v>
      </c>
      <c r="O843" s="190" t="str">
        <f t="shared" si="13"/>
        <v>[S05_DefaultValues][131][InstallationNumber]</v>
      </c>
    </row>
    <row r="844" spans="1:15" x14ac:dyDescent="0.3">
      <c r="A844" t="s">
        <v>2278</v>
      </c>
      <c r="B844" t="s">
        <v>1847</v>
      </c>
      <c r="C844" t="s">
        <v>1855</v>
      </c>
      <c r="D844">
        <v>132</v>
      </c>
      <c r="E844" t="s">
        <v>1447</v>
      </c>
      <c r="F844" t="s">
        <v>1858</v>
      </c>
      <c r="G844" t="s">
        <v>1748</v>
      </c>
      <c r="H844" t="s">
        <v>2277</v>
      </c>
      <c r="I844">
        <v>1</v>
      </c>
      <c r="J844" t="s">
        <v>2277</v>
      </c>
      <c r="K844" t="s">
        <v>2277</v>
      </c>
      <c r="L844" t="s">
        <v>2277</v>
      </c>
      <c r="M844" t="s">
        <v>2277</v>
      </c>
      <c r="N844" t="s">
        <v>2277</v>
      </c>
      <c r="O844" s="190" t="str">
        <f t="shared" si="13"/>
        <v>[S05_DefaultValues][132][InstallationNumber]</v>
      </c>
    </row>
    <row r="845" spans="1:15" x14ac:dyDescent="0.3">
      <c r="A845" t="s">
        <v>2278</v>
      </c>
      <c r="B845" t="s">
        <v>1847</v>
      </c>
      <c r="C845" t="s">
        <v>1855</v>
      </c>
      <c r="D845">
        <v>133</v>
      </c>
      <c r="E845" t="s">
        <v>1447</v>
      </c>
      <c r="F845" t="s">
        <v>1858</v>
      </c>
      <c r="G845" t="s">
        <v>1748</v>
      </c>
      <c r="H845" t="s">
        <v>2277</v>
      </c>
      <c r="I845">
        <v>2</v>
      </c>
      <c r="J845" t="s">
        <v>2277</v>
      </c>
      <c r="K845" t="s">
        <v>2277</v>
      </c>
      <c r="L845" t="s">
        <v>2277</v>
      </c>
      <c r="M845" t="s">
        <v>2277</v>
      </c>
      <c r="N845" t="s">
        <v>2277</v>
      </c>
      <c r="O845" s="190" t="str">
        <f t="shared" si="13"/>
        <v>[S05_DefaultValues][133][InstallationNumber]</v>
      </c>
    </row>
    <row r="846" spans="1:15" x14ac:dyDescent="0.3">
      <c r="A846" t="s">
        <v>2278</v>
      </c>
      <c r="B846" t="s">
        <v>1847</v>
      </c>
      <c r="C846" t="s">
        <v>1855</v>
      </c>
      <c r="D846">
        <v>134</v>
      </c>
      <c r="E846" t="s">
        <v>1447</v>
      </c>
      <c r="F846" t="s">
        <v>1858</v>
      </c>
      <c r="G846" t="s">
        <v>1748</v>
      </c>
      <c r="H846" t="s">
        <v>2277</v>
      </c>
      <c r="I846">
        <v>1</v>
      </c>
      <c r="J846" t="s">
        <v>2277</v>
      </c>
      <c r="K846" t="s">
        <v>2277</v>
      </c>
      <c r="L846" t="s">
        <v>2277</v>
      </c>
      <c r="M846" t="s">
        <v>2277</v>
      </c>
      <c r="N846" t="s">
        <v>2277</v>
      </c>
      <c r="O846" s="190" t="str">
        <f t="shared" si="13"/>
        <v>[S05_DefaultValues][134][InstallationNumber]</v>
      </c>
    </row>
    <row r="847" spans="1:15" x14ac:dyDescent="0.3">
      <c r="A847" t="s">
        <v>2278</v>
      </c>
      <c r="B847" t="s">
        <v>1847</v>
      </c>
      <c r="C847" t="s">
        <v>1855</v>
      </c>
      <c r="D847">
        <v>135</v>
      </c>
      <c r="E847" t="s">
        <v>1447</v>
      </c>
      <c r="F847" t="s">
        <v>1858</v>
      </c>
      <c r="G847" t="s">
        <v>1748</v>
      </c>
      <c r="H847" t="s">
        <v>2277</v>
      </c>
      <c r="I847">
        <v>5</v>
      </c>
      <c r="J847" t="s">
        <v>2277</v>
      </c>
      <c r="K847" t="s">
        <v>2277</v>
      </c>
      <c r="L847" t="s">
        <v>2277</v>
      </c>
      <c r="M847" t="s">
        <v>2277</v>
      </c>
      <c r="N847" t="s">
        <v>2277</v>
      </c>
      <c r="O847" s="190" t="str">
        <f t="shared" si="13"/>
        <v>[S05_DefaultValues][135][InstallationNumber]</v>
      </c>
    </row>
    <row r="848" spans="1:15" x14ac:dyDescent="0.3">
      <c r="A848" t="s">
        <v>2278</v>
      </c>
      <c r="B848" t="s">
        <v>1847</v>
      </c>
      <c r="C848" t="s">
        <v>1855</v>
      </c>
      <c r="D848">
        <v>136</v>
      </c>
      <c r="E848" t="s">
        <v>1447</v>
      </c>
      <c r="F848" t="s">
        <v>1858</v>
      </c>
      <c r="G848" t="s">
        <v>1748</v>
      </c>
      <c r="H848" t="s">
        <v>2277</v>
      </c>
      <c r="I848">
        <v>3</v>
      </c>
      <c r="J848" t="s">
        <v>2277</v>
      </c>
      <c r="K848" t="s">
        <v>2277</v>
      </c>
      <c r="L848" t="s">
        <v>2277</v>
      </c>
      <c r="M848" t="s">
        <v>2277</v>
      </c>
      <c r="N848" t="s">
        <v>2277</v>
      </c>
      <c r="O848" s="190" t="str">
        <f t="shared" si="13"/>
        <v>[S05_DefaultValues][136][InstallationNumber]</v>
      </c>
    </row>
    <row r="849" spans="1:15" x14ac:dyDescent="0.3">
      <c r="A849" t="s">
        <v>2278</v>
      </c>
      <c r="B849" t="s">
        <v>1847</v>
      </c>
      <c r="C849" t="s">
        <v>1855</v>
      </c>
      <c r="D849">
        <v>137</v>
      </c>
      <c r="E849" t="s">
        <v>1447</v>
      </c>
      <c r="F849" t="s">
        <v>1858</v>
      </c>
      <c r="G849" t="s">
        <v>1748</v>
      </c>
      <c r="H849" t="s">
        <v>2277</v>
      </c>
      <c r="I849">
        <v>1</v>
      </c>
      <c r="J849" t="s">
        <v>2277</v>
      </c>
      <c r="K849" t="s">
        <v>2277</v>
      </c>
      <c r="L849" t="s">
        <v>2277</v>
      </c>
      <c r="M849" t="s">
        <v>2277</v>
      </c>
      <c r="N849" t="s">
        <v>2277</v>
      </c>
      <c r="O849" s="190" t="str">
        <f t="shared" si="13"/>
        <v>[S05_DefaultValues][137][InstallationNumber]</v>
      </c>
    </row>
    <row r="850" spans="1:15" x14ac:dyDescent="0.3">
      <c r="A850" t="s">
        <v>2278</v>
      </c>
      <c r="B850" t="s">
        <v>1847</v>
      </c>
      <c r="C850" t="s">
        <v>1855</v>
      </c>
      <c r="D850">
        <v>138</v>
      </c>
      <c r="E850" t="s">
        <v>1447</v>
      </c>
      <c r="F850" t="s">
        <v>1858</v>
      </c>
      <c r="G850" t="s">
        <v>1748</v>
      </c>
      <c r="H850" t="s">
        <v>2277</v>
      </c>
      <c r="I850">
        <v>5</v>
      </c>
      <c r="J850" t="s">
        <v>2277</v>
      </c>
      <c r="K850" t="s">
        <v>2277</v>
      </c>
      <c r="L850" t="s">
        <v>2277</v>
      </c>
      <c r="M850" t="s">
        <v>2277</v>
      </c>
      <c r="N850" t="s">
        <v>2277</v>
      </c>
      <c r="O850" s="190" t="str">
        <f t="shared" si="13"/>
        <v>[S05_DefaultValues][138][InstallationNumber]</v>
      </c>
    </row>
    <row r="851" spans="1:15" x14ac:dyDescent="0.3">
      <c r="A851" t="s">
        <v>2278</v>
      </c>
      <c r="B851" t="s">
        <v>1847</v>
      </c>
      <c r="C851" t="s">
        <v>1855</v>
      </c>
      <c r="D851">
        <v>139</v>
      </c>
      <c r="E851" t="s">
        <v>1447</v>
      </c>
      <c r="F851" t="s">
        <v>1858</v>
      </c>
      <c r="G851" t="s">
        <v>1748</v>
      </c>
      <c r="H851" t="s">
        <v>2277</v>
      </c>
      <c r="I851">
        <v>1</v>
      </c>
      <c r="J851" t="s">
        <v>2277</v>
      </c>
      <c r="K851" t="s">
        <v>2277</v>
      </c>
      <c r="L851" t="s">
        <v>2277</v>
      </c>
      <c r="M851" t="s">
        <v>2277</v>
      </c>
      <c r="N851" t="s">
        <v>2277</v>
      </c>
      <c r="O851" s="190" t="str">
        <f t="shared" si="13"/>
        <v>[S05_DefaultValues][139][InstallationNumber]</v>
      </c>
    </row>
    <row r="852" spans="1:15" x14ac:dyDescent="0.3">
      <c r="A852" t="s">
        <v>2278</v>
      </c>
      <c r="B852" t="s">
        <v>1847</v>
      </c>
      <c r="C852" t="s">
        <v>1855</v>
      </c>
      <c r="D852">
        <v>140</v>
      </c>
      <c r="E852" t="s">
        <v>1447</v>
      </c>
      <c r="F852" t="s">
        <v>1858</v>
      </c>
      <c r="G852" t="s">
        <v>1748</v>
      </c>
      <c r="H852" t="s">
        <v>2277</v>
      </c>
      <c r="I852">
        <v>2</v>
      </c>
      <c r="J852" t="s">
        <v>2277</v>
      </c>
      <c r="K852" t="s">
        <v>2277</v>
      </c>
      <c r="L852" t="s">
        <v>2277</v>
      </c>
      <c r="M852" t="s">
        <v>2277</v>
      </c>
      <c r="N852" t="s">
        <v>2277</v>
      </c>
      <c r="O852" s="190" t="str">
        <f t="shared" si="13"/>
        <v>[S05_DefaultValues][140][InstallationNumber]</v>
      </c>
    </row>
    <row r="853" spans="1:15" x14ac:dyDescent="0.3">
      <c r="A853" t="s">
        <v>2278</v>
      </c>
      <c r="B853" t="s">
        <v>1847</v>
      </c>
      <c r="C853" t="s">
        <v>1855</v>
      </c>
      <c r="D853">
        <v>141</v>
      </c>
      <c r="E853" t="s">
        <v>1447</v>
      </c>
      <c r="F853" t="s">
        <v>1858</v>
      </c>
      <c r="G853" t="s">
        <v>1748</v>
      </c>
      <c r="H853" t="s">
        <v>2277</v>
      </c>
      <c r="I853">
        <v>39</v>
      </c>
      <c r="J853" t="s">
        <v>2277</v>
      </c>
      <c r="K853" t="s">
        <v>2277</v>
      </c>
      <c r="L853" t="s">
        <v>2277</v>
      </c>
      <c r="M853" t="s">
        <v>2277</v>
      </c>
      <c r="N853" t="s">
        <v>2277</v>
      </c>
      <c r="O853" s="190" t="str">
        <f t="shared" si="13"/>
        <v>[S05_DefaultValues][141][InstallationNumber]</v>
      </c>
    </row>
    <row r="854" spans="1:15" x14ac:dyDescent="0.3">
      <c r="A854" t="s">
        <v>2278</v>
      </c>
      <c r="B854" t="s">
        <v>1847</v>
      </c>
      <c r="C854" t="s">
        <v>1855</v>
      </c>
      <c r="D854">
        <v>142</v>
      </c>
      <c r="E854" t="s">
        <v>1447</v>
      </c>
      <c r="F854" t="s">
        <v>1858</v>
      </c>
      <c r="G854" t="s">
        <v>1748</v>
      </c>
      <c r="H854" t="s">
        <v>2277</v>
      </c>
      <c r="I854">
        <v>1</v>
      </c>
      <c r="J854" t="s">
        <v>2277</v>
      </c>
      <c r="K854" t="s">
        <v>2277</v>
      </c>
      <c r="L854" t="s">
        <v>2277</v>
      </c>
      <c r="M854" t="s">
        <v>2277</v>
      </c>
      <c r="N854" t="s">
        <v>2277</v>
      </c>
      <c r="O854" s="190" t="str">
        <f t="shared" si="13"/>
        <v>[S05_DefaultValues][142][InstallationNumber]</v>
      </c>
    </row>
    <row r="855" spans="1:15" x14ac:dyDescent="0.3">
      <c r="A855" t="s">
        <v>2278</v>
      </c>
      <c r="B855" t="s">
        <v>1847</v>
      </c>
      <c r="C855" t="s">
        <v>1855</v>
      </c>
      <c r="D855">
        <v>143</v>
      </c>
      <c r="E855" t="s">
        <v>1447</v>
      </c>
      <c r="F855" t="s">
        <v>1858</v>
      </c>
      <c r="G855" t="s">
        <v>1748</v>
      </c>
      <c r="H855" t="s">
        <v>2277</v>
      </c>
      <c r="I855">
        <v>1</v>
      </c>
      <c r="J855" t="s">
        <v>2277</v>
      </c>
      <c r="K855" t="s">
        <v>2277</v>
      </c>
      <c r="L855" t="s">
        <v>2277</v>
      </c>
      <c r="M855" t="s">
        <v>2277</v>
      </c>
      <c r="N855" t="s">
        <v>2277</v>
      </c>
      <c r="O855" s="190" t="str">
        <f t="shared" si="13"/>
        <v>[S05_DefaultValues][143][InstallationNumber]</v>
      </c>
    </row>
    <row r="856" spans="1:15" x14ac:dyDescent="0.3">
      <c r="A856" t="s">
        <v>2278</v>
      </c>
      <c r="B856" t="s">
        <v>1847</v>
      </c>
      <c r="C856" t="s">
        <v>1855</v>
      </c>
      <c r="D856">
        <v>144</v>
      </c>
      <c r="E856" t="s">
        <v>1447</v>
      </c>
      <c r="F856" t="s">
        <v>1858</v>
      </c>
      <c r="G856" t="s">
        <v>1748</v>
      </c>
      <c r="H856" t="s">
        <v>2277</v>
      </c>
      <c r="I856">
        <v>1</v>
      </c>
      <c r="J856" t="s">
        <v>2277</v>
      </c>
      <c r="K856" t="s">
        <v>2277</v>
      </c>
      <c r="L856" t="s">
        <v>2277</v>
      </c>
      <c r="M856" t="s">
        <v>2277</v>
      </c>
      <c r="N856" t="s">
        <v>2277</v>
      </c>
      <c r="O856" s="190" t="str">
        <f t="shared" si="13"/>
        <v>[S05_DefaultValues][144][InstallationNumber]</v>
      </c>
    </row>
    <row r="857" spans="1:15" x14ac:dyDescent="0.3">
      <c r="A857" t="s">
        <v>2278</v>
      </c>
      <c r="B857" t="s">
        <v>1847</v>
      </c>
      <c r="C857" t="s">
        <v>1855</v>
      </c>
      <c r="D857">
        <v>145</v>
      </c>
      <c r="E857" t="s">
        <v>1447</v>
      </c>
      <c r="F857" t="s">
        <v>1858</v>
      </c>
      <c r="G857" t="s">
        <v>1748</v>
      </c>
      <c r="H857" t="s">
        <v>2277</v>
      </c>
      <c r="I857">
        <v>2</v>
      </c>
      <c r="J857" t="s">
        <v>2277</v>
      </c>
      <c r="K857" t="s">
        <v>2277</v>
      </c>
      <c r="L857" t="s">
        <v>2277</v>
      </c>
      <c r="M857" t="s">
        <v>2277</v>
      </c>
      <c r="N857" t="s">
        <v>2277</v>
      </c>
      <c r="O857" s="190" t="str">
        <f t="shared" si="13"/>
        <v>[S05_DefaultValues][145][InstallationNumber]</v>
      </c>
    </row>
    <row r="858" spans="1:15" x14ac:dyDescent="0.3">
      <c r="A858" t="s">
        <v>2278</v>
      </c>
      <c r="B858" t="s">
        <v>1847</v>
      </c>
      <c r="C858" t="s">
        <v>1855</v>
      </c>
      <c r="D858">
        <v>146</v>
      </c>
      <c r="E858" t="s">
        <v>1447</v>
      </c>
      <c r="F858" t="s">
        <v>1858</v>
      </c>
      <c r="G858" t="s">
        <v>1748</v>
      </c>
      <c r="H858" t="s">
        <v>2277</v>
      </c>
      <c r="I858">
        <v>1</v>
      </c>
      <c r="J858" t="s">
        <v>2277</v>
      </c>
      <c r="K858" t="s">
        <v>2277</v>
      </c>
      <c r="L858" t="s">
        <v>2277</v>
      </c>
      <c r="M858" t="s">
        <v>2277</v>
      </c>
      <c r="N858" t="s">
        <v>2277</v>
      </c>
      <c r="O858" s="190" t="str">
        <f t="shared" si="13"/>
        <v>[S05_DefaultValues][146][InstallationNumber]</v>
      </c>
    </row>
    <row r="859" spans="1:15" x14ac:dyDescent="0.3">
      <c r="A859" t="s">
        <v>2278</v>
      </c>
      <c r="B859" t="s">
        <v>1847</v>
      </c>
      <c r="C859" t="s">
        <v>1855</v>
      </c>
      <c r="D859">
        <v>147</v>
      </c>
      <c r="E859" t="s">
        <v>1447</v>
      </c>
      <c r="F859" t="s">
        <v>1858</v>
      </c>
      <c r="G859" t="s">
        <v>1748</v>
      </c>
      <c r="H859" t="s">
        <v>2277</v>
      </c>
      <c r="I859">
        <v>18</v>
      </c>
      <c r="J859" t="s">
        <v>2277</v>
      </c>
      <c r="K859" t="s">
        <v>2277</v>
      </c>
      <c r="L859" t="s">
        <v>2277</v>
      </c>
      <c r="M859" t="s">
        <v>2277</v>
      </c>
      <c r="N859" t="s">
        <v>2277</v>
      </c>
      <c r="O859" s="190" t="str">
        <f t="shared" si="13"/>
        <v>[S05_DefaultValues][147][InstallationNumber]</v>
      </c>
    </row>
    <row r="860" spans="1:15" x14ac:dyDescent="0.3">
      <c r="A860" t="s">
        <v>2278</v>
      </c>
      <c r="B860" t="s">
        <v>1847</v>
      </c>
      <c r="C860" t="s">
        <v>1855</v>
      </c>
      <c r="D860">
        <v>148</v>
      </c>
      <c r="E860" t="s">
        <v>1447</v>
      </c>
      <c r="F860" t="s">
        <v>1858</v>
      </c>
      <c r="G860" t="s">
        <v>1748</v>
      </c>
      <c r="H860" t="s">
        <v>2277</v>
      </c>
      <c r="I860">
        <v>1</v>
      </c>
      <c r="J860" t="s">
        <v>2277</v>
      </c>
      <c r="K860" t="s">
        <v>2277</v>
      </c>
      <c r="L860" t="s">
        <v>2277</v>
      </c>
      <c r="M860" t="s">
        <v>2277</v>
      </c>
      <c r="N860" t="s">
        <v>2277</v>
      </c>
      <c r="O860" s="190" t="str">
        <f t="shared" si="13"/>
        <v>[S05_DefaultValues][148][InstallationNumber]</v>
      </c>
    </row>
    <row r="861" spans="1:15" x14ac:dyDescent="0.3">
      <c r="A861" t="s">
        <v>2278</v>
      </c>
      <c r="B861" t="s">
        <v>1847</v>
      </c>
      <c r="C861" t="s">
        <v>1855</v>
      </c>
      <c r="D861">
        <v>149</v>
      </c>
      <c r="E861" t="s">
        <v>1447</v>
      </c>
      <c r="F861" t="s">
        <v>1858</v>
      </c>
      <c r="G861" t="s">
        <v>1748</v>
      </c>
      <c r="H861" t="s">
        <v>2277</v>
      </c>
      <c r="I861">
        <v>1</v>
      </c>
      <c r="J861" t="s">
        <v>2277</v>
      </c>
      <c r="K861" t="s">
        <v>2277</v>
      </c>
      <c r="L861" t="s">
        <v>2277</v>
      </c>
      <c r="M861" t="s">
        <v>2277</v>
      </c>
      <c r="N861" t="s">
        <v>2277</v>
      </c>
      <c r="O861" s="190" t="str">
        <f t="shared" si="13"/>
        <v>[S05_DefaultValues][149][InstallationNumber]</v>
      </c>
    </row>
    <row r="862" spans="1:15" x14ac:dyDescent="0.3">
      <c r="A862" t="s">
        <v>2278</v>
      </c>
      <c r="B862" t="s">
        <v>1847</v>
      </c>
      <c r="C862" t="s">
        <v>1855</v>
      </c>
      <c r="D862">
        <v>150</v>
      </c>
      <c r="E862" t="s">
        <v>1447</v>
      </c>
      <c r="F862" t="s">
        <v>1858</v>
      </c>
      <c r="G862" t="s">
        <v>1748</v>
      </c>
      <c r="H862" t="s">
        <v>2277</v>
      </c>
      <c r="I862">
        <v>1</v>
      </c>
      <c r="J862" t="s">
        <v>2277</v>
      </c>
      <c r="K862" t="s">
        <v>2277</v>
      </c>
      <c r="L862" t="s">
        <v>2277</v>
      </c>
      <c r="M862" t="s">
        <v>2277</v>
      </c>
      <c r="N862" t="s">
        <v>2277</v>
      </c>
      <c r="O862" s="190" t="str">
        <f t="shared" si="13"/>
        <v>[S05_DefaultValues][150][InstallationNumber]</v>
      </c>
    </row>
    <row r="863" spans="1:15" x14ac:dyDescent="0.3">
      <c r="A863" t="s">
        <v>2278</v>
      </c>
      <c r="B863" t="s">
        <v>1847</v>
      </c>
      <c r="C863" t="s">
        <v>1855</v>
      </c>
      <c r="D863">
        <v>151</v>
      </c>
      <c r="E863" t="s">
        <v>1447</v>
      </c>
      <c r="F863" t="s">
        <v>1858</v>
      </c>
      <c r="G863" t="s">
        <v>1748</v>
      </c>
      <c r="H863" t="s">
        <v>2277</v>
      </c>
      <c r="I863">
        <v>1</v>
      </c>
      <c r="J863" t="s">
        <v>2277</v>
      </c>
      <c r="K863" t="s">
        <v>2277</v>
      </c>
      <c r="L863" t="s">
        <v>2277</v>
      </c>
      <c r="M863" t="s">
        <v>2277</v>
      </c>
      <c r="N863" t="s">
        <v>2277</v>
      </c>
      <c r="O863" s="190" t="str">
        <f t="shared" si="13"/>
        <v>[S05_DefaultValues][151][InstallationNumber]</v>
      </c>
    </row>
    <row r="864" spans="1:15" x14ac:dyDescent="0.3">
      <c r="A864" t="s">
        <v>2278</v>
      </c>
      <c r="B864" t="s">
        <v>1847</v>
      </c>
      <c r="C864" t="s">
        <v>1855</v>
      </c>
      <c r="D864">
        <v>152</v>
      </c>
      <c r="E864" t="s">
        <v>1447</v>
      </c>
      <c r="F864" t="s">
        <v>1858</v>
      </c>
      <c r="G864" t="s">
        <v>1748</v>
      </c>
      <c r="H864" t="s">
        <v>2277</v>
      </c>
      <c r="I864">
        <v>1</v>
      </c>
      <c r="J864" t="s">
        <v>2277</v>
      </c>
      <c r="K864" t="s">
        <v>2277</v>
      </c>
      <c r="L864" t="s">
        <v>2277</v>
      </c>
      <c r="M864" t="s">
        <v>2277</v>
      </c>
      <c r="N864" t="s">
        <v>2277</v>
      </c>
      <c r="O864" s="190" t="str">
        <f t="shared" si="13"/>
        <v>[S05_DefaultValues][152][InstallationNumber]</v>
      </c>
    </row>
    <row r="865" spans="1:15" x14ac:dyDescent="0.3">
      <c r="A865" t="s">
        <v>2278</v>
      </c>
      <c r="B865" t="s">
        <v>1847</v>
      </c>
      <c r="C865" t="s">
        <v>1855</v>
      </c>
      <c r="D865">
        <v>153</v>
      </c>
      <c r="E865" t="s">
        <v>1447</v>
      </c>
      <c r="F865" t="s">
        <v>1858</v>
      </c>
      <c r="G865" t="s">
        <v>1748</v>
      </c>
      <c r="H865" t="s">
        <v>2277</v>
      </c>
      <c r="I865">
        <v>2</v>
      </c>
      <c r="J865" t="s">
        <v>2277</v>
      </c>
      <c r="K865" t="s">
        <v>2277</v>
      </c>
      <c r="L865" t="s">
        <v>2277</v>
      </c>
      <c r="M865" t="s">
        <v>2277</v>
      </c>
      <c r="N865" t="s">
        <v>2277</v>
      </c>
      <c r="O865" s="190" t="str">
        <f t="shared" si="13"/>
        <v>[S05_DefaultValues][153][InstallationNumber]</v>
      </c>
    </row>
    <row r="866" spans="1:15" x14ac:dyDescent="0.3">
      <c r="A866" t="s">
        <v>2278</v>
      </c>
      <c r="B866" t="s">
        <v>1847</v>
      </c>
      <c r="C866" t="s">
        <v>1855</v>
      </c>
      <c r="D866">
        <v>154</v>
      </c>
      <c r="E866" t="s">
        <v>1447</v>
      </c>
      <c r="F866" t="s">
        <v>1858</v>
      </c>
      <c r="G866" t="s">
        <v>1748</v>
      </c>
      <c r="H866" t="s">
        <v>2277</v>
      </c>
      <c r="I866">
        <v>1</v>
      </c>
      <c r="J866" t="s">
        <v>2277</v>
      </c>
      <c r="K866" t="s">
        <v>2277</v>
      </c>
      <c r="L866" t="s">
        <v>2277</v>
      </c>
      <c r="M866" t="s">
        <v>2277</v>
      </c>
      <c r="N866" t="s">
        <v>2277</v>
      </c>
      <c r="O866" s="190" t="str">
        <f t="shared" si="13"/>
        <v>[S05_DefaultValues][154][InstallationNumber]</v>
      </c>
    </row>
    <row r="867" spans="1:15" x14ac:dyDescent="0.3">
      <c r="A867" t="s">
        <v>2278</v>
      </c>
      <c r="B867" t="s">
        <v>1847</v>
      </c>
      <c r="C867" t="s">
        <v>1855</v>
      </c>
      <c r="D867">
        <v>155</v>
      </c>
      <c r="E867" t="s">
        <v>1447</v>
      </c>
      <c r="F867" t="s">
        <v>1858</v>
      </c>
      <c r="G867" t="s">
        <v>1748</v>
      </c>
      <c r="H867" t="s">
        <v>2277</v>
      </c>
      <c r="I867">
        <v>1</v>
      </c>
      <c r="J867" t="s">
        <v>2277</v>
      </c>
      <c r="K867" t="s">
        <v>2277</v>
      </c>
      <c r="L867" t="s">
        <v>2277</v>
      </c>
      <c r="M867" t="s">
        <v>2277</v>
      </c>
      <c r="N867" t="s">
        <v>2277</v>
      </c>
      <c r="O867" s="190" t="str">
        <f t="shared" si="13"/>
        <v>[S05_DefaultValues][155][InstallationNumber]</v>
      </c>
    </row>
    <row r="868" spans="1:15" x14ac:dyDescent="0.3">
      <c r="A868" t="s">
        <v>2278</v>
      </c>
      <c r="B868" t="s">
        <v>1847</v>
      </c>
      <c r="C868" t="s">
        <v>1855</v>
      </c>
      <c r="D868">
        <v>156</v>
      </c>
      <c r="E868" t="s">
        <v>1447</v>
      </c>
      <c r="F868" t="s">
        <v>1858</v>
      </c>
      <c r="G868" t="s">
        <v>1748</v>
      </c>
      <c r="H868" t="s">
        <v>2277</v>
      </c>
      <c r="I868">
        <v>1</v>
      </c>
      <c r="J868" t="s">
        <v>2277</v>
      </c>
      <c r="K868" t="s">
        <v>2277</v>
      </c>
      <c r="L868" t="s">
        <v>2277</v>
      </c>
      <c r="M868" t="s">
        <v>2277</v>
      </c>
      <c r="N868" t="s">
        <v>2277</v>
      </c>
      <c r="O868" s="190" t="str">
        <f t="shared" si="13"/>
        <v>[S05_DefaultValues][156][InstallationNumber]</v>
      </c>
    </row>
    <row r="869" spans="1:15" x14ac:dyDescent="0.3">
      <c r="A869" t="s">
        <v>2278</v>
      </c>
      <c r="B869" t="s">
        <v>1847</v>
      </c>
      <c r="C869" t="s">
        <v>1855</v>
      </c>
      <c r="D869">
        <v>157</v>
      </c>
      <c r="E869" t="s">
        <v>1447</v>
      </c>
      <c r="F869" t="s">
        <v>1858</v>
      </c>
      <c r="G869" t="s">
        <v>1748</v>
      </c>
      <c r="H869" t="s">
        <v>2277</v>
      </c>
      <c r="I869">
        <v>1</v>
      </c>
      <c r="J869" t="s">
        <v>2277</v>
      </c>
      <c r="K869" t="s">
        <v>2277</v>
      </c>
      <c r="L869" t="s">
        <v>2277</v>
      </c>
      <c r="M869" t="s">
        <v>2277</v>
      </c>
      <c r="N869" t="s">
        <v>2277</v>
      </c>
      <c r="O869" s="190" t="str">
        <f t="shared" si="13"/>
        <v>[S05_DefaultValues][157][InstallationNumber]</v>
      </c>
    </row>
    <row r="870" spans="1:15" x14ac:dyDescent="0.3">
      <c r="A870" t="s">
        <v>2278</v>
      </c>
      <c r="B870" t="s">
        <v>1847</v>
      </c>
      <c r="C870" t="s">
        <v>1855</v>
      </c>
      <c r="D870">
        <v>158</v>
      </c>
      <c r="E870" t="s">
        <v>1447</v>
      </c>
      <c r="F870" t="s">
        <v>1858</v>
      </c>
      <c r="G870" t="s">
        <v>1748</v>
      </c>
      <c r="H870" t="s">
        <v>2277</v>
      </c>
      <c r="I870">
        <v>1</v>
      </c>
      <c r="J870" t="s">
        <v>2277</v>
      </c>
      <c r="K870" t="s">
        <v>2277</v>
      </c>
      <c r="L870" t="s">
        <v>2277</v>
      </c>
      <c r="M870" t="s">
        <v>2277</v>
      </c>
      <c r="N870" t="s">
        <v>2277</v>
      </c>
      <c r="O870" s="190" t="str">
        <f t="shared" si="13"/>
        <v>[S05_DefaultValues][158][InstallationNumber]</v>
      </c>
    </row>
    <row r="871" spans="1:15" x14ac:dyDescent="0.3">
      <c r="A871" t="s">
        <v>2278</v>
      </c>
      <c r="B871" t="s">
        <v>1847</v>
      </c>
      <c r="C871" t="s">
        <v>1855</v>
      </c>
      <c r="D871">
        <v>159</v>
      </c>
      <c r="E871" t="s">
        <v>1447</v>
      </c>
      <c r="F871" t="s">
        <v>1858</v>
      </c>
      <c r="G871" t="s">
        <v>1748</v>
      </c>
      <c r="H871" t="s">
        <v>2277</v>
      </c>
      <c r="I871">
        <v>45</v>
      </c>
      <c r="J871" t="s">
        <v>2277</v>
      </c>
      <c r="K871" t="s">
        <v>2277</v>
      </c>
      <c r="L871" t="s">
        <v>2277</v>
      </c>
      <c r="M871" t="s">
        <v>2277</v>
      </c>
      <c r="N871" t="s">
        <v>2277</v>
      </c>
      <c r="O871" s="190" t="str">
        <f t="shared" si="13"/>
        <v>[S05_DefaultValues][159][InstallationNumber]</v>
      </c>
    </row>
    <row r="872" spans="1:15" x14ac:dyDescent="0.3">
      <c r="A872" t="s">
        <v>2278</v>
      </c>
      <c r="B872" t="s">
        <v>1847</v>
      </c>
      <c r="C872" t="s">
        <v>1855</v>
      </c>
      <c r="D872">
        <v>160</v>
      </c>
      <c r="E872" t="s">
        <v>1447</v>
      </c>
      <c r="F872" t="s">
        <v>1858</v>
      </c>
      <c r="G872" t="s">
        <v>1748</v>
      </c>
      <c r="H872" t="s">
        <v>2277</v>
      </c>
      <c r="I872">
        <v>2</v>
      </c>
      <c r="J872" t="s">
        <v>2277</v>
      </c>
      <c r="K872" t="s">
        <v>2277</v>
      </c>
      <c r="L872" t="s">
        <v>2277</v>
      </c>
      <c r="M872" t="s">
        <v>2277</v>
      </c>
      <c r="N872" t="s">
        <v>2277</v>
      </c>
      <c r="O872" s="190" t="str">
        <f t="shared" si="13"/>
        <v>[S05_DefaultValues][160][InstallationNumber]</v>
      </c>
    </row>
    <row r="873" spans="1:15" x14ac:dyDescent="0.3">
      <c r="A873" t="s">
        <v>2278</v>
      </c>
      <c r="B873" t="s">
        <v>1847</v>
      </c>
      <c r="C873" t="s">
        <v>1855</v>
      </c>
      <c r="D873">
        <v>161</v>
      </c>
      <c r="E873" t="s">
        <v>1447</v>
      </c>
      <c r="F873" t="s">
        <v>1858</v>
      </c>
      <c r="G873" t="s">
        <v>1748</v>
      </c>
      <c r="H873" t="s">
        <v>2277</v>
      </c>
      <c r="I873">
        <v>4</v>
      </c>
      <c r="J873" t="s">
        <v>2277</v>
      </c>
      <c r="K873" t="s">
        <v>2277</v>
      </c>
      <c r="L873" t="s">
        <v>2277</v>
      </c>
      <c r="M873" t="s">
        <v>2277</v>
      </c>
      <c r="N873" t="s">
        <v>2277</v>
      </c>
      <c r="O873" s="190" t="str">
        <f t="shared" si="13"/>
        <v>[S05_DefaultValues][161][InstallationNumber]</v>
      </c>
    </row>
    <row r="874" spans="1:15" x14ac:dyDescent="0.3">
      <c r="A874" t="s">
        <v>2278</v>
      </c>
      <c r="B874" t="s">
        <v>1847</v>
      </c>
      <c r="C874" t="s">
        <v>1855</v>
      </c>
      <c r="D874">
        <v>162</v>
      </c>
      <c r="E874" t="s">
        <v>1447</v>
      </c>
      <c r="F874" t="s">
        <v>1858</v>
      </c>
      <c r="G874" t="s">
        <v>1748</v>
      </c>
      <c r="H874" t="s">
        <v>2277</v>
      </c>
      <c r="I874">
        <v>42</v>
      </c>
      <c r="J874" t="s">
        <v>2277</v>
      </c>
      <c r="K874" t="s">
        <v>2277</v>
      </c>
      <c r="L874" t="s">
        <v>2277</v>
      </c>
      <c r="M874" t="s">
        <v>2277</v>
      </c>
      <c r="N874" t="s">
        <v>2277</v>
      </c>
      <c r="O874" s="190" t="str">
        <f t="shared" si="13"/>
        <v>[S05_DefaultValues][162][InstallationNumber]</v>
      </c>
    </row>
    <row r="875" spans="1:15" x14ac:dyDescent="0.3">
      <c r="A875" t="s">
        <v>2278</v>
      </c>
      <c r="B875" t="s">
        <v>1847</v>
      </c>
      <c r="C875" t="s">
        <v>1855</v>
      </c>
      <c r="D875">
        <v>163</v>
      </c>
      <c r="E875" t="s">
        <v>1447</v>
      </c>
      <c r="F875" t="s">
        <v>1858</v>
      </c>
      <c r="G875" t="s">
        <v>1748</v>
      </c>
      <c r="H875" t="s">
        <v>2277</v>
      </c>
      <c r="I875">
        <v>3</v>
      </c>
      <c r="J875" t="s">
        <v>2277</v>
      </c>
      <c r="K875" t="s">
        <v>2277</v>
      </c>
      <c r="L875" t="s">
        <v>2277</v>
      </c>
      <c r="M875" t="s">
        <v>2277</v>
      </c>
      <c r="N875" t="s">
        <v>2277</v>
      </c>
      <c r="O875" s="190" t="str">
        <f t="shared" si="13"/>
        <v>[S05_DefaultValues][163][InstallationNumber]</v>
      </c>
    </row>
    <row r="876" spans="1:15" x14ac:dyDescent="0.3">
      <c r="A876" t="s">
        <v>2278</v>
      </c>
      <c r="B876" t="s">
        <v>1847</v>
      </c>
      <c r="C876" t="s">
        <v>1855</v>
      </c>
      <c r="D876">
        <v>164</v>
      </c>
      <c r="E876" t="s">
        <v>1447</v>
      </c>
      <c r="F876" t="s">
        <v>1858</v>
      </c>
      <c r="G876" t="s">
        <v>1748</v>
      </c>
      <c r="H876" t="s">
        <v>2277</v>
      </c>
      <c r="I876">
        <v>3</v>
      </c>
      <c r="J876" t="s">
        <v>2277</v>
      </c>
      <c r="K876" t="s">
        <v>2277</v>
      </c>
      <c r="L876" t="s">
        <v>2277</v>
      </c>
      <c r="M876" t="s">
        <v>2277</v>
      </c>
      <c r="N876" t="s">
        <v>2277</v>
      </c>
      <c r="O876" s="190" t="str">
        <f t="shared" si="13"/>
        <v>[S05_DefaultValues][164][InstallationNumber]</v>
      </c>
    </row>
    <row r="877" spans="1:15" x14ac:dyDescent="0.3">
      <c r="A877" t="s">
        <v>2278</v>
      </c>
      <c r="B877" t="s">
        <v>1847</v>
      </c>
      <c r="C877" t="s">
        <v>1855</v>
      </c>
      <c r="D877">
        <v>165</v>
      </c>
      <c r="E877" t="s">
        <v>1447</v>
      </c>
      <c r="F877" t="s">
        <v>1858</v>
      </c>
      <c r="G877" t="s">
        <v>1748</v>
      </c>
      <c r="H877" t="s">
        <v>2277</v>
      </c>
      <c r="I877">
        <v>1</v>
      </c>
      <c r="J877" t="s">
        <v>2277</v>
      </c>
      <c r="K877" t="s">
        <v>2277</v>
      </c>
      <c r="L877" t="s">
        <v>2277</v>
      </c>
      <c r="M877" t="s">
        <v>2277</v>
      </c>
      <c r="N877" t="s">
        <v>2277</v>
      </c>
      <c r="O877" s="190" t="str">
        <f t="shared" si="13"/>
        <v>[S05_DefaultValues][165][InstallationNumber]</v>
      </c>
    </row>
    <row r="878" spans="1:15" x14ac:dyDescent="0.3">
      <c r="A878" t="s">
        <v>2278</v>
      </c>
      <c r="B878" t="s">
        <v>1847</v>
      </c>
      <c r="C878" t="s">
        <v>1855</v>
      </c>
      <c r="D878">
        <v>166</v>
      </c>
      <c r="E878" t="s">
        <v>1447</v>
      </c>
      <c r="F878" t="s">
        <v>1858</v>
      </c>
      <c r="G878" t="s">
        <v>1748</v>
      </c>
      <c r="H878" t="s">
        <v>2277</v>
      </c>
      <c r="I878">
        <v>1</v>
      </c>
      <c r="J878" t="s">
        <v>2277</v>
      </c>
      <c r="K878" t="s">
        <v>2277</v>
      </c>
      <c r="L878" t="s">
        <v>2277</v>
      </c>
      <c r="M878" t="s">
        <v>2277</v>
      </c>
      <c r="N878" t="s">
        <v>2277</v>
      </c>
      <c r="O878" s="190" t="str">
        <f t="shared" si="13"/>
        <v>[S05_DefaultValues][166][InstallationNumber]</v>
      </c>
    </row>
    <row r="879" spans="1:15" x14ac:dyDescent="0.3">
      <c r="A879" t="s">
        <v>2278</v>
      </c>
      <c r="B879" t="s">
        <v>1847</v>
      </c>
      <c r="C879" t="s">
        <v>1855</v>
      </c>
      <c r="D879">
        <v>167</v>
      </c>
      <c r="E879" t="s">
        <v>1447</v>
      </c>
      <c r="F879" t="s">
        <v>1858</v>
      </c>
      <c r="G879" t="s">
        <v>1748</v>
      </c>
      <c r="H879" t="s">
        <v>2277</v>
      </c>
      <c r="I879">
        <v>1</v>
      </c>
      <c r="J879" t="s">
        <v>2277</v>
      </c>
      <c r="K879" t="s">
        <v>2277</v>
      </c>
      <c r="L879" t="s">
        <v>2277</v>
      </c>
      <c r="M879" t="s">
        <v>2277</v>
      </c>
      <c r="N879" t="s">
        <v>2277</v>
      </c>
      <c r="O879" s="190" t="str">
        <f t="shared" si="13"/>
        <v>[S05_DefaultValues][167][InstallationNumber]</v>
      </c>
    </row>
    <row r="880" spans="1:15" x14ac:dyDescent="0.3">
      <c r="A880" t="s">
        <v>2278</v>
      </c>
      <c r="B880" t="s">
        <v>1847</v>
      </c>
      <c r="C880" t="s">
        <v>1855</v>
      </c>
      <c r="D880">
        <v>168</v>
      </c>
      <c r="E880" t="s">
        <v>1447</v>
      </c>
      <c r="F880" t="s">
        <v>1858</v>
      </c>
      <c r="G880" t="s">
        <v>1748</v>
      </c>
      <c r="H880" t="s">
        <v>2277</v>
      </c>
      <c r="I880">
        <v>1</v>
      </c>
      <c r="J880" t="s">
        <v>2277</v>
      </c>
      <c r="K880" t="s">
        <v>2277</v>
      </c>
      <c r="L880" t="s">
        <v>2277</v>
      </c>
      <c r="M880" t="s">
        <v>2277</v>
      </c>
      <c r="N880" t="s">
        <v>2277</v>
      </c>
      <c r="O880" s="190" t="str">
        <f t="shared" si="13"/>
        <v>[S05_DefaultValues][168][InstallationNumber]</v>
      </c>
    </row>
    <row r="881" spans="1:15" x14ac:dyDescent="0.3">
      <c r="A881" t="s">
        <v>2278</v>
      </c>
      <c r="B881" t="s">
        <v>1847</v>
      </c>
      <c r="C881" t="s">
        <v>1855</v>
      </c>
      <c r="D881">
        <v>169</v>
      </c>
      <c r="E881" t="s">
        <v>1447</v>
      </c>
      <c r="F881" t="s">
        <v>1858</v>
      </c>
      <c r="G881" t="s">
        <v>1748</v>
      </c>
      <c r="H881" t="s">
        <v>2277</v>
      </c>
      <c r="I881">
        <v>8</v>
      </c>
      <c r="J881" t="s">
        <v>2277</v>
      </c>
      <c r="K881" t="s">
        <v>2277</v>
      </c>
      <c r="L881" t="s">
        <v>2277</v>
      </c>
      <c r="M881" t="s">
        <v>2277</v>
      </c>
      <c r="N881" t="s">
        <v>2277</v>
      </c>
      <c r="O881" s="190" t="str">
        <f t="shared" si="13"/>
        <v>[S05_DefaultValues][169][InstallationNumber]</v>
      </c>
    </row>
    <row r="882" spans="1:15" x14ac:dyDescent="0.3">
      <c r="A882" t="s">
        <v>2278</v>
      </c>
      <c r="B882" t="s">
        <v>1847</v>
      </c>
      <c r="C882" t="s">
        <v>1855</v>
      </c>
      <c r="D882">
        <v>170</v>
      </c>
      <c r="E882" t="s">
        <v>1447</v>
      </c>
      <c r="F882" t="s">
        <v>1858</v>
      </c>
      <c r="G882" t="s">
        <v>1748</v>
      </c>
      <c r="H882" t="s">
        <v>2277</v>
      </c>
      <c r="I882">
        <v>2</v>
      </c>
      <c r="J882" t="s">
        <v>2277</v>
      </c>
      <c r="K882" t="s">
        <v>2277</v>
      </c>
      <c r="L882" t="s">
        <v>2277</v>
      </c>
      <c r="M882" t="s">
        <v>2277</v>
      </c>
      <c r="N882" t="s">
        <v>2277</v>
      </c>
      <c r="O882" s="190" t="str">
        <f t="shared" si="13"/>
        <v>[S05_DefaultValues][170][InstallationNumber]</v>
      </c>
    </row>
    <row r="883" spans="1:15" x14ac:dyDescent="0.3">
      <c r="A883" t="s">
        <v>2278</v>
      </c>
      <c r="B883" t="s">
        <v>1847</v>
      </c>
      <c r="C883" t="s">
        <v>1855</v>
      </c>
      <c r="D883">
        <v>171</v>
      </c>
      <c r="E883" t="s">
        <v>1447</v>
      </c>
      <c r="F883" t="s">
        <v>1858</v>
      </c>
      <c r="G883" t="s">
        <v>1748</v>
      </c>
      <c r="H883" t="s">
        <v>2277</v>
      </c>
      <c r="I883">
        <v>8</v>
      </c>
      <c r="J883" t="s">
        <v>2277</v>
      </c>
      <c r="K883" t="s">
        <v>2277</v>
      </c>
      <c r="L883" t="s">
        <v>2277</v>
      </c>
      <c r="M883" t="s">
        <v>2277</v>
      </c>
      <c r="N883" t="s">
        <v>2277</v>
      </c>
      <c r="O883" s="190" t="str">
        <f t="shared" si="13"/>
        <v>[S05_DefaultValues][171][InstallationNumber]</v>
      </c>
    </row>
    <row r="884" spans="1:15" x14ac:dyDescent="0.3">
      <c r="A884" t="s">
        <v>2278</v>
      </c>
      <c r="B884" t="s">
        <v>1847</v>
      </c>
      <c r="C884" t="s">
        <v>1855</v>
      </c>
      <c r="D884">
        <v>172</v>
      </c>
      <c r="E884" t="s">
        <v>1447</v>
      </c>
      <c r="F884" t="s">
        <v>1858</v>
      </c>
      <c r="G884" t="s">
        <v>1748</v>
      </c>
      <c r="H884" t="s">
        <v>2277</v>
      </c>
      <c r="I884">
        <v>7</v>
      </c>
      <c r="J884" t="s">
        <v>2277</v>
      </c>
      <c r="K884" t="s">
        <v>2277</v>
      </c>
      <c r="L884" t="s">
        <v>2277</v>
      </c>
      <c r="M884" t="s">
        <v>2277</v>
      </c>
      <c r="N884" t="s">
        <v>2277</v>
      </c>
      <c r="O884" s="190" t="str">
        <f t="shared" si="13"/>
        <v>[S05_DefaultValues][172][InstallationNumber]</v>
      </c>
    </row>
    <row r="885" spans="1:15" x14ac:dyDescent="0.3">
      <c r="A885" t="s">
        <v>2278</v>
      </c>
      <c r="B885" t="s">
        <v>1847</v>
      </c>
      <c r="C885" t="s">
        <v>1855</v>
      </c>
      <c r="D885">
        <v>173</v>
      </c>
      <c r="E885" t="s">
        <v>1447</v>
      </c>
      <c r="F885" t="s">
        <v>1858</v>
      </c>
      <c r="G885" t="s">
        <v>1748</v>
      </c>
      <c r="H885" t="s">
        <v>2277</v>
      </c>
      <c r="I885">
        <v>17</v>
      </c>
      <c r="J885" t="s">
        <v>2277</v>
      </c>
      <c r="K885" t="s">
        <v>2277</v>
      </c>
      <c r="L885" t="s">
        <v>2277</v>
      </c>
      <c r="M885" t="s">
        <v>2277</v>
      </c>
      <c r="N885" t="s">
        <v>2277</v>
      </c>
      <c r="O885" s="190" t="str">
        <f t="shared" si="13"/>
        <v>[S05_DefaultValues][173][InstallationNumber]</v>
      </c>
    </row>
    <row r="886" spans="1:15" x14ac:dyDescent="0.3">
      <c r="A886" t="s">
        <v>2278</v>
      </c>
      <c r="B886" t="s">
        <v>1847</v>
      </c>
      <c r="C886" t="s">
        <v>1855</v>
      </c>
      <c r="D886">
        <v>174</v>
      </c>
      <c r="E886" t="s">
        <v>1447</v>
      </c>
      <c r="F886" t="s">
        <v>1858</v>
      </c>
      <c r="G886" t="s">
        <v>1748</v>
      </c>
      <c r="H886" t="s">
        <v>2277</v>
      </c>
      <c r="I886">
        <v>1</v>
      </c>
      <c r="J886" t="s">
        <v>2277</v>
      </c>
      <c r="K886" t="s">
        <v>2277</v>
      </c>
      <c r="L886" t="s">
        <v>2277</v>
      </c>
      <c r="M886" t="s">
        <v>2277</v>
      </c>
      <c r="N886" t="s">
        <v>2277</v>
      </c>
      <c r="O886" s="190" t="str">
        <f t="shared" si="13"/>
        <v>[S05_DefaultValues][174][InstallationNumber]</v>
      </c>
    </row>
    <row r="887" spans="1:15" x14ac:dyDescent="0.3">
      <c r="A887" t="s">
        <v>2278</v>
      </c>
      <c r="B887" t="s">
        <v>1847</v>
      </c>
      <c r="C887" t="s">
        <v>1855</v>
      </c>
      <c r="D887">
        <v>175</v>
      </c>
      <c r="E887" t="s">
        <v>1447</v>
      </c>
      <c r="F887" t="s">
        <v>1858</v>
      </c>
      <c r="G887" t="s">
        <v>1748</v>
      </c>
      <c r="H887" t="s">
        <v>2277</v>
      </c>
      <c r="I887">
        <v>1</v>
      </c>
      <c r="J887" t="s">
        <v>2277</v>
      </c>
      <c r="K887" t="s">
        <v>2277</v>
      </c>
      <c r="L887" t="s">
        <v>2277</v>
      </c>
      <c r="M887" t="s">
        <v>2277</v>
      </c>
      <c r="N887" t="s">
        <v>2277</v>
      </c>
      <c r="O887" s="190" t="str">
        <f t="shared" si="13"/>
        <v>[S05_DefaultValues][175][InstallationNumber]</v>
      </c>
    </row>
    <row r="888" spans="1:15" x14ac:dyDescent="0.3">
      <c r="A888" t="s">
        <v>2278</v>
      </c>
      <c r="B888" t="s">
        <v>1847</v>
      </c>
      <c r="C888" t="s">
        <v>1855</v>
      </c>
      <c r="D888">
        <v>176</v>
      </c>
      <c r="E888" t="s">
        <v>1447</v>
      </c>
      <c r="F888" t="s">
        <v>1858</v>
      </c>
      <c r="G888" t="s">
        <v>1748</v>
      </c>
      <c r="H888" t="s">
        <v>2277</v>
      </c>
      <c r="I888">
        <v>1</v>
      </c>
      <c r="J888" t="s">
        <v>2277</v>
      </c>
      <c r="K888" t="s">
        <v>2277</v>
      </c>
      <c r="L888" t="s">
        <v>2277</v>
      </c>
      <c r="M888" t="s">
        <v>2277</v>
      </c>
      <c r="N888" t="s">
        <v>2277</v>
      </c>
      <c r="O888" s="190" t="str">
        <f t="shared" si="13"/>
        <v>[S05_DefaultValues][176][InstallationNumber]</v>
      </c>
    </row>
    <row r="889" spans="1:15" x14ac:dyDescent="0.3">
      <c r="A889" t="s">
        <v>2278</v>
      </c>
      <c r="B889" t="s">
        <v>1847</v>
      </c>
      <c r="C889" t="s">
        <v>1855</v>
      </c>
      <c r="D889">
        <v>177</v>
      </c>
      <c r="E889" t="s">
        <v>1447</v>
      </c>
      <c r="F889" t="s">
        <v>1858</v>
      </c>
      <c r="G889" t="s">
        <v>1748</v>
      </c>
      <c r="H889" t="s">
        <v>2277</v>
      </c>
      <c r="I889">
        <v>1</v>
      </c>
      <c r="J889" t="s">
        <v>2277</v>
      </c>
      <c r="K889" t="s">
        <v>2277</v>
      </c>
      <c r="L889" t="s">
        <v>2277</v>
      </c>
      <c r="M889" t="s">
        <v>2277</v>
      </c>
      <c r="N889" t="s">
        <v>2277</v>
      </c>
      <c r="O889" s="190" t="str">
        <f t="shared" si="13"/>
        <v>[S05_DefaultValues][177][InstallationNumber]</v>
      </c>
    </row>
    <row r="890" spans="1:15" x14ac:dyDescent="0.3">
      <c r="A890" t="s">
        <v>2278</v>
      </c>
      <c r="B890" t="s">
        <v>1847</v>
      </c>
      <c r="C890" t="s">
        <v>1855</v>
      </c>
      <c r="D890">
        <v>178</v>
      </c>
      <c r="E890" t="s">
        <v>1447</v>
      </c>
      <c r="F890" t="s">
        <v>1858</v>
      </c>
      <c r="G890" t="s">
        <v>1748</v>
      </c>
      <c r="H890" t="s">
        <v>2277</v>
      </c>
      <c r="I890">
        <v>2</v>
      </c>
      <c r="J890" t="s">
        <v>2277</v>
      </c>
      <c r="K890" t="s">
        <v>2277</v>
      </c>
      <c r="L890" t="s">
        <v>2277</v>
      </c>
      <c r="M890" t="s">
        <v>2277</v>
      </c>
      <c r="N890" t="s">
        <v>2277</v>
      </c>
      <c r="O890" s="190" t="str">
        <f t="shared" si="13"/>
        <v>[S05_DefaultValues][178][InstallationNumber]</v>
      </c>
    </row>
    <row r="891" spans="1:15" x14ac:dyDescent="0.3">
      <c r="A891" t="s">
        <v>2278</v>
      </c>
      <c r="B891" t="s">
        <v>1847</v>
      </c>
      <c r="C891" t="s">
        <v>1855</v>
      </c>
      <c r="D891">
        <v>179</v>
      </c>
      <c r="E891" t="s">
        <v>1447</v>
      </c>
      <c r="F891" t="s">
        <v>1858</v>
      </c>
      <c r="G891" t="s">
        <v>1748</v>
      </c>
      <c r="H891" t="s">
        <v>2277</v>
      </c>
      <c r="I891">
        <v>1</v>
      </c>
      <c r="J891" t="s">
        <v>2277</v>
      </c>
      <c r="K891" t="s">
        <v>2277</v>
      </c>
      <c r="L891" t="s">
        <v>2277</v>
      </c>
      <c r="M891" t="s">
        <v>2277</v>
      </c>
      <c r="N891" t="s">
        <v>2277</v>
      </c>
      <c r="O891" s="190" t="str">
        <f t="shared" si="13"/>
        <v>[S05_DefaultValues][179][InstallationNumber]</v>
      </c>
    </row>
    <row r="892" spans="1:15" x14ac:dyDescent="0.3">
      <c r="A892" t="s">
        <v>2278</v>
      </c>
      <c r="B892" t="s">
        <v>1847</v>
      </c>
      <c r="C892" t="s">
        <v>1855</v>
      </c>
      <c r="D892">
        <v>180</v>
      </c>
      <c r="E892" t="s">
        <v>1447</v>
      </c>
      <c r="F892" t="s">
        <v>1858</v>
      </c>
      <c r="G892" t="s">
        <v>1748</v>
      </c>
      <c r="H892" t="s">
        <v>2277</v>
      </c>
      <c r="I892">
        <v>7</v>
      </c>
      <c r="J892" t="s">
        <v>2277</v>
      </c>
      <c r="K892" t="s">
        <v>2277</v>
      </c>
      <c r="L892" t="s">
        <v>2277</v>
      </c>
      <c r="M892" t="s">
        <v>2277</v>
      </c>
      <c r="N892" t="s">
        <v>2277</v>
      </c>
      <c r="O892" s="190" t="str">
        <f t="shared" si="13"/>
        <v>[S05_DefaultValues][180][InstallationNumber]</v>
      </c>
    </row>
    <row r="893" spans="1:15" x14ac:dyDescent="0.3">
      <c r="A893" t="s">
        <v>2278</v>
      </c>
      <c r="B893" t="s">
        <v>1847</v>
      </c>
      <c r="C893" t="s">
        <v>1855</v>
      </c>
      <c r="D893">
        <v>181</v>
      </c>
      <c r="E893" t="s">
        <v>1447</v>
      </c>
      <c r="F893" t="s">
        <v>1858</v>
      </c>
      <c r="G893" t="s">
        <v>1748</v>
      </c>
      <c r="H893" t="s">
        <v>2277</v>
      </c>
      <c r="I893">
        <v>1</v>
      </c>
      <c r="J893" t="s">
        <v>2277</v>
      </c>
      <c r="K893" t="s">
        <v>2277</v>
      </c>
      <c r="L893" t="s">
        <v>2277</v>
      </c>
      <c r="M893" t="s">
        <v>2277</v>
      </c>
      <c r="N893" t="s">
        <v>2277</v>
      </c>
      <c r="O893" s="190" t="str">
        <f t="shared" si="13"/>
        <v>[S05_DefaultValues][181][InstallationNumber]</v>
      </c>
    </row>
    <row r="894" spans="1:15" x14ac:dyDescent="0.3">
      <c r="A894" t="s">
        <v>2278</v>
      </c>
      <c r="B894" t="s">
        <v>1847</v>
      </c>
      <c r="C894" t="s">
        <v>1855</v>
      </c>
      <c r="D894">
        <v>182</v>
      </c>
      <c r="E894" t="s">
        <v>1447</v>
      </c>
      <c r="F894" t="s">
        <v>1858</v>
      </c>
      <c r="G894" t="s">
        <v>1748</v>
      </c>
      <c r="H894" t="s">
        <v>2277</v>
      </c>
      <c r="I894">
        <v>1</v>
      </c>
      <c r="J894" t="s">
        <v>2277</v>
      </c>
      <c r="K894" t="s">
        <v>2277</v>
      </c>
      <c r="L894" t="s">
        <v>2277</v>
      </c>
      <c r="M894" t="s">
        <v>2277</v>
      </c>
      <c r="N894" t="s">
        <v>2277</v>
      </c>
      <c r="O894" s="190" t="str">
        <f t="shared" si="13"/>
        <v>[S05_DefaultValues][182][InstallationNumber]</v>
      </c>
    </row>
    <row r="895" spans="1:15" x14ac:dyDescent="0.3">
      <c r="A895" t="s">
        <v>2278</v>
      </c>
      <c r="B895" t="s">
        <v>1847</v>
      </c>
      <c r="C895" t="s">
        <v>1855</v>
      </c>
      <c r="D895">
        <v>183</v>
      </c>
      <c r="E895" t="s">
        <v>1447</v>
      </c>
      <c r="F895" t="s">
        <v>1858</v>
      </c>
      <c r="G895" t="s">
        <v>1748</v>
      </c>
      <c r="H895" t="s">
        <v>2277</v>
      </c>
      <c r="I895">
        <v>4</v>
      </c>
      <c r="J895" t="s">
        <v>2277</v>
      </c>
      <c r="K895" t="s">
        <v>2277</v>
      </c>
      <c r="L895" t="s">
        <v>2277</v>
      </c>
      <c r="M895" t="s">
        <v>2277</v>
      </c>
      <c r="N895" t="s">
        <v>2277</v>
      </c>
      <c r="O895" s="190" t="str">
        <f t="shared" si="13"/>
        <v>[S05_DefaultValues][183][InstallationNumber]</v>
      </c>
    </row>
    <row r="896" spans="1:15" x14ac:dyDescent="0.3">
      <c r="A896" t="s">
        <v>2278</v>
      </c>
      <c r="B896" t="s">
        <v>1847</v>
      </c>
      <c r="C896" t="s">
        <v>1855</v>
      </c>
      <c r="D896">
        <v>184</v>
      </c>
      <c r="E896" t="s">
        <v>1447</v>
      </c>
      <c r="F896" t="s">
        <v>1858</v>
      </c>
      <c r="G896" t="s">
        <v>1748</v>
      </c>
      <c r="H896" t="s">
        <v>2277</v>
      </c>
      <c r="I896">
        <v>1</v>
      </c>
      <c r="J896" t="s">
        <v>2277</v>
      </c>
      <c r="K896" t="s">
        <v>2277</v>
      </c>
      <c r="L896" t="s">
        <v>2277</v>
      </c>
      <c r="M896" t="s">
        <v>2277</v>
      </c>
      <c r="N896" t="s">
        <v>2277</v>
      </c>
      <c r="O896" s="190" t="str">
        <f t="shared" si="13"/>
        <v>[S05_DefaultValues][184][InstallationNumber]</v>
      </c>
    </row>
    <row r="897" spans="1:15" x14ac:dyDescent="0.3">
      <c r="A897" t="s">
        <v>2278</v>
      </c>
      <c r="B897" t="s">
        <v>1847</v>
      </c>
      <c r="C897" t="s">
        <v>1855</v>
      </c>
      <c r="D897">
        <v>185</v>
      </c>
      <c r="E897" t="s">
        <v>1447</v>
      </c>
      <c r="F897" t="s">
        <v>1858</v>
      </c>
      <c r="G897" t="s">
        <v>1748</v>
      </c>
      <c r="H897" t="s">
        <v>2277</v>
      </c>
      <c r="I897">
        <v>1</v>
      </c>
      <c r="J897" t="s">
        <v>2277</v>
      </c>
      <c r="K897" t="s">
        <v>2277</v>
      </c>
      <c r="L897" t="s">
        <v>2277</v>
      </c>
      <c r="M897" t="s">
        <v>2277</v>
      </c>
      <c r="N897" t="s">
        <v>2277</v>
      </c>
      <c r="O897" s="190" t="str">
        <f t="shared" si="13"/>
        <v>[S05_DefaultValues][185][InstallationNumber]</v>
      </c>
    </row>
    <row r="898" spans="1:15" x14ac:dyDescent="0.3">
      <c r="A898" t="s">
        <v>2278</v>
      </c>
      <c r="B898" t="s">
        <v>1847</v>
      </c>
      <c r="C898" t="s">
        <v>1855</v>
      </c>
      <c r="D898">
        <v>186</v>
      </c>
      <c r="E898" t="s">
        <v>1447</v>
      </c>
      <c r="F898" t="s">
        <v>1858</v>
      </c>
      <c r="G898" t="s">
        <v>1748</v>
      </c>
      <c r="H898" t="s">
        <v>2277</v>
      </c>
      <c r="I898">
        <v>1</v>
      </c>
      <c r="J898" t="s">
        <v>2277</v>
      </c>
      <c r="K898" t="s">
        <v>2277</v>
      </c>
      <c r="L898" t="s">
        <v>2277</v>
      </c>
      <c r="M898" t="s">
        <v>2277</v>
      </c>
      <c r="N898" t="s">
        <v>2277</v>
      </c>
      <c r="O898" s="190" t="str">
        <f t="shared" ref="O898:O961" si="14">"["&amp;$C898&amp;"]["&amp;$D898&amp;"]["&amp;$F898&amp;"]"</f>
        <v>[S05_DefaultValues][186][InstallationNumber]</v>
      </c>
    </row>
    <row r="899" spans="1:15" x14ac:dyDescent="0.3">
      <c r="A899" t="s">
        <v>2278</v>
      </c>
      <c r="B899" t="s">
        <v>1847</v>
      </c>
      <c r="C899" t="s">
        <v>1855</v>
      </c>
      <c r="D899">
        <v>187</v>
      </c>
      <c r="E899" t="s">
        <v>1447</v>
      </c>
      <c r="F899" t="s">
        <v>1858</v>
      </c>
      <c r="G899" t="s">
        <v>1748</v>
      </c>
      <c r="H899" t="s">
        <v>2277</v>
      </c>
      <c r="I899">
        <v>3</v>
      </c>
      <c r="J899" t="s">
        <v>2277</v>
      </c>
      <c r="K899" t="s">
        <v>2277</v>
      </c>
      <c r="L899" t="s">
        <v>2277</v>
      </c>
      <c r="M899" t="s">
        <v>2277</v>
      </c>
      <c r="N899" t="s">
        <v>2277</v>
      </c>
      <c r="O899" s="190" t="str">
        <f t="shared" si="14"/>
        <v>[S05_DefaultValues][187][InstallationNumber]</v>
      </c>
    </row>
    <row r="900" spans="1:15" x14ac:dyDescent="0.3">
      <c r="A900" t="s">
        <v>2278</v>
      </c>
      <c r="B900" t="s">
        <v>1847</v>
      </c>
      <c r="C900" t="s">
        <v>1855</v>
      </c>
      <c r="D900">
        <v>188</v>
      </c>
      <c r="E900" t="s">
        <v>1447</v>
      </c>
      <c r="F900" t="s">
        <v>1858</v>
      </c>
      <c r="G900" t="s">
        <v>1748</v>
      </c>
      <c r="H900" t="s">
        <v>2277</v>
      </c>
      <c r="I900">
        <v>2</v>
      </c>
      <c r="J900" t="s">
        <v>2277</v>
      </c>
      <c r="K900" t="s">
        <v>2277</v>
      </c>
      <c r="L900" t="s">
        <v>2277</v>
      </c>
      <c r="M900" t="s">
        <v>2277</v>
      </c>
      <c r="N900" t="s">
        <v>2277</v>
      </c>
      <c r="O900" s="190" t="str">
        <f t="shared" si="14"/>
        <v>[S05_DefaultValues][188][InstallationNumber]</v>
      </c>
    </row>
    <row r="901" spans="1:15" x14ac:dyDescent="0.3">
      <c r="A901" t="s">
        <v>2278</v>
      </c>
      <c r="B901" t="s">
        <v>1847</v>
      </c>
      <c r="C901" t="s">
        <v>1855</v>
      </c>
      <c r="D901">
        <v>189</v>
      </c>
      <c r="E901" t="s">
        <v>1447</v>
      </c>
      <c r="F901" t="s">
        <v>1858</v>
      </c>
      <c r="G901" t="s">
        <v>1748</v>
      </c>
      <c r="H901" t="s">
        <v>2277</v>
      </c>
      <c r="I901">
        <v>1</v>
      </c>
      <c r="J901" t="s">
        <v>2277</v>
      </c>
      <c r="K901" t="s">
        <v>2277</v>
      </c>
      <c r="L901" t="s">
        <v>2277</v>
      </c>
      <c r="M901" t="s">
        <v>2277</v>
      </c>
      <c r="N901" t="s">
        <v>2277</v>
      </c>
      <c r="O901" s="190" t="str">
        <f t="shared" si="14"/>
        <v>[S05_DefaultValues][189][InstallationNumber]</v>
      </c>
    </row>
    <row r="902" spans="1:15" x14ac:dyDescent="0.3">
      <c r="A902" t="s">
        <v>2278</v>
      </c>
      <c r="B902" t="s">
        <v>1847</v>
      </c>
      <c r="C902" t="s">
        <v>1855</v>
      </c>
      <c r="D902">
        <v>190</v>
      </c>
      <c r="E902" t="s">
        <v>1447</v>
      </c>
      <c r="F902" t="s">
        <v>1858</v>
      </c>
      <c r="G902" t="s">
        <v>1748</v>
      </c>
      <c r="H902" t="s">
        <v>2277</v>
      </c>
      <c r="I902">
        <v>1</v>
      </c>
      <c r="J902" t="s">
        <v>2277</v>
      </c>
      <c r="K902" t="s">
        <v>2277</v>
      </c>
      <c r="L902" t="s">
        <v>2277</v>
      </c>
      <c r="M902" t="s">
        <v>2277</v>
      </c>
      <c r="N902" t="s">
        <v>2277</v>
      </c>
      <c r="O902" s="190" t="str">
        <f t="shared" si="14"/>
        <v>[S05_DefaultValues][190][InstallationNumber]</v>
      </c>
    </row>
    <row r="903" spans="1:15" x14ac:dyDescent="0.3">
      <c r="A903" t="s">
        <v>2278</v>
      </c>
      <c r="B903" t="s">
        <v>1847</v>
      </c>
      <c r="C903" t="s">
        <v>1855</v>
      </c>
      <c r="D903">
        <v>191</v>
      </c>
      <c r="E903" t="s">
        <v>1447</v>
      </c>
      <c r="F903" t="s">
        <v>1858</v>
      </c>
      <c r="G903" t="s">
        <v>1748</v>
      </c>
      <c r="H903" t="s">
        <v>2277</v>
      </c>
      <c r="I903">
        <v>6</v>
      </c>
      <c r="J903" t="s">
        <v>2277</v>
      </c>
      <c r="K903" t="s">
        <v>2277</v>
      </c>
      <c r="L903" t="s">
        <v>2277</v>
      </c>
      <c r="M903" t="s">
        <v>2277</v>
      </c>
      <c r="N903" t="s">
        <v>2277</v>
      </c>
      <c r="O903" s="190" t="str">
        <f t="shared" si="14"/>
        <v>[S05_DefaultValues][191][InstallationNumber]</v>
      </c>
    </row>
    <row r="904" spans="1:15" x14ac:dyDescent="0.3">
      <c r="A904" t="s">
        <v>2278</v>
      </c>
      <c r="B904" t="s">
        <v>1847</v>
      </c>
      <c r="C904" t="s">
        <v>1855</v>
      </c>
      <c r="D904">
        <v>192</v>
      </c>
      <c r="E904" t="s">
        <v>1447</v>
      </c>
      <c r="F904" t="s">
        <v>1858</v>
      </c>
      <c r="G904" t="s">
        <v>1748</v>
      </c>
      <c r="H904" t="s">
        <v>2277</v>
      </c>
      <c r="I904">
        <v>1</v>
      </c>
      <c r="J904" t="s">
        <v>2277</v>
      </c>
      <c r="K904" t="s">
        <v>2277</v>
      </c>
      <c r="L904" t="s">
        <v>2277</v>
      </c>
      <c r="M904" t="s">
        <v>2277</v>
      </c>
      <c r="N904" t="s">
        <v>2277</v>
      </c>
      <c r="O904" s="190" t="str">
        <f t="shared" si="14"/>
        <v>[S05_DefaultValues][192][InstallationNumber]</v>
      </c>
    </row>
    <row r="905" spans="1:15" x14ac:dyDescent="0.3">
      <c r="A905" t="s">
        <v>2278</v>
      </c>
      <c r="B905" t="s">
        <v>1847</v>
      </c>
      <c r="C905" t="s">
        <v>1855</v>
      </c>
      <c r="D905">
        <v>193</v>
      </c>
      <c r="E905" t="s">
        <v>1447</v>
      </c>
      <c r="F905" t="s">
        <v>1858</v>
      </c>
      <c r="G905" t="s">
        <v>1748</v>
      </c>
      <c r="H905" t="s">
        <v>2277</v>
      </c>
      <c r="I905">
        <v>1</v>
      </c>
      <c r="J905" t="s">
        <v>2277</v>
      </c>
      <c r="K905" t="s">
        <v>2277</v>
      </c>
      <c r="L905" t="s">
        <v>2277</v>
      </c>
      <c r="M905" t="s">
        <v>2277</v>
      </c>
      <c r="N905" t="s">
        <v>2277</v>
      </c>
      <c r="O905" s="190" t="str">
        <f t="shared" si="14"/>
        <v>[S05_DefaultValues][193][InstallationNumber]</v>
      </c>
    </row>
    <row r="906" spans="1:15" x14ac:dyDescent="0.3">
      <c r="A906" t="s">
        <v>2278</v>
      </c>
      <c r="B906" t="s">
        <v>1847</v>
      </c>
      <c r="C906" t="s">
        <v>1855</v>
      </c>
      <c r="D906">
        <v>194</v>
      </c>
      <c r="E906" t="s">
        <v>1447</v>
      </c>
      <c r="F906" t="s">
        <v>1858</v>
      </c>
      <c r="G906" t="s">
        <v>1748</v>
      </c>
      <c r="H906" t="s">
        <v>2277</v>
      </c>
      <c r="I906">
        <v>5</v>
      </c>
      <c r="J906" t="s">
        <v>2277</v>
      </c>
      <c r="K906" t="s">
        <v>2277</v>
      </c>
      <c r="L906" t="s">
        <v>2277</v>
      </c>
      <c r="M906" t="s">
        <v>2277</v>
      </c>
      <c r="N906" t="s">
        <v>2277</v>
      </c>
      <c r="O906" s="190" t="str">
        <f t="shared" si="14"/>
        <v>[S05_DefaultValues][194][InstallationNumber]</v>
      </c>
    </row>
    <row r="907" spans="1:15" x14ac:dyDescent="0.3">
      <c r="A907" t="s">
        <v>2278</v>
      </c>
      <c r="B907" t="s">
        <v>1847</v>
      </c>
      <c r="C907" t="s">
        <v>1855</v>
      </c>
      <c r="D907">
        <v>195</v>
      </c>
      <c r="E907" t="s">
        <v>1447</v>
      </c>
      <c r="F907" t="s">
        <v>1858</v>
      </c>
      <c r="G907" t="s">
        <v>1748</v>
      </c>
      <c r="H907" t="s">
        <v>2277</v>
      </c>
      <c r="I907">
        <v>1</v>
      </c>
      <c r="J907" t="s">
        <v>2277</v>
      </c>
      <c r="K907" t="s">
        <v>2277</v>
      </c>
      <c r="L907" t="s">
        <v>2277</v>
      </c>
      <c r="M907" t="s">
        <v>2277</v>
      </c>
      <c r="N907" t="s">
        <v>2277</v>
      </c>
      <c r="O907" s="190" t="str">
        <f t="shared" si="14"/>
        <v>[S05_DefaultValues][195][InstallationNumber]</v>
      </c>
    </row>
    <row r="908" spans="1:15" x14ac:dyDescent="0.3">
      <c r="A908" t="s">
        <v>2278</v>
      </c>
      <c r="B908" t="s">
        <v>1847</v>
      </c>
      <c r="C908" t="s">
        <v>1855</v>
      </c>
      <c r="D908">
        <v>196</v>
      </c>
      <c r="E908" t="s">
        <v>1447</v>
      </c>
      <c r="F908" t="s">
        <v>1858</v>
      </c>
      <c r="G908" t="s">
        <v>1748</v>
      </c>
      <c r="H908" t="s">
        <v>2277</v>
      </c>
      <c r="I908">
        <v>4</v>
      </c>
      <c r="J908" t="s">
        <v>2277</v>
      </c>
      <c r="K908" t="s">
        <v>2277</v>
      </c>
      <c r="L908" t="s">
        <v>2277</v>
      </c>
      <c r="M908" t="s">
        <v>2277</v>
      </c>
      <c r="N908" t="s">
        <v>2277</v>
      </c>
      <c r="O908" s="190" t="str">
        <f t="shared" si="14"/>
        <v>[S05_DefaultValues][196][InstallationNumber]</v>
      </c>
    </row>
    <row r="909" spans="1:15" x14ac:dyDescent="0.3">
      <c r="A909" t="s">
        <v>2278</v>
      </c>
      <c r="B909" t="s">
        <v>1847</v>
      </c>
      <c r="C909" t="s">
        <v>1855</v>
      </c>
      <c r="D909">
        <v>197</v>
      </c>
      <c r="E909" t="s">
        <v>1447</v>
      </c>
      <c r="F909" t="s">
        <v>1858</v>
      </c>
      <c r="G909" t="s">
        <v>1748</v>
      </c>
      <c r="H909" t="s">
        <v>2277</v>
      </c>
      <c r="I909">
        <v>6</v>
      </c>
      <c r="J909" t="s">
        <v>2277</v>
      </c>
      <c r="K909" t="s">
        <v>2277</v>
      </c>
      <c r="L909" t="s">
        <v>2277</v>
      </c>
      <c r="M909" t="s">
        <v>2277</v>
      </c>
      <c r="N909" t="s">
        <v>2277</v>
      </c>
      <c r="O909" s="190" t="str">
        <f t="shared" si="14"/>
        <v>[S05_DefaultValues][197][InstallationNumber]</v>
      </c>
    </row>
    <row r="910" spans="1:15" x14ac:dyDescent="0.3">
      <c r="A910" t="s">
        <v>2278</v>
      </c>
      <c r="B910" t="s">
        <v>1847</v>
      </c>
      <c r="C910" t="s">
        <v>1855</v>
      </c>
      <c r="D910">
        <v>198</v>
      </c>
      <c r="E910" t="s">
        <v>1447</v>
      </c>
      <c r="F910" t="s">
        <v>1858</v>
      </c>
      <c r="G910" t="s">
        <v>1748</v>
      </c>
      <c r="H910" t="s">
        <v>2277</v>
      </c>
      <c r="I910">
        <v>9</v>
      </c>
      <c r="J910" t="s">
        <v>2277</v>
      </c>
      <c r="K910" t="s">
        <v>2277</v>
      </c>
      <c r="L910" t="s">
        <v>2277</v>
      </c>
      <c r="M910" t="s">
        <v>2277</v>
      </c>
      <c r="N910" t="s">
        <v>2277</v>
      </c>
      <c r="O910" s="190" t="str">
        <f t="shared" si="14"/>
        <v>[S05_DefaultValues][198][InstallationNumber]</v>
      </c>
    </row>
    <row r="911" spans="1:15" x14ac:dyDescent="0.3">
      <c r="A911" t="s">
        <v>2278</v>
      </c>
      <c r="B911" t="s">
        <v>1847</v>
      </c>
      <c r="C911" t="s">
        <v>1855</v>
      </c>
      <c r="D911">
        <v>199</v>
      </c>
      <c r="E911" t="s">
        <v>1447</v>
      </c>
      <c r="F911" t="s">
        <v>1858</v>
      </c>
      <c r="G911" t="s">
        <v>1748</v>
      </c>
      <c r="H911" t="s">
        <v>2277</v>
      </c>
      <c r="I911">
        <v>1</v>
      </c>
      <c r="J911" t="s">
        <v>2277</v>
      </c>
      <c r="K911" t="s">
        <v>2277</v>
      </c>
      <c r="L911" t="s">
        <v>2277</v>
      </c>
      <c r="M911" t="s">
        <v>2277</v>
      </c>
      <c r="N911" t="s">
        <v>2277</v>
      </c>
      <c r="O911" s="190" t="str">
        <f t="shared" si="14"/>
        <v>[S05_DefaultValues][199][InstallationNumber]</v>
      </c>
    </row>
    <row r="912" spans="1:15" x14ac:dyDescent="0.3">
      <c r="A912" t="s">
        <v>2278</v>
      </c>
      <c r="B912" t="s">
        <v>1847</v>
      </c>
      <c r="C912" t="s">
        <v>1855</v>
      </c>
      <c r="D912">
        <v>200</v>
      </c>
      <c r="E912" t="s">
        <v>1447</v>
      </c>
      <c r="F912" t="s">
        <v>1858</v>
      </c>
      <c r="G912" t="s">
        <v>1748</v>
      </c>
      <c r="H912" t="s">
        <v>2277</v>
      </c>
      <c r="I912">
        <v>1</v>
      </c>
      <c r="J912" t="s">
        <v>2277</v>
      </c>
      <c r="K912" t="s">
        <v>2277</v>
      </c>
      <c r="L912" t="s">
        <v>2277</v>
      </c>
      <c r="M912" t="s">
        <v>2277</v>
      </c>
      <c r="N912" t="s">
        <v>2277</v>
      </c>
      <c r="O912" s="190" t="str">
        <f t="shared" si="14"/>
        <v>[S05_DefaultValues][200][InstallationNumber]</v>
      </c>
    </row>
    <row r="913" spans="1:15" x14ac:dyDescent="0.3">
      <c r="A913" t="s">
        <v>2278</v>
      </c>
      <c r="B913" t="s">
        <v>1847</v>
      </c>
      <c r="C913" t="s">
        <v>1855</v>
      </c>
      <c r="D913">
        <v>201</v>
      </c>
      <c r="E913" t="s">
        <v>1447</v>
      </c>
      <c r="F913" t="s">
        <v>1858</v>
      </c>
      <c r="G913" t="s">
        <v>1748</v>
      </c>
      <c r="H913" t="s">
        <v>2277</v>
      </c>
      <c r="I913">
        <v>1</v>
      </c>
      <c r="J913" t="s">
        <v>2277</v>
      </c>
      <c r="K913" t="s">
        <v>2277</v>
      </c>
      <c r="L913" t="s">
        <v>2277</v>
      </c>
      <c r="M913" t="s">
        <v>2277</v>
      </c>
      <c r="N913" t="s">
        <v>2277</v>
      </c>
      <c r="O913" s="190" t="str">
        <f t="shared" si="14"/>
        <v>[S05_DefaultValues][201][InstallationNumber]</v>
      </c>
    </row>
    <row r="914" spans="1:15" x14ac:dyDescent="0.3">
      <c r="A914" t="s">
        <v>2278</v>
      </c>
      <c r="B914" t="s">
        <v>1847</v>
      </c>
      <c r="C914" t="s">
        <v>1855</v>
      </c>
      <c r="D914">
        <v>202</v>
      </c>
      <c r="E914" t="s">
        <v>1447</v>
      </c>
      <c r="F914" t="s">
        <v>1858</v>
      </c>
      <c r="G914" t="s">
        <v>1748</v>
      </c>
      <c r="H914" t="s">
        <v>2277</v>
      </c>
      <c r="I914">
        <v>33</v>
      </c>
      <c r="J914" t="s">
        <v>2277</v>
      </c>
      <c r="K914" t="s">
        <v>2277</v>
      </c>
      <c r="L914" t="s">
        <v>2277</v>
      </c>
      <c r="M914" t="s">
        <v>2277</v>
      </c>
      <c r="N914" t="s">
        <v>2277</v>
      </c>
      <c r="O914" s="190" t="str">
        <f t="shared" si="14"/>
        <v>[S05_DefaultValues][202][InstallationNumber]</v>
      </c>
    </row>
    <row r="915" spans="1:15" x14ac:dyDescent="0.3">
      <c r="A915" t="s">
        <v>2278</v>
      </c>
      <c r="B915" t="s">
        <v>1847</v>
      </c>
      <c r="C915" t="s">
        <v>1855</v>
      </c>
      <c r="D915">
        <v>203</v>
      </c>
      <c r="E915" t="s">
        <v>1447</v>
      </c>
      <c r="F915" t="s">
        <v>1858</v>
      </c>
      <c r="G915" t="s">
        <v>1748</v>
      </c>
      <c r="H915" t="s">
        <v>2277</v>
      </c>
      <c r="I915">
        <v>5</v>
      </c>
      <c r="J915" t="s">
        <v>2277</v>
      </c>
      <c r="K915" t="s">
        <v>2277</v>
      </c>
      <c r="L915" t="s">
        <v>2277</v>
      </c>
      <c r="M915" t="s">
        <v>2277</v>
      </c>
      <c r="N915" t="s">
        <v>2277</v>
      </c>
      <c r="O915" s="190" t="str">
        <f t="shared" si="14"/>
        <v>[S05_DefaultValues][203][InstallationNumber]</v>
      </c>
    </row>
    <row r="916" spans="1:15" x14ac:dyDescent="0.3">
      <c r="A916" t="s">
        <v>2278</v>
      </c>
      <c r="B916" t="s">
        <v>1847</v>
      </c>
      <c r="C916" t="s">
        <v>1855</v>
      </c>
      <c r="D916">
        <v>204</v>
      </c>
      <c r="E916" t="s">
        <v>1447</v>
      </c>
      <c r="F916" t="s">
        <v>1858</v>
      </c>
      <c r="G916" t="s">
        <v>1748</v>
      </c>
      <c r="H916" t="s">
        <v>2277</v>
      </c>
      <c r="I916">
        <v>6</v>
      </c>
      <c r="J916" t="s">
        <v>2277</v>
      </c>
      <c r="K916" t="s">
        <v>2277</v>
      </c>
      <c r="L916" t="s">
        <v>2277</v>
      </c>
      <c r="M916" t="s">
        <v>2277</v>
      </c>
      <c r="N916" t="s">
        <v>2277</v>
      </c>
      <c r="O916" s="190" t="str">
        <f t="shared" si="14"/>
        <v>[S05_DefaultValues][204][InstallationNumber]</v>
      </c>
    </row>
    <row r="917" spans="1:15" x14ac:dyDescent="0.3">
      <c r="A917" t="s">
        <v>2278</v>
      </c>
      <c r="B917" t="s">
        <v>1847</v>
      </c>
      <c r="C917" t="s">
        <v>1855</v>
      </c>
      <c r="D917">
        <v>205</v>
      </c>
      <c r="E917" t="s">
        <v>1447</v>
      </c>
      <c r="F917" t="s">
        <v>1858</v>
      </c>
      <c r="G917" t="s">
        <v>1748</v>
      </c>
      <c r="H917" t="s">
        <v>2277</v>
      </c>
      <c r="I917">
        <v>37</v>
      </c>
      <c r="J917" t="s">
        <v>2277</v>
      </c>
      <c r="K917" t="s">
        <v>2277</v>
      </c>
      <c r="L917" t="s">
        <v>2277</v>
      </c>
      <c r="M917" t="s">
        <v>2277</v>
      </c>
      <c r="N917" t="s">
        <v>2277</v>
      </c>
      <c r="O917" s="190" t="str">
        <f t="shared" si="14"/>
        <v>[S05_DefaultValues][205][InstallationNumber]</v>
      </c>
    </row>
    <row r="918" spans="1:15" x14ac:dyDescent="0.3">
      <c r="A918" t="s">
        <v>2278</v>
      </c>
      <c r="B918" t="s">
        <v>1847</v>
      </c>
      <c r="C918" t="s">
        <v>1855</v>
      </c>
      <c r="D918">
        <v>206</v>
      </c>
      <c r="E918" t="s">
        <v>1447</v>
      </c>
      <c r="F918" t="s">
        <v>1858</v>
      </c>
      <c r="G918" t="s">
        <v>1748</v>
      </c>
      <c r="H918" t="s">
        <v>2277</v>
      </c>
      <c r="I918">
        <v>1</v>
      </c>
      <c r="J918" t="s">
        <v>2277</v>
      </c>
      <c r="K918" t="s">
        <v>2277</v>
      </c>
      <c r="L918" t="s">
        <v>2277</v>
      </c>
      <c r="M918" t="s">
        <v>2277</v>
      </c>
      <c r="N918" t="s">
        <v>2277</v>
      </c>
      <c r="O918" s="190" t="str">
        <f t="shared" si="14"/>
        <v>[S05_DefaultValues][206][InstallationNumber]</v>
      </c>
    </row>
    <row r="919" spans="1:15" x14ac:dyDescent="0.3">
      <c r="A919" t="s">
        <v>2278</v>
      </c>
      <c r="B919" t="s">
        <v>1847</v>
      </c>
      <c r="C919" t="s">
        <v>1855</v>
      </c>
      <c r="D919">
        <v>207</v>
      </c>
      <c r="E919" t="s">
        <v>1447</v>
      </c>
      <c r="F919" t="s">
        <v>1858</v>
      </c>
      <c r="G919" t="s">
        <v>1748</v>
      </c>
      <c r="H919" t="s">
        <v>2277</v>
      </c>
      <c r="I919">
        <v>3</v>
      </c>
      <c r="J919" t="s">
        <v>2277</v>
      </c>
      <c r="K919" t="s">
        <v>2277</v>
      </c>
      <c r="L919" t="s">
        <v>2277</v>
      </c>
      <c r="M919" t="s">
        <v>2277</v>
      </c>
      <c r="N919" t="s">
        <v>2277</v>
      </c>
      <c r="O919" s="190" t="str">
        <f t="shared" si="14"/>
        <v>[S05_DefaultValues][207][InstallationNumber]</v>
      </c>
    </row>
    <row r="920" spans="1:15" x14ac:dyDescent="0.3">
      <c r="A920" t="s">
        <v>2278</v>
      </c>
      <c r="B920" t="s">
        <v>1847</v>
      </c>
      <c r="C920" t="s">
        <v>1855</v>
      </c>
      <c r="D920">
        <v>208</v>
      </c>
      <c r="E920" t="s">
        <v>1447</v>
      </c>
      <c r="F920" t="s">
        <v>1858</v>
      </c>
      <c r="G920" t="s">
        <v>1748</v>
      </c>
      <c r="H920" t="s">
        <v>2277</v>
      </c>
      <c r="I920">
        <v>3</v>
      </c>
      <c r="J920" t="s">
        <v>2277</v>
      </c>
      <c r="K920" t="s">
        <v>2277</v>
      </c>
      <c r="L920" t="s">
        <v>2277</v>
      </c>
      <c r="M920" t="s">
        <v>2277</v>
      </c>
      <c r="N920" t="s">
        <v>2277</v>
      </c>
      <c r="O920" s="190" t="str">
        <f t="shared" si="14"/>
        <v>[S05_DefaultValues][208][InstallationNumber]</v>
      </c>
    </row>
    <row r="921" spans="1:15" x14ac:dyDescent="0.3">
      <c r="A921" t="s">
        <v>2278</v>
      </c>
      <c r="B921" t="s">
        <v>1847</v>
      </c>
      <c r="C921" t="s">
        <v>1855</v>
      </c>
      <c r="D921">
        <v>209</v>
      </c>
      <c r="E921" t="s">
        <v>1447</v>
      </c>
      <c r="F921" t="s">
        <v>1858</v>
      </c>
      <c r="G921" t="s">
        <v>1748</v>
      </c>
      <c r="H921" t="s">
        <v>2277</v>
      </c>
      <c r="I921">
        <v>1</v>
      </c>
      <c r="J921" t="s">
        <v>2277</v>
      </c>
      <c r="K921" t="s">
        <v>2277</v>
      </c>
      <c r="L921" t="s">
        <v>2277</v>
      </c>
      <c r="M921" t="s">
        <v>2277</v>
      </c>
      <c r="N921" t="s">
        <v>2277</v>
      </c>
      <c r="O921" s="190" t="str">
        <f t="shared" si="14"/>
        <v>[S05_DefaultValues][209][InstallationNumber]</v>
      </c>
    </row>
    <row r="922" spans="1:15" x14ac:dyDescent="0.3">
      <c r="A922" t="s">
        <v>2278</v>
      </c>
      <c r="B922" t="s">
        <v>1847</v>
      </c>
      <c r="C922" t="s">
        <v>1855</v>
      </c>
      <c r="D922">
        <v>210</v>
      </c>
      <c r="E922" t="s">
        <v>1447</v>
      </c>
      <c r="F922" t="s">
        <v>1858</v>
      </c>
      <c r="G922" t="s">
        <v>1748</v>
      </c>
      <c r="H922" t="s">
        <v>2277</v>
      </c>
      <c r="I922">
        <v>2</v>
      </c>
      <c r="J922" t="s">
        <v>2277</v>
      </c>
      <c r="K922" t="s">
        <v>2277</v>
      </c>
      <c r="L922" t="s">
        <v>2277</v>
      </c>
      <c r="M922" t="s">
        <v>2277</v>
      </c>
      <c r="N922" t="s">
        <v>2277</v>
      </c>
      <c r="O922" s="190" t="str">
        <f t="shared" si="14"/>
        <v>[S05_DefaultValues][210][InstallationNumber]</v>
      </c>
    </row>
    <row r="923" spans="1:15" x14ac:dyDescent="0.3">
      <c r="A923" t="s">
        <v>2278</v>
      </c>
      <c r="B923" t="s">
        <v>1847</v>
      </c>
      <c r="C923" t="s">
        <v>1855</v>
      </c>
      <c r="D923">
        <v>211</v>
      </c>
      <c r="E923" t="s">
        <v>1447</v>
      </c>
      <c r="F923" t="s">
        <v>1858</v>
      </c>
      <c r="G923" t="s">
        <v>1748</v>
      </c>
      <c r="H923" t="s">
        <v>2277</v>
      </c>
      <c r="I923">
        <v>3</v>
      </c>
      <c r="J923" t="s">
        <v>2277</v>
      </c>
      <c r="K923" t="s">
        <v>2277</v>
      </c>
      <c r="L923" t="s">
        <v>2277</v>
      </c>
      <c r="M923" t="s">
        <v>2277</v>
      </c>
      <c r="N923" t="s">
        <v>2277</v>
      </c>
      <c r="O923" s="190" t="str">
        <f t="shared" si="14"/>
        <v>[S05_DefaultValues][211][InstallationNumber]</v>
      </c>
    </row>
    <row r="924" spans="1:15" x14ac:dyDescent="0.3">
      <c r="A924" t="s">
        <v>2278</v>
      </c>
      <c r="B924" t="s">
        <v>1847</v>
      </c>
      <c r="C924" t="s">
        <v>1855</v>
      </c>
      <c r="D924">
        <v>212</v>
      </c>
      <c r="E924" t="s">
        <v>1447</v>
      </c>
      <c r="F924" t="s">
        <v>1858</v>
      </c>
      <c r="G924" t="s">
        <v>1748</v>
      </c>
      <c r="H924" t="s">
        <v>2277</v>
      </c>
      <c r="I924">
        <v>3</v>
      </c>
      <c r="J924" t="s">
        <v>2277</v>
      </c>
      <c r="K924" t="s">
        <v>2277</v>
      </c>
      <c r="L924" t="s">
        <v>2277</v>
      </c>
      <c r="M924" t="s">
        <v>2277</v>
      </c>
      <c r="N924" t="s">
        <v>2277</v>
      </c>
      <c r="O924" s="190" t="str">
        <f t="shared" si="14"/>
        <v>[S05_DefaultValues][212][InstallationNumber]</v>
      </c>
    </row>
    <row r="925" spans="1:15" x14ac:dyDescent="0.3">
      <c r="A925" t="s">
        <v>2278</v>
      </c>
      <c r="B925" t="s">
        <v>1847</v>
      </c>
      <c r="C925" t="s">
        <v>1855</v>
      </c>
      <c r="D925">
        <v>213</v>
      </c>
      <c r="E925" t="s">
        <v>1447</v>
      </c>
      <c r="F925" t="s">
        <v>1858</v>
      </c>
      <c r="G925" t="s">
        <v>1748</v>
      </c>
      <c r="H925" t="s">
        <v>2277</v>
      </c>
      <c r="I925">
        <v>3</v>
      </c>
      <c r="J925" t="s">
        <v>2277</v>
      </c>
      <c r="K925" t="s">
        <v>2277</v>
      </c>
      <c r="L925" t="s">
        <v>2277</v>
      </c>
      <c r="M925" t="s">
        <v>2277</v>
      </c>
      <c r="N925" t="s">
        <v>2277</v>
      </c>
      <c r="O925" s="190" t="str">
        <f t="shared" si="14"/>
        <v>[S05_DefaultValues][213][InstallationNumber]</v>
      </c>
    </row>
    <row r="926" spans="1:15" x14ac:dyDescent="0.3">
      <c r="A926" t="s">
        <v>2278</v>
      </c>
      <c r="B926" t="s">
        <v>1847</v>
      </c>
      <c r="C926" t="s">
        <v>1855</v>
      </c>
      <c r="D926">
        <v>214</v>
      </c>
      <c r="E926" t="s">
        <v>1447</v>
      </c>
      <c r="F926" t="s">
        <v>1858</v>
      </c>
      <c r="G926" t="s">
        <v>1748</v>
      </c>
      <c r="H926" t="s">
        <v>2277</v>
      </c>
      <c r="I926">
        <v>6</v>
      </c>
      <c r="J926" t="s">
        <v>2277</v>
      </c>
      <c r="K926" t="s">
        <v>2277</v>
      </c>
      <c r="L926" t="s">
        <v>2277</v>
      </c>
      <c r="M926" t="s">
        <v>2277</v>
      </c>
      <c r="N926" t="s">
        <v>2277</v>
      </c>
      <c r="O926" s="190" t="str">
        <f t="shared" si="14"/>
        <v>[S05_DefaultValues][214][InstallationNumber]</v>
      </c>
    </row>
    <row r="927" spans="1:15" x14ac:dyDescent="0.3">
      <c r="A927" t="s">
        <v>2278</v>
      </c>
      <c r="B927" t="s">
        <v>1859</v>
      </c>
      <c r="C927" t="s">
        <v>1860</v>
      </c>
      <c r="D927">
        <v>1</v>
      </c>
      <c r="E927" t="s">
        <v>1447</v>
      </c>
      <c r="F927" t="s">
        <v>1861</v>
      </c>
      <c r="G927" t="s">
        <v>1741</v>
      </c>
      <c r="H927" t="s">
        <v>2386</v>
      </c>
      <c r="I927" t="s">
        <v>2277</v>
      </c>
      <c r="J927" t="s">
        <v>2277</v>
      </c>
      <c r="K927" t="s">
        <v>2277</v>
      </c>
      <c r="L927" t="s">
        <v>2277</v>
      </c>
      <c r="M927" t="s">
        <v>2277</v>
      </c>
      <c r="N927" t="s">
        <v>2277</v>
      </c>
      <c r="O927" s="190" t="str">
        <f t="shared" si="14"/>
        <v>[S05_InstallationDifferentSamplingFrequency][1][SamplingFuelMaterial]</v>
      </c>
    </row>
    <row r="928" spans="1:15" x14ac:dyDescent="0.3">
      <c r="A928" t="s">
        <v>2278</v>
      </c>
      <c r="B928" t="s">
        <v>1859</v>
      </c>
      <c r="C928" t="s">
        <v>1860</v>
      </c>
      <c r="D928">
        <v>2</v>
      </c>
      <c r="E928" t="s">
        <v>1447</v>
      </c>
      <c r="F928" t="s">
        <v>1861</v>
      </c>
      <c r="G928" t="s">
        <v>1741</v>
      </c>
      <c r="H928" t="s">
        <v>2385</v>
      </c>
      <c r="I928" t="s">
        <v>2277</v>
      </c>
      <c r="J928" t="s">
        <v>2277</v>
      </c>
      <c r="K928" t="s">
        <v>2277</v>
      </c>
      <c r="L928" t="s">
        <v>2277</v>
      </c>
      <c r="M928" t="s">
        <v>2277</v>
      </c>
      <c r="N928" t="s">
        <v>2277</v>
      </c>
      <c r="O928" s="190" t="str">
        <f t="shared" si="14"/>
        <v>[S05_InstallationDifferentSamplingFrequency][2][SamplingFuelMaterial]</v>
      </c>
    </row>
    <row r="929" spans="1:15" x14ac:dyDescent="0.3">
      <c r="A929" t="s">
        <v>2278</v>
      </c>
      <c r="B929" t="s">
        <v>1859</v>
      </c>
      <c r="C929" t="s">
        <v>1860</v>
      </c>
      <c r="D929">
        <v>3</v>
      </c>
      <c r="E929" t="s">
        <v>1447</v>
      </c>
      <c r="F929" t="s">
        <v>1861</v>
      </c>
      <c r="G929" t="s">
        <v>1741</v>
      </c>
      <c r="H929" t="s">
        <v>2384</v>
      </c>
      <c r="I929" t="s">
        <v>2277</v>
      </c>
      <c r="J929" t="s">
        <v>2277</v>
      </c>
      <c r="K929" t="s">
        <v>2277</v>
      </c>
      <c r="L929" t="s">
        <v>2277</v>
      </c>
      <c r="M929" t="s">
        <v>2277</v>
      </c>
      <c r="N929" t="s">
        <v>2277</v>
      </c>
      <c r="O929" s="190" t="str">
        <f t="shared" si="14"/>
        <v>[S05_InstallationDifferentSamplingFrequency][3][SamplingFuelMaterial]</v>
      </c>
    </row>
    <row r="930" spans="1:15" x14ac:dyDescent="0.3">
      <c r="A930" t="s">
        <v>2278</v>
      </c>
      <c r="B930" t="s">
        <v>1859</v>
      </c>
      <c r="C930" t="s">
        <v>1860</v>
      </c>
      <c r="D930">
        <v>4</v>
      </c>
      <c r="E930" t="s">
        <v>1447</v>
      </c>
      <c r="F930" t="s">
        <v>1861</v>
      </c>
      <c r="G930" t="s">
        <v>1741</v>
      </c>
      <c r="H930" t="s">
        <v>2383</v>
      </c>
      <c r="I930" t="s">
        <v>2277</v>
      </c>
      <c r="J930" t="s">
        <v>2277</v>
      </c>
      <c r="K930" t="s">
        <v>2277</v>
      </c>
      <c r="L930" t="s">
        <v>2277</v>
      </c>
      <c r="M930" t="s">
        <v>2277</v>
      </c>
      <c r="N930" t="s">
        <v>2277</v>
      </c>
      <c r="O930" s="190" t="str">
        <f t="shared" si="14"/>
        <v>[S05_InstallationDifferentSamplingFrequency][4][SamplingFuelMaterial]</v>
      </c>
    </row>
    <row r="931" spans="1:15" x14ac:dyDescent="0.3">
      <c r="A931" t="s">
        <v>2278</v>
      </c>
      <c r="B931" t="s">
        <v>1859</v>
      </c>
      <c r="C931" t="s">
        <v>1860</v>
      </c>
      <c r="D931">
        <v>5</v>
      </c>
      <c r="E931" t="s">
        <v>1447</v>
      </c>
      <c r="F931" t="s">
        <v>1861</v>
      </c>
      <c r="G931" t="s">
        <v>1741</v>
      </c>
      <c r="H931" t="s">
        <v>2382</v>
      </c>
      <c r="I931" t="s">
        <v>2277</v>
      </c>
      <c r="J931" t="s">
        <v>2277</v>
      </c>
      <c r="K931" t="s">
        <v>2277</v>
      </c>
      <c r="L931" t="s">
        <v>2277</v>
      </c>
      <c r="M931" t="s">
        <v>2277</v>
      </c>
      <c r="N931" t="s">
        <v>2277</v>
      </c>
      <c r="O931" s="190" t="str">
        <f t="shared" si="14"/>
        <v>[S05_InstallationDifferentSamplingFrequency][5][SamplingFuelMaterial]</v>
      </c>
    </row>
    <row r="932" spans="1:15" x14ac:dyDescent="0.3">
      <c r="A932" t="s">
        <v>2278</v>
      </c>
      <c r="B932" t="s">
        <v>1859</v>
      </c>
      <c r="C932" t="s">
        <v>1860</v>
      </c>
      <c r="D932">
        <v>6</v>
      </c>
      <c r="E932" t="s">
        <v>1447</v>
      </c>
      <c r="F932" t="s">
        <v>1861</v>
      </c>
      <c r="G932" t="s">
        <v>1741</v>
      </c>
      <c r="H932" t="s">
        <v>2381</v>
      </c>
      <c r="I932" t="s">
        <v>2277</v>
      </c>
      <c r="J932" t="s">
        <v>2277</v>
      </c>
      <c r="K932" t="s">
        <v>2277</v>
      </c>
      <c r="L932" t="s">
        <v>2277</v>
      </c>
      <c r="M932" t="s">
        <v>2277</v>
      </c>
      <c r="N932" t="s">
        <v>2277</v>
      </c>
      <c r="O932" s="190" t="str">
        <f t="shared" si="14"/>
        <v>[S05_InstallationDifferentSamplingFrequency][6][SamplingFuelMaterial]</v>
      </c>
    </row>
    <row r="933" spans="1:15" x14ac:dyDescent="0.3">
      <c r="A933" t="s">
        <v>2278</v>
      </c>
      <c r="B933" t="s">
        <v>1859</v>
      </c>
      <c r="C933" t="s">
        <v>1860</v>
      </c>
      <c r="D933">
        <v>7</v>
      </c>
      <c r="E933" t="s">
        <v>1447</v>
      </c>
      <c r="F933" t="s">
        <v>1861</v>
      </c>
      <c r="G933" t="s">
        <v>1741</v>
      </c>
      <c r="H933" t="s">
        <v>2380</v>
      </c>
      <c r="I933" t="s">
        <v>2277</v>
      </c>
      <c r="J933" t="s">
        <v>2277</v>
      </c>
      <c r="K933" t="s">
        <v>2277</v>
      </c>
      <c r="L933" t="s">
        <v>2277</v>
      </c>
      <c r="M933" t="s">
        <v>2277</v>
      </c>
      <c r="N933" t="s">
        <v>2277</v>
      </c>
      <c r="O933" s="190" t="str">
        <f t="shared" si="14"/>
        <v>[S05_InstallationDifferentSamplingFrequency][7][SamplingFuelMaterial]</v>
      </c>
    </row>
    <row r="934" spans="1:15" x14ac:dyDescent="0.3">
      <c r="A934" t="s">
        <v>2278</v>
      </c>
      <c r="B934" t="s">
        <v>1859</v>
      </c>
      <c r="C934" t="s">
        <v>1860</v>
      </c>
      <c r="D934">
        <v>8</v>
      </c>
      <c r="E934" t="s">
        <v>1447</v>
      </c>
      <c r="F934" t="s">
        <v>1861</v>
      </c>
      <c r="G934" t="s">
        <v>1741</v>
      </c>
      <c r="H934" t="s">
        <v>2379</v>
      </c>
      <c r="I934" t="s">
        <v>2277</v>
      </c>
      <c r="J934" t="s">
        <v>2277</v>
      </c>
      <c r="K934" t="s">
        <v>2277</v>
      </c>
      <c r="L934" t="s">
        <v>2277</v>
      </c>
      <c r="M934" t="s">
        <v>2277</v>
      </c>
      <c r="N934" t="s">
        <v>2277</v>
      </c>
      <c r="O934" s="190" t="str">
        <f t="shared" si="14"/>
        <v>[S05_InstallationDifferentSamplingFrequency][8][SamplingFuelMaterial]</v>
      </c>
    </row>
    <row r="935" spans="1:15" x14ac:dyDescent="0.3">
      <c r="A935" t="s">
        <v>2278</v>
      </c>
      <c r="B935" t="s">
        <v>1859</v>
      </c>
      <c r="C935" t="s">
        <v>1860</v>
      </c>
      <c r="D935">
        <v>9</v>
      </c>
      <c r="E935" t="s">
        <v>1447</v>
      </c>
      <c r="F935" t="s">
        <v>1861</v>
      </c>
      <c r="G935" t="s">
        <v>1741</v>
      </c>
      <c r="H935" t="s">
        <v>2378</v>
      </c>
      <c r="I935" t="s">
        <v>2277</v>
      </c>
      <c r="J935" t="s">
        <v>2277</v>
      </c>
      <c r="K935" t="s">
        <v>2277</v>
      </c>
      <c r="L935" t="s">
        <v>2277</v>
      </c>
      <c r="M935" t="s">
        <v>2277</v>
      </c>
      <c r="N935" t="s">
        <v>2277</v>
      </c>
      <c r="O935" s="190" t="str">
        <f t="shared" si="14"/>
        <v>[S05_InstallationDifferentSamplingFrequency][9][SamplingFuelMaterial]</v>
      </c>
    </row>
    <row r="936" spans="1:15" x14ac:dyDescent="0.3">
      <c r="A936" t="s">
        <v>2278</v>
      </c>
      <c r="B936" t="s">
        <v>1859</v>
      </c>
      <c r="C936" t="s">
        <v>1860</v>
      </c>
      <c r="D936">
        <v>10</v>
      </c>
      <c r="E936" t="s">
        <v>1447</v>
      </c>
      <c r="F936" t="s">
        <v>1861</v>
      </c>
      <c r="G936" t="s">
        <v>1741</v>
      </c>
      <c r="H936" t="s">
        <v>2377</v>
      </c>
      <c r="I936" t="s">
        <v>2277</v>
      </c>
      <c r="J936" t="s">
        <v>2277</v>
      </c>
      <c r="K936" t="s">
        <v>2277</v>
      </c>
      <c r="L936" t="s">
        <v>2277</v>
      </c>
      <c r="M936" t="s">
        <v>2277</v>
      </c>
      <c r="N936" t="s">
        <v>2277</v>
      </c>
      <c r="O936" s="190" t="str">
        <f t="shared" si="14"/>
        <v>[S05_InstallationDifferentSamplingFrequency][10][SamplingFuelMaterial]</v>
      </c>
    </row>
    <row r="937" spans="1:15" x14ac:dyDescent="0.3">
      <c r="A937" t="s">
        <v>2278</v>
      </c>
      <c r="B937" t="s">
        <v>1859</v>
      </c>
      <c r="C937" t="s">
        <v>1860</v>
      </c>
      <c r="D937">
        <v>1</v>
      </c>
      <c r="E937" t="s">
        <v>1447</v>
      </c>
      <c r="F937" t="s">
        <v>1862</v>
      </c>
      <c r="G937" t="s">
        <v>1748</v>
      </c>
      <c r="H937" t="s">
        <v>2277</v>
      </c>
      <c r="I937">
        <v>1</v>
      </c>
      <c r="J937" t="s">
        <v>2277</v>
      </c>
      <c r="K937" t="s">
        <v>2277</v>
      </c>
      <c r="L937" t="s">
        <v>2277</v>
      </c>
      <c r="M937" t="s">
        <v>2277</v>
      </c>
      <c r="N937" t="s">
        <v>2277</v>
      </c>
      <c r="O937" s="190" t="str">
        <f t="shared" si="14"/>
        <v>[S05_InstallationDifferentSamplingFrequency][1][CountInstallationsDiffFrequency]</v>
      </c>
    </row>
    <row r="938" spans="1:15" x14ac:dyDescent="0.3">
      <c r="A938" t="s">
        <v>2278</v>
      </c>
      <c r="B938" t="s">
        <v>1859</v>
      </c>
      <c r="C938" t="s">
        <v>1860</v>
      </c>
      <c r="D938">
        <v>2</v>
      </c>
      <c r="E938" t="s">
        <v>1447</v>
      </c>
      <c r="F938" t="s">
        <v>1862</v>
      </c>
      <c r="G938" t="s">
        <v>1748</v>
      </c>
      <c r="H938" t="s">
        <v>2277</v>
      </c>
      <c r="I938">
        <v>1</v>
      </c>
      <c r="J938" t="s">
        <v>2277</v>
      </c>
      <c r="K938" t="s">
        <v>2277</v>
      </c>
      <c r="L938" t="s">
        <v>2277</v>
      </c>
      <c r="M938" t="s">
        <v>2277</v>
      </c>
      <c r="N938" t="s">
        <v>2277</v>
      </c>
      <c r="O938" s="190" t="str">
        <f t="shared" si="14"/>
        <v>[S05_InstallationDifferentSamplingFrequency][2][CountInstallationsDiffFrequency]</v>
      </c>
    </row>
    <row r="939" spans="1:15" x14ac:dyDescent="0.3">
      <c r="A939" t="s">
        <v>2278</v>
      </c>
      <c r="B939" t="s">
        <v>1859</v>
      </c>
      <c r="C939" t="s">
        <v>1860</v>
      </c>
      <c r="D939">
        <v>3</v>
      </c>
      <c r="E939" t="s">
        <v>1447</v>
      </c>
      <c r="F939" t="s">
        <v>1862</v>
      </c>
      <c r="G939" t="s">
        <v>1748</v>
      </c>
      <c r="H939" t="s">
        <v>2277</v>
      </c>
      <c r="I939">
        <v>1</v>
      </c>
      <c r="J939" t="s">
        <v>2277</v>
      </c>
      <c r="K939" t="s">
        <v>2277</v>
      </c>
      <c r="L939" t="s">
        <v>2277</v>
      </c>
      <c r="M939" t="s">
        <v>2277</v>
      </c>
      <c r="N939" t="s">
        <v>2277</v>
      </c>
      <c r="O939" s="190" t="str">
        <f t="shared" si="14"/>
        <v>[S05_InstallationDifferentSamplingFrequency][3][CountInstallationsDiffFrequency]</v>
      </c>
    </row>
    <row r="940" spans="1:15" x14ac:dyDescent="0.3">
      <c r="A940" t="s">
        <v>2278</v>
      </c>
      <c r="B940" t="s">
        <v>1859</v>
      </c>
      <c r="C940" t="s">
        <v>1860</v>
      </c>
      <c r="D940">
        <v>4</v>
      </c>
      <c r="E940" t="s">
        <v>1447</v>
      </c>
      <c r="F940" t="s">
        <v>1862</v>
      </c>
      <c r="G940" t="s">
        <v>1748</v>
      </c>
      <c r="H940" t="s">
        <v>2277</v>
      </c>
      <c r="I940">
        <v>1</v>
      </c>
      <c r="J940" t="s">
        <v>2277</v>
      </c>
      <c r="K940" t="s">
        <v>2277</v>
      </c>
      <c r="L940" t="s">
        <v>2277</v>
      </c>
      <c r="M940" t="s">
        <v>2277</v>
      </c>
      <c r="N940" t="s">
        <v>2277</v>
      </c>
      <c r="O940" s="190" t="str">
        <f t="shared" si="14"/>
        <v>[S05_InstallationDifferentSamplingFrequency][4][CountInstallationsDiffFrequency]</v>
      </c>
    </row>
    <row r="941" spans="1:15" x14ac:dyDescent="0.3">
      <c r="A941" t="s">
        <v>2278</v>
      </c>
      <c r="B941" t="s">
        <v>1859</v>
      </c>
      <c r="C941" t="s">
        <v>1860</v>
      </c>
      <c r="D941">
        <v>5</v>
      </c>
      <c r="E941" t="s">
        <v>1447</v>
      </c>
      <c r="F941" t="s">
        <v>1862</v>
      </c>
      <c r="G941" t="s">
        <v>1748</v>
      </c>
      <c r="H941" t="s">
        <v>2277</v>
      </c>
      <c r="I941">
        <v>1</v>
      </c>
      <c r="J941" t="s">
        <v>2277</v>
      </c>
      <c r="K941" t="s">
        <v>2277</v>
      </c>
      <c r="L941" t="s">
        <v>2277</v>
      </c>
      <c r="M941" t="s">
        <v>2277</v>
      </c>
      <c r="N941" t="s">
        <v>2277</v>
      </c>
      <c r="O941" s="190" t="str">
        <f t="shared" si="14"/>
        <v>[S05_InstallationDifferentSamplingFrequency][5][CountInstallationsDiffFrequency]</v>
      </c>
    </row>
    <row r="942" spans="1:15" x14ac:dyDescent="0.3">
      <c r="A942" t="s">
        <v>2278</v>
      </c>
      <c r="B942" t="s">
        <v>1859</v>
      </c>
      <c r="C942" t="s">
        <v>1860</v>
      </c>
      <c r="D942">
        <v>6</v>
      </c>
      <c r="E942" t="s">
        <v>1447</v>
      </c>
      <c r="F942" t="s">
        <v>1862</v>
      </c>
      <c r="G942" t="s">
        <v>1748</v>
      </c>
      <c r="H942" t="s">
        <v>2277</v>
      </c>
      <c r="I942">
        <v>1</v>
      </c>
      <c r="J942" t="s">
        <v>2277</v>
      </c>
      <c r="K942" t="s">
        <v>2277</v>
      </c>
      <c r="L942" t="s">
        <v>2277</v>
      </c>
      <c r="M942" t="s">
        <v>2277</v>
      </c>
      <c r="N942" t="s">
        <v>2277</v>
      </c>
      <c r="O942" s="190" t="str">
        <f t="shared" si="14"/>
        <v>[S05_InstallationDifferentSamplingFrequency][6][CountInstallationsDiffFrequency]</v>
      </c>
    </row>
    <row r="943" spans="1:15" x14ac:dyDescent="0.3">
      <c r="A943" t="s">
        <v>2278</v>
      </c>
      <c r="B943" t="s">
        <v>1859</v>
      </c>
      <c r="C943" t="s">
        <v>1860</v>
      </c>
      <c r="D943">
        <v>7</v>
      </c>
      <c r="E943" t="s">
        <v>1447</v>
      </c>
      <c r="F943" t="s">
        <v>1862</v>
      </c>
      <c r="G943" t="s">
        <v>1748</v>
      </c>
      <c r="H943" t="s">
        <v>2277</v>
      </c>
      <c r="I943">
        <v>1</v>
      </c>
      <c r="J943" t="s">
        <v>2277</v>
      </c>
      <c r="K943" t="s">
        <v>2277</v>
      </c>
      <c r="L943" t="s">
        <v>2277</v>
      </c>
      <c r="M943" t="s">
        <v>2277</v>
      </c>
      <c r="N943" t="s">
        <v>2277</v>
      </c>
      <c r="O943" s="190" t="str">
        <f t="shared" si="14"/>
        <v>[S05_InstallationDifferentSamplingFrequency][7][CountInstallationsDiffFrequency]</v>
      </c>
    </row>
    <row r="944" spans="1:15" x14ac:dyDescent="0.3">
      <c r="A944" t="s">
        <v>2278</v>
      </c>
      <c r="B944" t="s">
        <v>1859</v>
      </c>
      <c r="C944" t="s">
        <v>1860</v>
      </c>
      <c r="D944">
        <v>8</v>
      </c>
      <c r="E944" t="s">
        <v>1447</v>
      </c>
      <c r="F944" t="s">
        <v>1862</v>
      </c>
      <c r="G944" t="s">
        <v>1748</v>
      </c>
      <c r="H944" t="s">
        <v>2277</v>
      </c>
      <c r="I944">
        <v>2</v>
      </c>
      <c r="J944" t="s">
        <v>2277</v>
      </c>
      <c r="K944" t="s">
        <v>2277</v>
      </c>
      <c r="L944" t="s">
        <v>2277</v>
      </c>
      <c r="M944" t="s">
        <v>2277</v>
      </c>
      <c r="N944" t="s">
        <v>2277</v>
      </c>
      <c r="O944" s="190" t="str">
        <f t="shared" si="14"/>
        <v>[S05_InstallationDifferentSamplingFrequency][8][CountInstallationsDiffFrequency]</v>
      </c>
    </row>
    <row r="945" spans="1:15" x14ac:dyDescent="0.3">
      <c r="A945" t="s">
        <v>2278</v>
      </c>
      <c r="B945" t="s">
        <v>1859</v>
      </c>
      <c r="C945" t="s">
        <v>1860</v>
      </c>
      <c r="D945">
        <v>9</v>
      </c>
      <c r="E945" t="s">
        <v>1447</v>
      </c>
      <c r="F945" t="s">
        <v>1862</v>
      </c>
      <c r="G945" t="s">
        <v>1748</v>
      </c>
      <c r="H945" t="s">
        <v>2277</v>
      </c>
      <c r="I945">
        <v>1</v>
      </c>
      <c r="J945" t="s">
        <v>2277</v>
      </c>
      <c r="K945" t="s">
        <v>2277</v>
      </c>
      <c r="L945" t="s">
        <v>2277</v>
      </c>
      <c r="M945" t="s">
        <v>2277</v>
      </c>
      <c r="N945" t="s">
        <v>2277</v>
      </c>
      <c r="O945" s="190" t="str">
        <f t="shared" si="14"/>
        <v>[S05_InstallationDifferentSamplingFrequency][9][CountInstallationsDiffFrequency]</v>
      </c>
    </row>
    <row r="946" spans="1:15" x14ac:dyDescent="0.3">
      <c r="A946" t="s">
        <v>2278</v>
      </c>
      <c r="B946" t="s">
        <v>1859</v>
      </c>
      <c r="C946" t="s">
        <v>1860</v>
      </c>
      <c r="D946">
        <v>10</v>
      </c>
      <c r="E946" t="s">
        <v>1447</v>
      </c>
      <c r="F946" t="s">
        <v>1862</v>
      </c>
      <c r="G946" t="s">
        <v>1748</v>
      </c>
      <c r="H946" t="s">
        <v>2277</v>
      </c>
      <c r="I946">
        <v>1</v>
      </c>
      <c r="J946" t="s">
        <v>2277</v>
      </c>
      <c r="K946" t="s">
        <v>2277</v>
      </c>
      <c r="L946" t="s">
        <v>2277</v>
      </c>
      <c r="M946" t="s">
        <v>2277</v>
      </c>
      <c r="N946" t="s">
        <v>2277</v>
      </c>
      <c r="O946" s="190" t="str">
        <f t="shared" si="14"/>
        <v>[S05_InstallationDifferentSamplingFrequency][10][CountInstallationsDiffFrequency]</v>
      </c>
    </row>
    <row r="947" spans="1:15" x14ac:dyDescent="0.3">
      <c r="A947" t="s">
        <v>2278</v>
      </c>
      <c r="B947" t="s">
        <v>1859</v>
      </c>
      <c r="C947" t="s">
        <v>1860</v>
      </c>
      <c r="D947">
        <v>1</v>
      </c>
      <c r="E947" t="s">
        <v>1447</v>
      </c>
      <c r="F947" t="s">
        <v>1863</v>
      </c>
      <c r="G947" t="s">
        <v>1748</v>
      </c>
      <c r="H947" t="s">
        <v>2277</v>
      </c>
      <c r="I947">
        <v>0</v>
      </c>
      <c r="J947" t="s">
        <v>2277</v>
      </c>
      <c r="K947" t="s">
        <v>2277</v>
      </c>
      <c r="L947" t="s">
        <v>2277</v>
      </c>
      <c r="M947" t="s">
        <v>2277</v>
      </c>
      <c r="N947" t="s">
        <v>2277</v>
      </c>
      <c r="O947" s="190" t="str">
        <f t="shared" si="14"/>
        <v>[S05_InstallationDifferentSamplingFrequency][1][MajorSourceStreams]</v>
      </c>
    </row>
    <row r="948" spans="1:15" x14ac:dyDescent="0.3">
      <c r="A948" t="s">
        <v>2278</v>
      </c>
      <c r="B948" t="s">
        <v>1859</v>
      </c>
      <c r="C948" t="s">
        <v>1860</v>
      </c>
      <c r="D948">
        <v>2</v>
      </c>
      <c r="E948" t="s">
        <v>1447</v>
      </c>
      <c r="F948" t="s">
        <v>1863</v>
      </c>
      <c r="G948" t="s">
        <v>1748</v>
      </c>
      <c r="H948" t="s">
        <v>2277</v>
      </c>
      <c r="I948">
        <v>0</v>
      </c>
      <c r="J948" t="s">
        <v>2277</v>
      </c>
      <c r="K948" t="s">
        <v>2277</v>
      </c>
      <c r="L948" t="s">
        <v>2277</v>
      </c>
      <c r="M948" t="s">
        <v>2277</v>
      </c>
      <c r="N948" t="s">
        <v>2277</v>
      </c>
      <c r="O948" s="190" t="str">
        <f t="shared" si="14"/>
        <v>[S05_InstallationDifferentSamplingFrequency][2][MajorSourceStreams]</v>
      </c>
    </row>
    <row r="949" spans="1:15" x14ac:dyDescent="0.3">
      <c r="A949" t="s">
        <v>2278</v>
      </c>
      <c r="B949" t="s">
        <v>1859</v>
      </c>
      <c r="C949" t="s">
        <v>1860</v>
      </c>
      <c r="D949">
        <v>3</v>
      </c>
      <c r="E949" t="s">
        <v>1447</v>
      </c>
      <c r="F949" t="s">
        <v>1863</v>
      </c>
      <c r="G949" t="s">
        <v>1748</v>
      </c>
      <c r="H949" t="s">
        <v>2277</v>
      </c>
      <c r="I949">
        <v>0</v>
      </c>
      <c r="J949" t="s">
        <v>2277</v>
      </c>
      <c r="K949" t="s">
        <v>2277</v>
      </c>
      <c r="L949" t="s">
        <v>2277</v>
      </c>
      <c r="M949" t="s">
        <v>2277</v>
      </c>
      <c r="N949" t="s">
        <v>2277</v>
      </c>
      <c r="O949" s="190" t="str">
        <f t="shared" si="14"/>
        <v>[S05_InstallationDifferentSamplingFrequency][3][MajorSourceStreams]</v>
      </c>
    </row>
    <row r="950" spans="1:15" x14ac:dyDescent="0.3">
      <c r="A950" t="s">
        <v>2278</v>
      </c>
      <c r="B950" t="s">
        <v>1859</v>
      </c>
      <c r="C950" t="s">
        <v>1860</v>
      </c>
      <c r="D950">
        <v>4</v>
      </c>
      <c r="E950" t="s">
        <v>1447</v>
      </c>
      <c r="F950" t="s">
        <v>1863</v>
      </c>
      <c r="G950" t="s">
        <v>1748</v>
      </c>
      <c r="H950" t="s">
        <v>2277</v>
      </c>
      <c r="I950">
        <v>1</v>
      </c>
      <c r="J950" t="s">
        <v>2277</v>
      </c>
      <c r="K950" t="s">
        <v>2277</v>
      </c>
      <c r="L950" t="s">
        <v>2277</v>
      </c>
      <c r="M950" t="s">
        <v>2277</v>
      </c>
      <c r="N950" t="s">
        <v>2277</v>
      </c>
      <c r="O950" s="190" t="str">
        <f t="shared" si="14"/>
        <v>[S05_InstallationDifferentSamplingFrequency][4][MajorSourceStreams]</v>
      </c>
    </row>
    <row r="951" spans="1:15" x14ac:dyDescent="0.3">
      <c r="A951" t="s">
        <v>2278</v>
      </c>
      <c r="B951" t="s">
        <v>1859</v>
      </c>
      <c r="C951" t="s">
        <v>1860</v>
      </c>
      <c r="D951">
        <v>5</v>
      </c>
      <c r="E951" t="s">
        <v>1447</v>
      </c>
      <c r="F951" t="s">
        <v>1863</v>
      </c>
      <c r="G951" t="s">
        <v>1748</v>
      </c>
      <c r="H951" t="s">
        <v>2277</v>
      </c>
      <c r="I951">
        <v>0</v>
      </c>
      <c r="J951" t="s">
        <v>2277</v>
      </c>
      <c r="K951" t="s">
        <v>2277</v>
      </c>
      <c r="L951" t="s">
        <v>2277</v>
      </c>
      <c r="M951" t="s">
        <v>2277</v>
      </c>
      <c r="N951" t="s">
        <v>2277</v>
      </c>
      <c r="O951" s="190" t="str">
        <f t="shared" si="14"/>
        <v>[S05_InstallationDifferentSamplingFrequency][5][MajorSourceStreams]</v>
      </c>
    </row>
    <row r="952" spans="1:15" x14ac:dyDescent="0.3">
      <c r="A952" t="s">
        <v>2278</v>
      </c>
      <c r="B952" t="s">
        <v>1859</v>
      </c>
      <c r="C952" t="s">
        <v>1860</v>
      </c>
      <c r="D952">
        <v>6</v>
      </c>
      <c r="E952" t="s">
        <v>1447</v>
      </c>
      <c r="F952" t="s">
        <v>1863</v>
      </c>
      <c r="G952" t="s">
        <v>1748</v>
      </c>
      <c r="H952" t="s">
        <v>2277</v>
      </c>
      <c r="I952">
        <v>1</v>
      </c>
      <c r="J952" t="s">
        <v>2277</v>
      </c>
      <c r="K952" t="s">
        <v>2277</v>
      </c>
      <c r="L952" t="s">
        <v>2277</v>
      </c>
      <c r="M952" t="s">
        <v>2277</v>
      </c>
      <c r="N952" t="s">
        <v>2277</v>
      </c>
      <c r="O952" s="190" t="str">
        <f t="shared" si="14"/>
        <v>[S05_InstallationDifferentSamplingFrequency][6][MajorSourceStreams]</v>
      </c>
    </row>
    <row r="953" spans="1:15" x14ac:dyDescent="0.3">
      <c r="A953" t="s">
        <v>2278</v>
      </c>
      <c r="B953" t="s">
        <v>1859</v>
      </c>
      <c r="C953" t="s">
        <v>1860</v>
      </c>
      <c r="D953">
        <v>7</v>
      </c>
      <c r="E953" t="s">
        <v>1447</v>
      </c>
      <c r="F953" t="s">
        <v>1863</v>
      </c>
      <c r="G953" t="s">
        <v>1748</v>
      </c>
      <c r="H953" t="s">
        <v>2277</v>
      </c>
      <c r="I953">
        <v>0</v>
      </c>
      <c r="J953" t="s">
        <v>2277</v>
      </c>
      <c r="K953" t="s">
        <v>2277</v>
      </c>
      <c r="L953" t="s">
        <v>2277</v>
      </c>
      <c r="M953" t="s">
        <v>2277</v>
      </c>
      <c r="N953" t="s">
        <v>2277</v>
      </c>
      <c r="O953" s="190" t="str">
        <f t="shared" si="14"/>
        <v>[S05_InstallationDifferentSamplingFrequency][7][MajorSourceStreams]</v>
      </c>
    </row>
    <row r="954" spans="1:15" x14ac:dyDescent="0.3">
      <c r="A954" t="s">
        <v>2278</v>
      </c>
      <c r="B954" t="s">
        <v>1859</v>
      </c>
      <c r="C954" t="s">
        <v>1860</v>
      </c>
      <c r="D954">
        <v>8</v>
      </c>
      <c r="E954" t="s">
        <v>1447</v>
      </c>
      <c r="F954" t="s">
        <v>1863</v>
      </c>
      <c r="G954" t="s">
        <v>1748</v>
      </c>
      <c r="H954" t="s">
        <v>2277</v>
      </c>
      <c r="I954">
        <v>0</v>
      </c>
      <c r="J954" t="s">
        <v>2277</v>
      </c>
      <c r="K954" t="s">
        <v>2277</v>
      </c>
      <c r="L954" t="s">
        <v>2277</v>
      </c>
      <c r="M954" t="s">
        <v>2277</v>
      </c>
      <c r="N954" t="s">
        <v>2277</v>
      </c>
      <c r="O954" s="190" t="str">
        <f t="shared" si="14"/>
        <v>[S05_InstallationDifferentSamplingFrequency][8][MajorSourceStreams]</v>
      </c>
    </row>
    <row r="955" spans="1:15" x14ac:dyDescent="0.3">
      <c r="A955" t="s">
        <v>2278</v>
      </c>
      <c r="B955" t="s">
        <v>1859</v>
      </c>
      <c r="C955" t="s">
        <v>1860</v>
      </c>
      <c r="D955">
        <v>9</v>
      </c>
      <c r="E955" t="s">
        <v>1447</v>
      </c>
      <c r="F955" t="s">
        <v>1863</v>
      </c>
      <c r="G955" t="s">
        <v>1748</v>
      </c>
      <c r="H955" t="s">
        <v>2277</v>
      </c>
      <c r="I955">
        <v>1</v>
      </c>
      <c r="J955" t="s">
        <v>2277</v>
      </c>
      <c r="K955" t="s">
        <v>2277</v>
      </c>
      <c r="L955" t="s">
        <v>2277</v>
      </c>
      <c r="M955" t="s">
        <v>2277</v>
      </c>
      <c r="N955" t="s">
        <v>2277</v>
      </c>
      <c r="O955" s="190" t="str">
        <f t="shared" si="14"/>
        <v>[S05_InstallationDifferentSamplingFrequency][9][MajorSourceStreams]</v>
      </c>
    </row>
    <row r="956" spans="1:15" x14ac:dyDescent="0.3">
      <c r="A956" t="s">
        <v>2278</v>
      </c>
      <c r="B956" t="s">
        <v>1859</v>
      </c>
      <c r="C956" t="s">
        <v>1860</v>
      </c>
      <c r="D956">
        <v>10</v>
      </c>
      <c r="E956" t="s">
        <v>1447</v>
      </c>
      <c r="F956" t="s">
        <v>1863</v>
      </c>
      <c r="G956" t="s">
        <v>1748</v>
      </c>
      <c r="H956" t="s">
        <v>2277</v>
      </c>
      <c r="I956">
        <v>0</v>
      </c>
      <c r="J956" t="s">
        <v>2277</v>
      </c>
      <c r="K956" t="s">
        <v>2277</v>
      </c>
      <c r="L956" t="s">
        <v>2277</v>
      </c>
      <c r="M956" t="s">
        <v>2277</v>
      </c>
      <c r="N956" t="s">
        <v>2277</v>
      </c>
      <c r="O956" s="190" t="str">
        <f t="shared" si="14"/>
        <v>[S05_InstallationDifferentSamplingFrequency][10][MajorSourceStreams]</v>
      </c>
    </row>
    <row r="957" spans="1:15" x14ac:dyDescent="0.3">
      <c r="A957" t="s">
        <v>2278</v>
      </c>
      <c r="B957" t="s">
        <v>1859</v>
      </c>
      <c r="C957" t="s">
        <v>1860</v>
      </c>
      <c r="D957">
        <v>1</v>
      </c>
      <c r="E957" t="s">
        <v>1447</v>
      </c>
      <c r="F957" t="s">
        <v>1864</v>
      </c>
      <c r="G957" t="s">
        <v>1759</v>
      </c>
      <c r="H957" t="s">
        <v>2277</v>
      </c>
      <c r="I957" t="s">
        <v>2277</v>
      </c>
      <c r="J957" t="s">
        <v>2277</v>
      </c>
      <c r="K957" t="s">
        <v>2277</v>
      </c>
      <c r="L957" t="s">
        <v>1419</v>
      </c>
      <c r="M957" t="s">
        <v>2277</v>
      </c>
      <c r="N957" t="s">
        <v>2277</v>
      </c>
      <c r="O957" s="190" t="str">
        <f t="shared" si="14"/>
        <v>[S05_InstallationDifferentSamplingFrequency][1][SamplingPlanDocumented]</v>
      </c>
    </row>
    <row r="958" spans="1:15" x14ac:dyDescent="0.3">
      <c r="A958" t="s">
        <v>2278</v>
      </c>
      <c r="B958" t="s">
        <v>1859</v>
      </c>
      <c r="C958" t="s">
        <v>1860</v>
      </c>
      <c r="D958">
        <v>2</v>
      </c>
      <c r="E958" t="s">
        <v>1447</v>
      </c>
      <c r="F958" t="s">
        <v>1864</v>
      </c>
      <c r="G958" t="s">
        <v>1759</v>
      </c>
      <c r="H958" t="s">
        <v>2277</v>
      </c>
      <c r="I958" t="s">
        <v>2277</v>
      </c>
      <c r="J958" t="s">
        <v>2277</v>
      </c>
      <c r="K958" t="s">
        <v>2277</v>
      </c>
      <c r="L958" t="s">
        <v>1419</v>
      </c>
      <c r="M958" t="s">
        <v>2277</v>
      </c>
      <c r="N958" t="s">
        <v>2277</v>
      </c>
      <c r="O958" s="190" t="str">
        <f t="shared" si="14"/>
        <v>[S05_InstallationDifferentSamplingFrequency][2][SamplingPlanDocumented]</v>
      </c>
    </row>
    <row r="959" spans="1:15" x14ac:dyDescent="0.3">
      <c r="A959" t="s">
        <v>2278</v>
      </c>
      <c r="B959" t="s">
        <v>1859</v>
      </c>
      <c r="C959" t="s">
        <v>1860</v>
      </c>
      <c r="D959">
        <v>3</v>
      </c>
      <c r="E959" t="s">
        <v>1447</v>
      </c>
      <c r="F959" t="s">
        <v>1864</v>
      </c>
      <c r="G959" t="s">
        <v>1759</v>
      </c>
      <c r="H959" t="s">
        <v>2277</v>
      </c>
      <c r="I959" t="s">
        <v>2277</v>
      </c>
      <c r="J959" t="s">
        <v>2277</v>
      </c>
      <c r="K959" t="s">
        <v>2277</v>
      </c>
      <c r="L959" t="s">
        <v>1419</v>
      </c>
      <c r="M959" t="s">
        <v>2277</v>
      </c>
      <c r="N959" t="s">
        <v>2277</v>
      </c>
      <c r="O959" s="190" t="str">
        <f t="shared" si="14"/>
        <v>[S05_InstallationDifferentSamplingFrequency][3][SamplingPlanDocumented]</v>
      </c>
    </row>
    <row r="960" spans="1:15" x14ac:dyDescent="0.3">
      <c r="A960" t="s">
        <v>2278</v>
      </c>
      <c r="B960" t="s">
        <v>1859</v>
      </c>
      <c r="C960" t="s">
        <v>1860</v>
      </c>
      <c r="D960">
        <v>4</v>
      </c>
      <c r="E960" t="s">
        <v>1447</v>
      </c>
      <c r="F960" t="s">
        <v>1864</v>
      </c>
      <c r="G960" t="s">
        <v>1759</v>
      </c>
      <c r="H960" t="s">
        <v>2277</v>
      </c>
      <c r="I960" t="s">
        <v>2277</v>
      </c>
      <c r="J960" t="s">
        <v>2277</v>
      </c>
      <c r="K960" t="s">
        <v>2277</v>
      </c>
      <c r="L960" t="s">
        <v>1419</v>
      </c>
      <c r="M960" t="s">
        <v>2277</v>
      </c>
      <c r="N960" t="s">
        <v>2277</v>
      </c>
      <c r="O960" s="190" t="str">
        <f t="shared" si="14"/>
        <v>[S05_InstallationDifferentSamplingFrequency][4][SamplingPlanDocumented]</v>
      </c>
    </row>
    <row r="961" spans="1:15" x14ac:dyDescent="0.3">
      <c r="A961" t="s">
        <v>2278</v>
      </c>
      <c r="B961" t="s">
        <v>1859</v>
      </c>
      <c r="C961" t="s">
        <v>1860</v>
      </c>
      <c r="D961">
        <v>5</v>
      </c>
      <c r="E961" t="s">
        <v>1447</v>
      </c>
      <c r="F961" t="s">
        <v>1864</v>
      </c>
      <c r="G961" t="s">
        <v>1759</v>
      </c>
      <c r="H961" t="s">
        <v>2277</v>
      </c>
      <c r="I961" t="s">
        <v>2277</v>
      </c>
      <c r="J961" t="s">
        <v>2277</v>
      </c>
      <c r="K961" t="s">
        <v>2277</v>
      </c>
      <c r="L961" t="s">
        <v>1419</v>
      </c>
      <c r="M961" t="s">
        <v>2277</v>
      </c>
      <c r="N961" t="s">
        <v>2277</v>
      </c>
      <c r="O961" s="190" t="str">
        <f t="shared" si="14"/>
        <v>[S05_InstallationDifferentSamplingFrequency][5][SamplingPlanDocumented]</v>
      </c>
    </row>
    <row r="962" spans="1:15" x14ac:dyDescent="0.3">
      <c r="A962" t="s">
        <v>2278</v>
      </c>
      <c r="B962" t="s">
        <v>1859</v>
      </c>
      <c r="C962" t="s">
        <v>1860</v>
      </c>
      <c r="D962">
        <v>6</v>
      </c>
      <c r="E962" t="s">
        <v>1447</v>
      </c>
      <c r="F962" t="s">
        <v>1864</v>
      </c>
      <c r="G962" t="s">
        <v>1759</v>
      </c>
      <c r="H962" t="s">
        <v>2277</v>
      </c>
      <c r="I962" t="s">
        <v>2277</v>
      </c>
      <c r="J962" t="s">
        <v>2277</v>
      </c>
      <c r="K962" t="s">
        <v>2277</v>
      </c>
      <c r="L962" t="s">
        <v>1419</v>
      </c>
      <c r="M962" t="s">
        <v>2277</v>
      </c>
      <c r="N962" t="s">
        <v>2277</v>
      </c>
      <c r="O962" s="190" t="str">
        <f t="shared" ref="O962:O1025" si="15">"["&amp;$C962&amp;"]["&amp;$D962&amp;"]["&amp;$F962&amp;"]"</f>
        <v>[S05_InstallationDifferentSamplingFrequency][6][SamplingPlanDocumented]</v>
      </c>
    </row>
    <row r="963" spans="1:15" x14ac:dyDescent="0.3">
      <c r="A963" t="s">
        <v>2278</v>
      </c>
      <c r="B963" t="s">
        <v>1859</v>
      </c>
      <c r="C963" t="s">
        <v>1860</v>
      </c>
      <c r="D963">
        <v>7</v>
      </c>
      <c r="E963" t="s">
        <v>1447</v>
      </c>
      <c r="F963" t="s">
        <v>1864</v>
      </c>
      <c r="G963" t="s">
        <v>1759</v>
      </c>
      <c r="H963" t="s">
        <v>2277</v>
      </c>
      <c r="I963" t="s">
        <v>2277</v>
      </c>
      <c r="J963" t="s">
        <v>2277</v>
      </c>
      <c r="K963" t="s">
        <v>2277</v>
      </c>
      <c r="L963" t="s">
        <v>1419</v>
      </c>
      <c r="M963" t="s">
        <v>2277</v>
      </c>
      <c r="N963" t="s">
        <v>2277</v>
      </c>
      <c r="O963" s="190" t="str">
        <f t="shared" si="15"/>
        <v>[S05_InstallationDifferentSamplingFrequency][7][SamplingPlanDocumented]</v>
      </c>
    </row>
    <row r="964" spans="1:15" x14ac:dyDescent="0.3">
      <c r="A964" t="s">
        <v>2278</v>
      </c>
      <c r="B964" t="s">
        <v>1859</v>
      </c>
      <c r="C964" t="s">
        <v>1860</v>
      </c>
      <c r="D964">
        <v>8</v>
      </c>
      <c r="E964" t="s">
        <v>1447</v>
      </c>
      <c r="F964" t="s">
        <v>1864</v>
      </c>
      <c r="G964" t="s">
        <v>1759</v>
      </c>
      <c r="H964" t="s">
        <v>2277</v>
      </c>
      <c r="I964" t="s">
        <v>2277</v>
      </c>
      <c r="J964" t="s">
        <v>2277</v>
      </c>
      <c r="K964" t="s">
        <v>2277</v>
      </c>
      <c r="L964" t="s">
        <v>1419</v>
      </c>
      <c r="M964" t="s">
        <v>2277</v>
      </c>
      <c r="N964" t="s">
        <v>2277</v>
      </c>
      <c r="O964" s="190" t="str">
        <f t="shared" si="15"/>
        <v>[S05_InstallationDifferentSamplingFrequency][8][SamplingPlanDocumented]</v>
      </c>
    </row>
    <row r="965" spans="1:15" x14ac:dyDescent="0.3">
      <c r="A965" t="s">
        <v>2278</v>
      </c>
      <c r="B965" t="s">
        <v>1859</v>
      </c>
      <c r="C965" t="s">
        <v>1860</v>
      </c>
      <c r="D965">
        <v>9</v>
      </c>
      <c r="E965" t="s">
        <v>1447</v>
      </c>
      <c r="F965" t="s">
        <v>1864</v>
      </c>
      <c r="G965" t="s">
        <v>1759</v>
      </c>
      <c r="H965" t="s">
        <v>2277</v>
      </c>
      <c r="I965" t="s">
        <v>2277</v>
      </c>
      <c r="J965" t="s">
        <v>2277</v>
      </c>
      <c r="K965" t="s">
        <v>2277</v>
      </c>
      <c r="L965" t="s">
        <v>1419</v>
      </c>
      <c r="M965" t="s">
        <v>2277</v>
      </c>
      <c r="N965" t="s">
        <v>2277</v>
      </c>
      <c r="O965" s="190" t="str">
        <f t="shared" si="15"/>
        <v>[S05_InstallationDifferentSamplingFrequency][9][SamplingPlanDocumented]</v>
      </c>
    </row>
    <row r="966" spans="1:15" x14ac:dyDescent="0.3">
      <c r="A966" t="s">
        <v>2278</v>
      </c>
      <c r="B966" t="s">
        <v>1859</v>
      </c>
      <c r="C966" t="s">
        <v>1860</v>
      </c>
      <c r="D966">
        <v>10</v>
      </c>
      <c r="E966" t="s">
        <v>1447</v>
      </c>
      <c r="F966" t="s">
        <v>1864</v>
      </c>
      <c r="G966" t="s">
        <v>1759</v>
      </c>
      <c r="H966" t="s">
        <v>2277</v>
      </c>
      <c r="I966" t="s">
        <v>2277</v>
      </c>
      <c r="J966" t="s">
        <v>2277</v>
      </c>
      <c r="K966" t="s">
        <v>2277</v>
      </c>
      <c r="L966" t="s">
        <v>1447</v>
      </c>
      <c r="M966" t="s">
        <v>2277</v>
      </c>
      <c r="N966" t="s">
        <v>2277</v>
      </c>
      <c r="O966" s="190" t="str">
        <f t="shared" si="15"/>
        <v>[S05_InstallationDifferentSamplingFrequency][10][SamplingPlanDocumented]</v>
      </c>
    </row>
    <row r="967" spans="1:15" x14ac:dyDescent="0.3">
      <c r="A967" t="s">
        <v>2278</v>
      </c>
      <c r="B967" t="s">
        <v>1859</v>
      </c>
      <c r="C967" t="s">
        <v>1860</v>
      </c>
      <c r="D967">
        <v>1</v>
      </c>
      <c r="E967" t="s">
        <v>1447</v>
      </c>
      <c r="F967" t="s">
        <v>1865</v>
      </c>
      <c r="G967" t="s">
        <v>1741</v>
      </c>
      <c r="H967" t="s">
        <v>2375</v>
      </c>
      <c r="I967" t="s">
        <v>2277</v>
      </c>
      <c r="J967" t="s">
        <v>2277</v>
      </c>
      <c r="K967" t="s">
        <v>2277</v>
      </c>
      <c r="L967" t="s">
        <v>2277</v>
      </c>
      <c r="M967" t="s">
        <v>2277</v>
      </c>
      <c r="N967" t="s">
        <v>2277</v>
      </c>
      <c r="O967" s="190" t="str">
        <f t="shared" si="15"/>
        <v>[S05_InstallationDifferentSamplingFrequency][1][SamplingPlanNotDocumentedReason]</v>
      </c>
    </row>
    <row r="968" spans="1:15" x14ac:dyDescent="0.3">
      <c r="A968" t="s">
        <v>2278</v>
      </c>
      <c r="B968" t="s">
        <v>1859</v>
      </c>
      <c r="C968" t="s">
        <v>1860</v>
      </c>
      <c r="D968">
        <v>2</v>
      </c>
      <c r="E968" t="s">
        <v>1447</v>
      </c>
      <c r="F968" t="s">
        <v>1865</v>
      </c>
      <c r="G968" t="s">
        <v>1741</v>
      </c>
      <c r="H968" t="s">
        <v>2375</v>
      </c>
      <c r="I968" t="s">
        <v>2277</v>
      </c>
      <c r="J968" t="s">
        <v>2277</v>
      </c>
      <c r="K968" t="s">
        <v>2277</v>
      </c>
      <c r="L968" t="s">
        <v>2277</v>
      </c>
      <c r="M968" t="s">
        <v>2277</v>
      </c>
      <c r="N968" t="s">
        <v>2277</v>
      </c>
      <c r="O968" s="190" t="str">
        <f t="shared" si="15"/>
        <v>[S05_InstallationDifferentSamplingFrequency][2][SamplingPlanNotDocumentedReason]</v>
      </c>
    </row>
    <row r="969" spans="1:15" x14ac:dyDescent="0.3">
      <c r="A969" t="s">
        <v>2278</v>
      </c>
      <c r="B969" t="s">
        <v>1859</v>
      </c>
      <c r="C969" t="s">
        <v>1860</v>
      </c>
      <c r="D969">
        <v>3</v>
      </c>
      <c r="E969" t="s">
        <v>1447</v>
      </c>
      <c r="F969" t="s">
        <v>1865</v>
      </c>
      <c r="G969" t="s">
        <v>1741</v>
      </c>
      <c r="H969" t="s">
        <v>2376</v>
      </c>
      <c r="I969" t="s">
        <v>2277</v>
      </c>
      <c r="J969" t="s">
        <v>2277</v>
      </c>
      <c r="K969" t="s">
        <v>2277</v>
      </c>
      <c r="L969" t="s">
        <v>2277</v>
      </c>
      <c r="M969" t="s">
        <v>2277</v>
      </c>
      <c r="N969" t="s">
        <v>2277</v>
      </c>
      <c r="O969" s="190" t="str">
        <f t="shared" si="15"/>
        <v>[S05_InstallationDifferentSamplingFrequency][3][SamplingPlanNotDocumentedReason]</v>
      </c>
    </row>
    <row r="970" spans="1:15" x14ac:dyDescent="0.3">
      <c r="A970" t="s">
        <v>2278</v>
      </c>
      <c r="B970" t="s">
        <v>1859</v>
      </c>
      <c r="C970" t="s">
        <v>1860</v>
      </c>
      <c r="D970">
        <v>4</v>
      </c>
      <c r="E970" t="s">
        <v>1447</v>
      </c>
      <c r="F970" t="s">
        <v>1865</v>
      </c>
      <c r="G970" t="s">
        <v>1741</v>
      </c>
      <c r="H970" t="s">
        <v>2375</v>
      </c>
      <c r="I970" t="s">
        <v>2277</v>
      </c>
      <c r="J970" t="s">
        <v>2277</v>
      </c>
      <c r="K970" t="s">
        <v>2277</v>
      </c>
      <c r="L970" t="s">
        <v>2277</v>
      </c>
      <c r="M970" t="s">
        <v>2277</v>
      </c>
      <c r="N970" t="s">
        <v>2277</v>
      </c>
      <c r="O970" s="190" t="str">
        <f t="shared" si="15"/>
        <v>[S05_InstallationDifferentSamplingFrequency][4][SamplingPlanNotDocumentedReason]</v>
      </c>
    </row>
    <row r="971" spans="1:15" x14ac:dyDescent="0.3">
      <c r="A971" t="s">
        <v>2278</v>
      </c>
      <c r="B971" t="s">
        <v>1859</v>
      </c>
      <c r="C971" t="s">
        <v>1860</v>
      </c>
      <c r="D971">
        <v>5</v>
      </c>
      <c r="E971" t="s">
        <v>1447</v>
      </c>
      <c r="F971" t="s">
        <v>1865</v>
      </c>
      <c r="G971" t="s">
        <v>1741</v>
      </c>
      <c r="H971" t="s">
        <v>2375</v>
      </c>
      <c r="I971" t="s">
        <v>2277</v>
      </c>
      <c r="J971" t="s">
        <v>2277</v>
      </c>
      <c r="K971" t="s">
        <v>2277</v>
      </c>
      <c r="L971" t="s">
        <v>2277</v>
      </c>
      <c r="M971" t="s">
        <v>2277</v>
      </c>
      <c r="N971" t="s">
        <v>2277</v>
      </c>
      <c r="O971" s="190" t="str">
        <f t="shared" si="15"/>
        <v>[S05_InstallationDifferentSamplingFrequency][5][SamplingPlanNotDocumentedReason]</v>
      </c>
    </row>
    <row r="972" spans="1:15" x14ac:dyDescent="0.3">
      <c r="A972" t="s">
        <v>2278</v>
      </c>
      <c r="B972" t="s">
        <v>1859</v>
      </c>
      <c r="C972" t="s">
        <v>1860</v>
      </c>
      <c r="D972">
        <v>6</v>
      </c>
      <c r="E972" t="s">
        <v>1447</v>
      </c>
      <c r="F972" t="s">
        <v>1865</v>
      </c>
      <c r="G972" t="s">
        <v>1741</v>
      </c>
      <c r="H972" t="s">
        <v>2375</v>
      </c>
      <c r="I972" t="s">
        <v>2277</v>
      </c>
      <c r="J972" t="s">
        <v>2277</v>
      </c>
      <c r="K972" t="s">
        <v>2277</v>
      </c>
      <c r="L972" t="s">
        <v>2277</v>
      </c>
      <c r="M972" t="s">
        <v>2277</v>
      </c>
      <c r="N972" t="s">
        <v>2277</v>
      </c>
      <c r="O972" s="190" t="str">
        <f t="shared" si="15"/>
        <v>[S05_InstallationDifferentSamplingFrequency][6][SamplingPlanNotDocumentedReason]</v>
      </c>
    </row>
    <row r="973" spans="1:15" x14ac:dyDescent="0.3">
      <c r="A973" t="s">
        <v>2278</v>
      </c>
      <c r="B973" t="s">
        <v>1859</v>
      </c>
      <c r="C973" t="s">
        <v>1860</v>
      </c>
      <c r="D973">
        <v>7</v>
      </c>
      <c r="E973" t="s">
        <v>1447</v>
      </c>
      <c r="F973" t="s">
        <v>1865</v>
      </c>
      <c r="G973" t="s">
        <v>1741</v>
      </c>
      <c r="H973" t="s">
        <v>2375</v>
      </c>
      <c r="I973" t="s">
        <v>2277</v>
      </c>
      <c r="J973" t="s">
        <v>2277</v>
      </c>
      <c r="K973" t="s">
        <v>2277</v>
      </c>
      <c r="L973" t="s">
        <v>2277</v>
      </c>
      <c r="M973" t="s">
        <v>2277</v>
      </c>
      <c r="N973" t="s">
        <v>2277</v>
      </c>
      <c r="O973" s="190" t="str">
        <f t="shared" si="15"/>
        <v>[S05_InstallationDifferentSamplingFrequency][7][SamplingPlanNotDocumentedReason]</v>
      </c>
    </row>
    <row r="974" spans="1:15" x14ac:dyDescent="0.3">
      <c r="A974" t="s">
        <v>2278</v>
      </c>
      <c r="B974" t="s">
        <v>1859</v>
      </c>
      <c r="C974" t="s">
        <v>1860</v>
      </c>
      <c r="D974">
        <v>8</v>
      </c>
      <c r="E974" t="s">
        <v>1447</v>
      </c>
      <c r="F974" t="s">
        <v>1865</v>
      </c>
      <c r="G974" t="s">
        <v>1741</v>
      </c>
      <c r="H974" t="s">
        <v>2375</v>
      </c>
      <c r="I974" t="s">
        <v>2277</v>
      </c>
      <c r="J974" t="s">
        <v>2277</v>
      </c>
      <c r="K974" t="s">
        <v>2277</v>
      </c>
      <c r="L974" t="s">
        <v>2277</v>
      </c>
      <c r="M974" t="s">
        <v>2277</v>
      </c>
      <c r="N974" t="s">
        <v>2277</v>
      </c>
      <c r="O974" s="190" t="str">
        <f t="shared" si="15"/>
        <v>[S05_InstallationDifferentSamplingFrequency][8][SamplingPlanNotDocumentedReason]</v>
      </c>
    </row>
    <row r="975" spans="1:15" x14ac:dyDescent="0.3">
      <c r="A975" t="s">
        <v>2278</v>
      </c>
      <c r="B975" t="s">
        <v>1859</v>
      </c>
      <c r="C975" t="s">
        <v>1860</v>
      </c>
      <c r="D975">
        <v>9</v>
      </c>
      <c r="E975" t="s">
        <v>1447</v>
      </c>
      <c r="F975" t="s">
        <v>1865</v>
      </c>
      <c r="G975" t="s">
        <v>1741</v>
      </c>
      <c r="H975" t="s">
        <v>2375</v>
      </c>
      <c r="I975" t="s">
        <v>2277</v>
      </c>
      <c r="J975" t="s">
        <v>2277</v>
      </c>
      <c r="K975" t="s">
        <v>2277</v>
      </c>
      <c r="L975" t="s">
        <v>2277</v>
      </c>
      <c r="M975" t="s">
        <v>2277</v>
      </c>
      <c r="N975" t="s">
        <v>2277</v>
      </c>
      <c r="O975" s="190" t="str">
        <f t="shared" si="15"/>
        <v>[S05_InstallationDifferentSamplingFrequency][9][SamplingPlanNotDocumentedReason]</v>
      </c>
    </row>
    <row r="976" spans="1:15" x14ac:dyDescent="0.3">
      <c r="A976" t="s">
        <v>2278</v>
      </c>
      <c r="B976" t="s">
        <v>1859</v>
      </c>
      <c r="C976" t="s">
        <v>1860</v>
      </c>
      <c r="D976">
        <v>10</v>
      </c>
      <c r="E976" t="s">
        <v>1447</v>
      </c>
      <c r="F976" t="s">
        <v>1865</v>
      </c>
      <c r="G976" t="s">
        <v>1741</v>
      </c>
      <c r="H976" t="s">
        <v>2374</v>
      </c>
      <c r="I976" t="s">
        <v>2277</v>
      </c>
      <c r="J976" t="s">
        <v>2277</v>
      </c>
      <c r="K976" t="s">
        <v>2277</v>
      </c>
      <c r="L976" t="s">
        <v>2277</v>
      </c>
      <c r="M976" t="s">
        <v>2277</v>
      </c>
      <c r="N976" t="s">
        <v>2277</v>
      </c>
      <c r="O976" s="190" t="str">
        <f t="shared" si="15"/>
        <v>[S05_InstallationDifferentSamplingFrequency][10][SamplingPlanNotDocumentedReason]</v>
      </c>
    </row>
    <row r="977" spans="1:15" x14ac:dyDescent="0.3">
      <c r="A977" t="s">
        <v>2278</v>
      </c>
      <c r="B977" t="s">
        <v>1866</v>
      </c>
      <c r="C977" t="s">
        <v>1867</v>
      </c>
      <c r="D977">
        <v>1</v>
      </c>
      <c r="E977" t="s">
        <v>1447</v>
      </c>
      <c r="F977" t="s">
        <v>1868</v>
      </c>
      <c r="G977" t="s">
        <v>1741</v>
      </c>
      <c r="H977" t="s">
        <v>2339</v>
      </c>
      <c r="I977" t="s">
        <v>2277</v>
      </c>
      <c r="J977" t="s">
        <v>2277</v>
      </c>
      <c r="K977" t="s">
        <v>2277</v>
      </c>
      <c r="L977" t="s">
        <v>2277</v>
      </c>
      <c r="M977" t="s">
        <v>2277</v>
      </c>
      <c r="N977" t="s">
        <v>2277</v>
      </c>
      <c r="O977" s="190" t="str">
        <f t="shared" si="15"/>
        <v>[S05_CategoryCHighestTierNotApplied][1][InstallationID]</v>
      </c>
    </row>
    <row r="978" spans="1:15" x14ac:dyDescent="0.3">
      <c r="A978" t="s">
        <v>2278</v>
      </c>
      <c r="B978" t="s">
        <v>1866</v>
      </c>
      <c r="C978" t="s">
        <v>1867</v>
      </c>
      <c r="D978">
        <v>1</v>
      </c>
      <c r="E978" t="s">
        <v>1447</v>
      </c>
      <c r="F978" t="s">
        <v>1869</v>
      </c>
      <c r="G978" t="s">
        <v>1741</v>
      </c>
      <c r="H978" t="s">
        <v>2373</v>
      </c>
      <c r="I978" t="s">
        <v>2277</v>
      </c>
      <c r="J978" t="s">
        <v>2277</v>
      </c>
      <c r="K978" t="s">
        <v>2277</v>
      </c>
      <c r="L978" t="s">
        <v>2277</v>
      </c>
      <c r="M978" t="s">
        <v>2277</v>
      </c>
      <c r="N978" t="s">
        <v>2277</v>
      </c>
      <c r="O978" s="190" t="str">
        <f t="shared" si="15"/>
        <v>[S05_CategoryCHighestTierNotApplied][1][SourceStreamAffected]</v>
      </c>
    </row>
    <row r="979" spans="1:15" x14ac:dyDescent="0.3">
      <c r="A979" t="s">
        <v>2278</v>
      </c>
      <c r="B979" t="s">
        <v>1866</v>
      </c>
      <c r="C979" t="s">
        <v>1867</v>
      </c>
      <c r="D979">
        <v>1</v>
      </c>
      <c r="E979" t="s">
        <v>1447</v>
      </c>
      <c r="F979" t="s">
        <v>1871</v>
      </c>
      <c r="G979" t="s">
        <v>1737</v>
      </c>
      <c r="H979" t="s">
        <v>2277</v>
      </c>
      <c r="I979" t="s">
        <v>2277</v>
      </c>
      <c r="J979" t="s">
        <v>2277</v>
      </c>
      <c r="K979" t="s">
        <v>2277</v>
      </c>
      <c r="L979" t="s">
        <v>1552</v>
      </c>
      <c r="M979" t="s">
        <v>2277</v>
      </c>
      <c r="N979" t="s">
        <v>2277</v>
      </c>
      <c r="O979" s="190" t="str">
        <f t="shared" si="15"/>
        <v>[S05_CategoryCHighestTierNotApplied][1][MonitoringParameterAffected]</v>
      </c>
    </row>
    <row r="980" spans="1:15" x14ac:dyDescent="0.3">
      <c r="A980" t="s">
        <v>2278</v>
      </c>
      <c r="B980" t="s">
        <v>1866</v>
      </c>
      <c r="C980" t="s">
        <v>1867</v>
      </c>
      <c r="D980">
        <v>1</v>
      </c>
      <c r="E980" t="s">
        <v>1447</v>
      </c>
      <c r="F980" t="s">
        <v>1872</v>
      </c>
      <c r="G980" t="s">
        <v>1737</v>
      </c>
      <c r="H980" t="s">
        <v>2277</v>
      </c>
      <c r="I980" t="s">
        <v>2277</v>
      </c>
      <c r="J980" t="s">
        <v>2277</v>
      </c>
      <c r="K980" t="s">
        <v>2277</v>
      </c>
      <c r="L980" t="s">
        <v>1534</v>
      </c>
      <c r="M980" t="s">
        <v>2277</v>
      </c>
      <c r="N980" t="s">
        <v>2277</v>
      </c>
      <c r="O980" s="190" t="str">
        <f t="shared" si="15"/>
        <v>[S05_CategoryCHighestTierNotApplied][1][HighestTierRequired]</v>
      </c>
    </row>
    <row r="981" spans="1:15" x14ac:dyDescent="0.3">
      <c r="A981" t="s">
        <v>2278</v>
      </c>
      <c r="B981" t="s">
        <v>1866</v>
      </c>
      <c r="C981" t="s">
        <v>1867</v>
      </c>
      <c r="D981">
        <v>1</v>
      </c>
      <c r="E981" t="s">
        <v>1447</v>
      </c>
      <c r="F981" t="s">
        <v>1873</v>
      </c>
      <c r="G981" t="s">
        <v>1737</v>
      </c>
      <c r="H981" t="s">
        <v>2277</v>
      </c>
      <c r="I981" t="s">
        <v>2277</v>
      </c>
      <c r="J981" t="s">
        <v>2277</v>
      </c>
      <c r="K981" t="s">
        <v>2277</v>
      </c>
      <c r="L981" t="s">
        <v>1457</v>
      </c>
      <c r="M981" t="s">
        <v>2277</v>
      </c>
      <c r="N981" t="s">
        <v>2277</v>
      </c>
      <c r="O981" s="190" t="str">
        <f t="shared" si="15"/>
        <v>[S05_CategoryCHighestTierNotApplied][1][TierInPractice]</v>
      </c>
    </row>
    <row r="982" spans="1:15" x14ac:dyDescent="0.3">
      <c r="A982" t="s">
        <v>2278</v>
      </c>
      <c r="B982" t="s">
        <v>1874</v>
      </c>
      <c r="C982" t="s">
        <v>1875</v>
      </c>
      <c r="D982">
        <v>1</v>
      </c>
      <c r="E982" t="s">
        <v>1447</v>
      </c>
      <c r="F982" t="s">
        <v>1876</v>
      </c>
      <c r="G982" t="s">
        <v>1737</v>
      </c>
      <c r="H982" t="s">
        <v>2277</v>
      </c>
      <c r="I982" t="s">
        <v>2277</v>
      </c>
      <c r="J982" t="s">
        <v>2277</v>
      </c>
      <c r="K982" t="s">
        <v>2277</v>
      </c>
      <c r="L982" t="s">
        <v>1430</v>
      </c>
      <c r="M982" t="s">
        <v>2277</v>
      </c>
      <c r="N982" t="s">
        <v>2277</v>
      </c>
      <c r="O982" s="190" t="str">
        <f t="shared" si="15"/>
        <v>[S05_CategoryBHighestTierNotApplied][1][MonitoringMethodology]</v>
      </c>
    </row>
    <row r="983" spans="1:15" x14ac:dyDescent="0.3">
      <c r="A983" t="s">
        <v>2278</v>
      </c>
      <c r="B983" t="s">
        <v>1874</v>
      </c>
      <c r="C983" t="s">
        <v>1875</v>
      </c>
      <c r="D983">
        <v>2</v>
      </c>
      <c r="E983" t="s">
        <v>1447</v>
      </c>
      <c r="F983" t="s">
        <v>1876</v>
      </c>
      <c r="G983" t="s">
        <v>1737</v>
      </c>
      <c r="H983" t="s">
        <v>2277</v>
      </c>
      <c r="I983" t="s">
        <v>2277</v>
      </c>
      <c r="J983" t="s">
        <v>2277</v>
      </c>
      <c r="K983" t="s">
        <v>2277</v>
      </c>
      <c r="L983" t="s">
        <v>1430</v>
      </c>
      <c r="M983" t="s">
        <v>2277</v>
      </c>
      <c r="N983" t="s">
        <v>2277</v>
      </c>
      <c r="O983" s="190" t="str">
        <f t="shared" si="15"/>
        <v>[S05_CategoryBHighestTierNotApplied][2][MonitoringMethodology]</v>
      </c>
    </row>
    <row r="984" spans="1:15" x14ac:dyDescent="0.3">
      <c r="A984" t="s">
        <v>2278</v>
      </c>
      <c r="B984" t="s">
        <v>1874</v>
      </c>
      <c r="C984" t="s">
        <v>1875</v>
      </c>
      <c r="D984">
        <v>3</v>
      </c>
      <c r="E984" t="s">
        <v>1447</v>
      </c>
      <c r="F984" t="s">
        <v>1876</v>
      </c>
      <c r="G984" t="s">
        <v>1737</v>
      </c>
      <c r="H984" t="s">
        <v>2277</v>
      </c>
      <c r="I984" t="s">
        <v>2277</v>
      </c>
      <c r="J984" t="s">
        <v>2277</v>
      </c>
      <c r="K984" t="s">
        <v>2277</v>
      </c>
      <c r="L984" t="s">
        <v>1430</v>
      </c>
      <c r="M984" t="s">
        <v>2277</v>
      </c>
      <c r="N984" t="s">
        <v>2277</v>
      </c>
      <c r="O984" s="190" t="str">
        <f t="shared" si="15"/>
        <v>[S05_CategoryBHighestTierNotApplied][3][MonitoringMethodology]</v>
      </c>
    </row>
    <row r="985" spans="1:15" x14ac:dyDescent="0.3">
      <c r="A985" t="s">
        <v>2278</v>
      </c>
      <c r="B985" t="s">
        <v>1874</v>
      </c>
      <c r="C985" t="s">
        <v>1875</v>
      </c>
      <c r="D985">
        <v>4</v>
      </c>
      <c r="E985" t="s">
        <v>1447</v>
      </c>
      <c r="F985" t="s">
        <v>1876</v>
      </c>
      <c r="G985" t="s">
        <v>1737</v>
      </c>
      <c r="H985" t="s">
        <v>2277</v>
      </c>
      <c r="I985" t="s">
        <v>2277</v>
      </c>
      <c r="J985" t="s">
        <v>2277</v>
      </c>
      <c r="K985" t="s">
        <v>2277</v>
      </c>
      <c r="L985" t="s">
        <v>1430</v>
      </c>
      <c r="M985" t="s">
        <v>2277</v>
      </c>
      <c r="N985" t="s">
        <v>2277</v>
      </c>
      <c r="O985" s="190" t="str">
        <f t="shared" si="15"/>
        <v>[S05_CategoryBHighestTierNotApplied][4][MonitoringMethodology]</v>
      </c>
    </row>
    <row r="986" spans="1:15" x14ac:dyDescent="0.3">
      <c r="A986" t="s">
        <v>2278</v>
      </c>
      <c r="B986" t="s">
        <v>1874</v>
      </c>
      <c r="C986" t="s">
        <v>1875</v>
      </c>
      <c r="D986">
        <v>5</v>
      </c>
      <c r="E986" t="s">
        <v>1447</v>
      </c>
      <c r="F986" t="s">
        <v>1876</v>
      </c>
      <c r="G986" t="s">
        <v>1737</v>
      </c>
      <c r="H986" t="s">
        <v>2277</v>
      </c>
      <c r="I986" t="s">
        <v>2277</v>
      </c>
      <c r="J986" t="s">
        <v>2277</v>
      </c>
      <c r="K986" t="s">
        <v>2277</v>
      </c>
      <c r="L986" t="s">
        <v>1430</v>
      </c>
      <c r="M986" t="s">
        <v>2277</v>
      </c>
      <c r="N986" t="s">
        <v>2277</v>
      </c>
      <c r="O986" s="190" t="str">
        <f t="shared" si="15"/>
        <v>[S05_CategoryBHighestTierNotApplied][5][MonitoringMethodology]</v>
      </c>
    </row>
    <row r="987" spans="1:15" x14ac:dyDescent="0.3">
      <c r="A987" t="s">
        <v>2278</v>
      </c>
      <c r="B987" t="s">
        <v>1874</v>
      </c>
      <c r="C987" t="s">
        <v>1875</v>
      </c>
      <c r="D987">
        <v>6</v>
      </c>
      <c r="E987" t="s">
        <v>1447</v>
      </c>
      <c r="F987" t="s">
        <v>1876</v>
      </c>
      <c r="G987" t="s">
        <v>1737</v>
      </c>
      <c r="H987" t="s">
        <v>2277</v>
      </c>
      <c r="I987" t="s">
        <v>2277</v>
      </c>
      <c r="J987" t="s">
        <v>2277</v>
      </c>
      <c r="K987" t="s">
        <v>2277</v>
      </c>
      <c r="L987" t="s">
        <v>1430</v>
      </c>
      <c r="M987" t="s">
        <v>2277</v>
      </c>
      <c r="N987" t="s">
        <v>2277</v>
      </c>
      <c r="O987" s="190" t="str">
        <f t="shared" si="15"/>
        <v>[S05_CategoryBHighestTierNotApplied][6][MonitoringMethodology]</v>
      </c>
    </row>
    <row r="988" spans="1:15" x14ac:dyDescent="0.3">
      <c r="A988" t="s">
        <v>2278</v>
      </c>
      <c r="B988" t="s">
        <v>1874</v>
      </c>
      <c r="C988" t="s">
        <v>1875</v>
      </c>
      <c r="D988">
        <v>1</v>
      </c>
      <c r="E988" t="s">
        <v>1447</v>
      </c>
      <c r="F988" t="s">
        <v>1877</v>
      </c>
      <c r="G988" t="s">
        <v>1737</v>
      </c>
      <c r="H988" t="s">
        <v>2277</v>
      </c>
      <c r="I988" t="s">
        <v>2277</v>
      </c>
      <c r="J988" t="s">
        <v>2277</v>
      </c>
      <c r="K988" t="s">
        <v>2277</v>
      </c>
      <c r="L988" t="s">
        <v>1420</v>
      </c>
      <c r="M988" t="s">
        <v>2277</v>
      </c>
      <c r="N988" t="s">
        <v>2277</v>
      </c>
      <c r="O988" s="190" t="str">
        <f t="shared" si="15"/>
        <v>[S05_CategoryBHighestTierNotApplied][1][CategoryBMainActivity]</v>
      </c>
    </row>
    <row r="989" spans="1:15" x14ac:dyDescent="0.3">
      <c r="A989" t="s">
        <v>2278</v>
      </c>
      <c r="B989" t="s">
        <v>1874</v>
      </c>
      <c r="C989" t="s">
        <v>1875</v>
      </c>
      <c r="D989">
        <v>2</v>
      </c>
      <c r="E989" t="s">
        <v>1447</v>
      </c>
      <c r="F989" t="s">
        <v>1877</v>
      </c>
      <c r="G989" t="s">
        <v>1737</v>
      </c>
      <c r="H989" t="s">
        <v>2277</v>
      </c>
      <c r="I989" t="s">
        <v>2277</v>
      </c>
      <c r="J989" t="s">
        <v>2277</v>
      </c>
      <c r="K989" t="s">
        <v>2277</v>
      </c>
      <c r="L989" t="s">
        <v>1478</v>
      </c>
      <c r="M989" t="s">
        <v>2277</v>
      </c>
      <c r="N989" t="s">
        <v>2277</v>
      </c>
      <c r="O989" s="190" t="str">
        <f t="shared" si="15"/>
        <v>[S05_CategoryBHighestTierNotApplied][2][CategoryBMainActivity]</v>
      </c>
    </row>
    <row r="990" spans="1:15" x14ac:dyDescent="0.3">
      <c r="A990" t="s">
        <v>2278</v>
      </c>
      <c r="B990" t="s">
        <v>1874</v>
      </c>
      <c r="C990" t="s">
        <v>1875</v>
      </c>
      <c r="D990">
        <v>3</v>
      </c>
      <c r="E990" t="s">
        <v>1447</v>
      </c>
      <c r="F990" t="s">
        <v>1877</v>
      </c>
      <c r="G990" t="s">
        <v>1737</v>
      </c>
      <c r="H990" t="s">
        <v>2277</v>
      </c>
      <c r="I990" t="s">
        <v>2277</v>
      </c>
      <c r="J990" t="s">
        <v>2277</v>
      </c>
      <c r="K990" t="s">
        <v>2277</v>
      </c>
      <c r="L990" t="s">
        <v>1568</v>
      </c>
      <c r="M990" t="s">
        <v>2277</v>
      </c>
      <c r="N990" t="s">
        <v>2277</v>
      </c>
      <c r="O990" s="190" t="str">
        <f t="shared" si="15"/>
        <v>[S05_CategoryBHighestTierNotApplied][3][CategoryBMainActivity]</v>
      </c>
    </row>
    <row r="991" spans="1:15" x14ac:dyDescent="0.3">
      <c r="A991" t="s">
        <v>2278</v>
      </c>
      <c r="B991" t="s">
        <v>1874</v>
      </c>
      <c r="C991" t="s">
        <v>1875</v>
      </c>
      <c r="D991">
        <v>4</v>
      </c>
      <c r="E991" t="s">
        <v>1447</v>
      </c>
      <c r="F991" t="s">
        <v>1877</v>
      </c>
      <c r="G991" t="s">
        <v>1737</v>
      </c>
      <c r="H991" t="s">
        <v>2277</v>
      </c>
      <c r="I991" t="s">
        <v>2277</v>
      </c>
      <c r="J991" t="s">
        <v>2277</v>
      </c>
      <c r="K991" t="s">
        <v>2277</v>
      </c>
      <c r="L991" t="s">
        <v>1573</v>
      </c>
      <c r="M991" t="s">
        <v>2277</v>
      </c>
      <c r="N991" t="s">
        <v>2277</v>
      </c>
      <c r="O991" s="190" t="str">
        <f t="shared" si="15"/>
        <v>[S05_CategoryBHighestTierNotApplied][4][CategoryBMainActivity]</v>
      </c>
    </row>
    <row r="992" spans="1:15" x14ac:dyDescent="0.3">
      <c r="A992" t="s">
        <v>2278</v>
      </c>
      <c r="B992" t="s">
        <v>1874</v>
      </c>
      <c r="C992" t="s">
        <v>1875</v>
      </c>
      <c r="D992">
        <v>5</v>
      </c>
      <c r="E992" t="s">
        <v>1447</v>
      </c>
      <c r="F992" t="s">
        <v>1877</v>
      </c>
      <c r="G992" t="s">
        <v>1737</v>
      </c>
      <c r="H992" t="s">
        <v>2277</v>
      </c>
      <c r="I992" t="s">
        <v>2277</v>
      </c>
      <c r="J992" t="s">
        <v>2277</v>
      </c>
      <c r="K992" t="s">
        <v>2277</v>
      </c>
      <c r="L992" t="s">
        <v>1518</v>
      </c>
      <c r="M992" t="s">
        <v>2277</v>
      </c>
      <c r="N992" t="s">
        <v>2277</v>
      </c>
      <c r="O992" s="190" t="str">
        <f t="shared" si="15"/>
        <v>[S05_CategoryBHighestTierNotApplied][5][CategoryBMainActivity]</v>
      </c>
    </row>
    <row r="993" spans="1:15" x14ac:dyDescent="0.3">
      <c r="A993" t="s">
        <v>2278</v>
      </c>
      <c r="B993" t="s">
        <v>1874</v>
      </c>
      <c r="C993" t="s">
        <v>1875</v>
      </c>
      <c r="D993">
        <v>6</v>
      </c>
      <c r="E993" t="s">
        <v>1447</v>
      </c>
      <c r="F993" t="s">
        <v>1877</v>
      </c>
      <c r="G993" t="s">
        <v>1737</v>
      </c>
      <c r="H993" t="s">
        <v>2277</v>
      </c>
      <c r="I993" t="s">
        <v>2277</v>
      </c>
      <c r="J993" t="s">
        <v>2277</v>
      </c>
      <c r="K993" t="s">
        <v>2277</v>
      </c>
      <c r="L993" t="s">
        <v>1557</v>
      </c>
      <c r="M993" t="s">
        <v>2277</v>
      </c>
      <c r="N993" t="s">
        <v>2277</v>
      </c>
      <c r="O993" s="190" t="str">
        <f t="shared" si="15"/>
        <v>[S05_CategoryBHighestTierNotApplied][6][CategoryBMainActivity]</v>
      </c>
    </row>
    <row r="994" spans="1:15" x14ac:dyDescent="0.3">
      <c r="A994" t="s">
        <v>2278</v>
      </c>
      <c r="B994" t="s">
        <v>1874</v>
      </c>
      <c r="C994" t="s">
        <v>1875</v>
      </c>
      <c r="D994">
        <v>1</v>
      </c>
      <c r="E994" t="s">
        <v>1447</v>
      </c>
      <c r="F994" t="s">
        <v>1878</v>
      </c>
      <c r="G994" t="s">
        <v>1748</v>
      </c>
      <c r="H994" t="s">
        <v>2277</v>
      </c>
      <c r="I994">
        <v>18</v>
      </c>
      <c r="J994" t="s">
        <v>2277</v>
      </c>
      <c r="K994" t="s">
        <v>2277</v>
      </c>
      <c r="L994" t="s">
        <v>2277</v>
      </c>
      <c r="M994" t="s">
        <v>2277</v>
      </c>
      <c r="N994" t="s">
        <v>2277</v>
      </c>
      <c r="O994" s="190" t="str">
        <f t="shared" si="15"/>
        <v>[S05_CategoryBHighestTierNotApplied][1][CategoryBInstallationsAffected]</v>
      </c>
    </row>
    <row r="995" spans="1:15" x14ac:dyDescent="0.3">
      <c r="A995" t="s">
        <v>2278</v>
      </c>
      <c r="B995" t="s">
        <v>1874</v>
      </c>
      <c r="C995" t="s">
        <v>1875</v>
      </c>
      <c r="D995">
        <v>2</v>
      </c>
      <c r="E995" t="s">
        <v>1447</v>
      </c>
      <c r="F995" t="s">
        <v>1878</v>
      </c>
      <c r="G995" t="s">
        <v>1748</v>
      </c>
      <c r="H995" t="s">
        <v>2277</v>
      </c>
      <c r="I995">
        <v>2</v>
      </c>
      <c r="J995" t="s">
        <v>2277</v>
      </c>
      <c r="K995" t="s">
        <v>2277</v>
      </c>
      <c r="L995" t="s">
        <v>2277</v>
      </c>
      <c r="M995" t="s">
        <v>2277</v>
      </c>
      <c r="N995" t="s">
        <v>2277</v>
      </c>
      <c r="O995" s="190" t="str">
        <f t="shared" si="15"/>
        <v>[S05_CategoryBHighestTierNotApplied][2][CategoryBInstallationsAffected]</v>
      </c>
    </row>
    <row r="996" spans="1:15" x14ac:dyDescent="0.3">
      <c r="A996" t="s">
        <v>2278</v>
      </c>
      <c r="B996" t="s">
        <v>1874</v>
      </c>
      <c r="C996" t="s">
        <v>1875</v>
      </c>
      <c r="D996">
        <v>3</v>
      </c>
      <c r="E996" t="s">
        <v>1447</v>
      </c>
      <c r="F996" t="s">
        <v>1878</v>
      </c>
      <c r="G996" t="s">
        <v>1748</v>
      </c>
      <c r="H996" t="s">
        <v>2277</v>
      </c>
      <c r="I996">
        <v>1</v>
      </c>
      <c r="J996" t="s">
        <v>2277</v>
      </c>
      <c r="K996" t="s">
        <v>2277</v>
      </c>
      <c r="L996" t="s">
        <v>2277</v>
      </c>
      <c r="M996" t="s">
        <v>2277</v>
      </c>
      <c r="N996" t="s">
        <v>2277</v>
      </c>
      <c r="O996" s="190" t="str">
        <f t="shared" si="15"/>
        <v>[S05_CategoryBHighestTierNotApplied][3][CategoryBInstallationsAffected]</v>
      </c>
    </row>
    <row r="997" spans="1:15" x14ac:dyDescent="0.3">
      <c r="A997" t="s">
        <v>2278</v>
      </c>
      <c r="B997" t="s">
        <v>1874</v>
      </c>
      <c r="C997" t="s">
        <v>1875</v>
      </c>
      <c r="D997">
        <v>4</v>
      </c>
      <c r="E997" t="s">
        <v>1447</v>
      </c>
      <c r="F997" t="s">
        <v>1878</v>
      </c>
      <c r="G997" t="s">
        <v>1748</v>
      </c>
      <c r="H997" t="s">
        <v>2277</v>
      </c>
      <c r="I997">
        <v>3</v>
      </c>
      <c r="J997" t="s">
        <v>2277</v>
      </c>
      <c r="K997" t="s">
        <v>2277</v>
      </c>
      <c r="L997" t="s">
        <v>2277</v>
      </c>
      <c r="M997" t="s">
        <v>2277</v>
      </c>
      <c r="N997" t="s">
        <v>2277</v>
      </c>
      <c r="O997" s="190" t="str">
        <f t="shared" si="15"/>
        <v>[S05_CategoryBHighestTierNotApplied][4][CategoryBInstallationsAffected]</v>
      </c>
    </row>
    <row r="998" spans="1:15" x14ac:dyDescent="0.3">
      <c r="A998" t="s">
        <v>2278</v>
      </c>
      <c r="B998" t="s">
        <v>1874</v>
      </c>
      <c r="C998" t="s">
        <v>1875</v>
      </c>
      <c r="D998">
        <v>5</v>
      </c>
      <c r="E998" t="s">
        <v>1447</v>
      </c>
      <c r="F998" t="s">
        <v>1878</v>
      </c>
      <c r="G998" t="s">
        <v>1748</v>
      </c>
      <c r="H998" t="s">
        <v>2277</v>
      </c>
      <c r="I998">
        <v>1</v>
      </c>
      <c r="J998" t="s">
        <v>2277</v>
      </c>
      <c r="K998" t="s">
        <v>2277</v>
      </c>
      <c r="L998" t="s">
        <v>2277</v>
      </c>
      <c r="M998" t="s">
        <v>2277</v>
      </c>
      <c r="N998" t="s">
        <v>2277</v>
      </c>
      <c r="O998" s="190" t="str">
        <f t="shared" si="15"/>
        <v>[S05_CategoryBHighestTierNotApplied][5][CategoryBInstallationsAffected]</v>
      </c>
    </row>
    <row r="999" spans="1:15" x14ac:dyDescent="0.3">
      <c r="A999" t="s">
        <v>2278</v>
      </c>
      <c r="B999" t="s">
        <v>1874</v>
      </c>
      <c r="C999" t="s">
        <v>1875</v>
      </c>
      <c r="D999">
        <v>6</v>
      </c>
      <c r="E999" t="s">
        <v>1447</v>
      </c>
      <c r="F999" t="s">
        <v>1878</v>
      </c>
      <c r="G999" t="s">
        <v>1748</v>
      </c>
      <c r="H999" t="s">
        <v>2277</v>
      </c>
      <c r="I999">
        <v>1</v>
      </c>
      <c r="J999" t="s">
        <v>2277</v>
      </c>
      <c r="K999" t="s">
        <v>2277</v>
      </c>
      <c r="L999" t="s">
        <v>2277</v>
      </c>
      <c r="M999" t="s">
        <v>2277</v>
      </c>
      <c r="N999" t="s">
        <v>2277</v>
      </c>
      <c r="O999" s="190" t="str">
        <f t="shared" si="15"/>
        <v>[S05_CategoryBHighestTierNotApplied][6][CategoryBInstallationsAffected]</v>
      </c>
    </row>
    <row r="1000" spans="1:15" x14ac:dyDescent="0.3">
      <c r="A1000" t="s">
        <v>2278</v>
      </c>
      <c r="B1000" t="s">
        <v>1879</v>
      </c>
      <c r="C1000" t="s">
        <v>1880</v>
      </c>
      <c r="D1000">
        <v>0</v>
      </c>
      <c r="E1000" t="s">
        <v>1447</v>
      </c>
      <c r="F1000" t="s">
        <v>1880</v>
      </c>
      <c r="G1000" t="s">
        <v>1759</v>
      </c>
      <c r="H1000" t="s">
        <v>2277</v>
      </c>
      <c r="I1000" t="s">
        <v>2277</v>
      </c>
      <c r="J1000" t="s">
        <v>2277</v>
      </c>
      <c r="K1000" t="s">
        <v>2277</v>
      </c>
      <c r="L1000" t="s">
        <v>1419</v>
      </c>
      <c r="M1000" t="s">
        <v>2277</v>
      </c>
      <c r="N1000" t="s">
        <v>2277</v>
      </c>
      <c r="O1000" s="190" t="str">
        <f t="shared" si="15"/>
        <v>[FallBackApproachApplied][0][FallBackApproachApplied]</v>
      </c>
    </row>
    <row r="1001" spans="1:15" x14ac:dyDescent="0.3">
      <c r="A1001" t="s">
        <v>2278</v>
      </c>
      <c r="B1001" t="s">
        <v>1879</v>
      </c>
      <c r="C1001" t="s">
        <v>1881</v>
      </c>
      <c r="D1001">
        <v>1</v>
      </c>
      <c r="E1001" t="s">
        <v>1447</v>
      </c>
      <c r="F1001" t="s">
        <v>1882</v>
      </c>
      <c r="G1001" t="s">
        <v>1741</v>
      </c>
      <c r="H1001" t="s">
        <v>2372</v>
      </c>
      <c r="I1001" t="s">
        <v>2277</v>
      </c>
      <c r="J1001" t="s">
        <v>2277</v>
      </c>
      <c r="K1001" t="s">
        <v>2277</v>
      </c>
      <c r="L1001" t="s">
        <v>2277</v>
      </c>
      <c r="M1001" t="s">
        <v>2277</v>
      </c>
      <c r="N1001" t="s">
        <v>2277</v>
      </c>
      <c r="O1001" s="190" t="str">
        <f t="shared" si="15"/>
        <v>[S05_FallBackApproachAppliedDetail][1][FallbackInstallationID]</v>
      </c>
    </row>
    <row r="1002" spans="1:15" x14ac:dyDescent="0.3">
      <c r="A1002" t="s">
        <v>2278</v>
      </c>
      <c r="B1002" t="s">
        <v>1879</v>
      </c>
      <c r="C1002" t="s">
        <v>1881</v>
      </c>
      <c r="D1002">
        <v>1</v>
      </c>
      <c r="E1002" t="s">
        <v>1447</v>
      </c>
      <c r="F1002" t="s">
        <v>1883</v>
      </c>
      <c r="G1002" t="s">
        <v>1737</v>
      </c>
      <c r="H1002" t="s">
        <v>2277</v>
      </c>
      <c r="I1002" t="s">
        <v>2277</v>
      </c>
      <c r="J1002" t="s">
        <v>2277</v>
      </c>
      <c r="K1002" t="s">
        <v>2277</v>
      </c>
      <c r="L1002" t="s">
        <v>1459</v>
      </c>
      <c r="M1002" t="s">
        <v>2277</v>
      </c>
      <c r="N1002" t="s">
        <v>2277</v>
      </c>
      <c r="O1002" s="190" t="str">
        <f t="shared" si="15"/>
        <v>[S05_FallBackApproachAppliedDetail][1][FallBackReason]</v>
      </c>
    </row>
    <row r="1003" spans="1:15" x14ac:dyDescent="0.3">
      <c r="A1003" t="s">
        <v>2278</v>
      </c>
      <c r="B1003" t="s">
        <v>1879</v>
      </c>
      <c r="C1003" t="s">
        <v>1881</v>
      </c>
      <c r="D1003">
        <v>1</v>
      </c>
      <c r="E1003" t="s">
        <v>1447</v>
      </c>
      <c r="F1003" t="s">
        <v>1884</v>
      </c>
      <c r="G1003" t="s">
        <v>1737</v>
      </c>
      <c r="H1003" t="s">
        <v>2277</v>
      </c>
      <c r="I1003" t="s">
        <v>2277</v>
      </c>
      <c r="J1003" t="s">
        <v>2277</v>
      </c>
      <c r="K1003" t="s">
        <v>2277</v>
      </c>
      <c r="L1003" t="s">
        <v>1456</v>
      </c>
      <c r="M1003" t="s">
        <v>2277</v>
      </c>
      <c r="N1003" t="s">
        <v>2277</v>
      </c>
      <c r="O1003" s="190" t="str">
        <f t="shared" si="15"/>
        <v>[S05_FallBackApproachAppliedDetail][1][ParameterNotTier1]</v>
      </c>
    </row>
    <row r="1004" spans="1:15" x14ac:dyDescent="0.3">
      <c r="A1004" t="s">
        <v>2278</v>
      </c>
      <c r="B1004" t="s">
        <v>1879</v>
      </c>
      <c r="C1004" t="s">
        <v>1881</v>
      </c>
      <c r="D1004">
        <v>1</v>
      </c>
      <c r="E1004" t="s">
        <v>1447</v>
      </c>
      <c r="F1004" t="s">
        <v>1885</v>
      </c>
      <c r="G1004" t="s">
        <v>1806</v>
      </c>
      <c r="H1004" t="s">
        <v>2277</v>
      </c>
      <c r="I1004" t="s">
        <v>2277</v>
      </c>
      <c r="J1004">
        <v>1596.8</v>
      </c>
      <c r="K1004" t="s">
        <v>2277</v>
      </c>
      <c r="L1004" t="s">
        <v>2277</v>
      </c>
      <c r="M1004" t="s">
        <v>2277</v>
      </c>
      <c r="N1004" t="s">
        <v>2277</v>
      </c>
      <c r="O1004" s="190" t="str">
        <f t="shared" si="15"/>
        <v>[S05_FallBackApproachAppliedDetail][1][ParameterEmissions]</v>
      </c>
    </row>
    <row r="1005" spans="1:15" x14ac:dyDescent="0.3">
      <c r="A1005" t="s">
        <v>2278</v>
      </c>
      <c r="B1005" t="s">
        <v>1886</v>
      </c>
      <c r="C1005" t="s">
        <v>1887</v>
      </c>
      <c r="D1005">
        <v>1</v>
      </c>
      <c r="E1005" t="s">
        <v>1447</v>
      </c>
      <c r="F1005" t="s">
        <v>1856</v>
      </c>
      <c r="G1005" t="s">
        <v>1737</v>
      </c>
      <c r="H1005" t="s">
        <v>2277</v>
      </c>
      <c r="I1005" t="s">
        <v>2277</v>
      </c>
      <c r="J1005" t="s">
        <v>2277</v>
      </c>
      <c r="K1005" t="s">
        <v>2277</v>
      </c>
      <c r="L1005" t="s">
        <v>1432</v>
      </c>
      <c r="M1005" t="s">
        <v>2277</v>
      </c>
      <c r="N1005" t="s">
        <v>2277</v>
      </c>
      <c r="O1005" s="190" t="str">
        <f t="shared" si="15"/>
        <v>[S05_ImprovementReportArt69][1][InstallationCategory]</v>
      </c>
    </row>
    <row r="1006" spans="1:15" x14ac:dyDescent="0.3">
      <c r="A1006" t="s">
        <v>2278</v>
      </c>
      <c r="B1006" t="s">
        <v>1886</v>
      </c>
      <c r="C1006" t="s">
        <v>1887</v>
      </c>
      <c r="D1006">
        <v>2</v>
      </c>
      <c r="E1006" t="s">
        <v>1447</v>
      </c>
      <c r="F1006" t="s">
        <v>1856</v>
      </c>
      <c r="G1006" t="s">
        <v>1737</v>
      </c>
      <c r="H1006" t="s">
        <v>2277</v>
      </c>
      <c r="I1006" t="s">
        <v>2277</v>
      </c>
      <c r="J1006" t="s">
        <v>2277</v>
      </c>
      <c r="K1006" t="s">
        <v>2277</v>
      </c>
      <c r="L1006" t="s">
        <v>1432</v>
      </c>
      <c r="M1006" t="s">
        <v>2277</v>
      </c>
      <c r="N1006" t="s">
        <v>2277</v>
      </c>
      <c r="O1006" s="190" t="str">
        <f t="shared" si="15"/>
        <v>[S05_ImprovementReportArt69][2][InstallationCategory]</v>
      </c>
    </row>
    <row r="1007" spans="1:15" x14ac:dyDescent="0.3">
      <c r="A1007" t="s">
        <v>2278</v>
      </c>
      <c r="B1007" t="s">
        <v>1886</v>
      </c>
      <c r="C1007" t="s">
        <v>1887</v>
      </c>
      <c r="D1007">
        <v>3</v>
      </c>
      <c r="E1007" t="s">
        <v>1447</v>
      </c>
      <c r="F1007" t="s">
        <v>1856</v>
      </c>
      <c r="G1007" t="s">
        <v>1737</v>
      </c>
      <c r="H1007" t="s">
        <v>2277</v>
      </c>
      <c r="I1007" t="s">
        <v>2277</v>
      </c>
      <c r="J1007" t="s">
        <v>2277</v>
      </c>
      <c r="K1007" t="s">
        <v>2277</v>
      </c>
      <c r="L1007" t="s">
        <v>1432</v>
      </c>
      <c r="M1007" t="s">
        <v>2277</v>
      </c>
      <c r="N1007" t="s">
        <v>2277</v>
      </c>
      <c r="O1007" s="190" t="str">
        <f t="shared" si="15"/>
        <v>[S05_ImprovementReportArt69][3][InstallationCategory]</v>
      </c>
    </row>
    <row r="1008" spans="1:15" x14ac:dyDescent="0.3">
      <c r="A1008" t="s">
        <v>2278</v>
      </c>
      <c r="B1008" t="s">
        <v>1886</v>
      </c>
      <c r="C1008" t="s">
        <v>1887</v>
      </c>
      <c r="D1008">
        <v>4</v>
      </c>
      <c r="E1008" t="s">
        <v>1447</v>
      </c>
      <c r="F1008" t="s">
        <v>1856</v>
      </c>
      <c r="G1008" t="s">
        <v>1737</v>
      </c>
      <c r="H1008" t="s">
        <v>2277</v>
      </c>
      <c r="I1008" t="s">
        <v>2277</v>
      </c>
      <c r="J1008" t="s">
        <v>2277</v>
      </c>
      <c r="K1008" t="s">
        <v>2277</v>
      </c>
      <c r="L1008" t="s">
        <v>1432</v>
      </c>
      <c r="M1008" t="s">
        <v>2277</v>
      </c>
      <c r="N1008" t="s">
        <v>2277</v>
      </c>
      <c r="O1008" s="190" t="str">
        <f t="shared" si="15"/>
        <v>[S05_ImprovementReportArt69][4][InstallationCategory]</v>
      </c>
    </row>
    <row r="1009" spans="1:15" x14ac:dyDescent="0.3">
      <c r="A1009" t="s">
        <v>2278</v>
      </c>
      <c r="B1009" t="s">
        <v>1886</v>
      </c>
      <c r="C1009" t="s">
        <v>1887</v>
      </c>
      <c r="D1009">
        <v>5</v>
      </c>
      <c r="E1009" t="s">
        <v>1447</v>
      </c>
      <c r="F1009" t="s">
        <v>1856</v>
      </c>
      <c r="G1009" t="s">
        <v>1737</v>
      </c>
      <c r="H1009" t="s">
        <v>2277</v>
      </c>
      <c r="I1009" t="s">
        <v>2277</v>
      </c>
      <c r="J1009" t="s">
        <v>2277</v>
      </c>
      <c r="K1009" t="s">
        <v>2277</v>
      </c>
      <c r="L1009" t="s">
        <v>1432</v>
      </c>
      <c r="M1009" t="s">
        <v>2277</v>
      </c>
      <c r="N1009" t="s">
        <v>2277</v>
      </c>
      <c r="O1009" s="190" t="str">
        <f t="shared" si="15"/>
        <v>[S05_ImprovementReportArt69][5][InstallationCategory]</v>
      </c>
    </row>
    <row r="1010" spans="1:15" x14ac:dyDescent="0.3">
      <c r="A1010" t="s">
        <v>2278</v>
      </c>
      <c r="B1010" t="s">
        <v>1886</v>
      </c>
      <c r="C1010" t="s">
        <v>1887</v>
      </c>
      <c r="D1010">
        <v>6</v>
      </c>
      <c r="E1010" t="s">
        <v>1447</v>
      </c>
      <c r="F1010" t="s">
        <v>1856</v>
      </c>
      <c r="G1010" t="s">
        <v>1737</v>
      </c>
      <c r="H1010" t="s">
        <v>2277</v>
      </c>
      <c r="I1010" t="s">
        <v>2277</v>
      </c>
      <c r="J1010" t="s">
        <v>2277</v>
      </c>
      <c r="K1010" t="s">
        <v>2277</v>
      </c>
      <c r="L1010" t="s">
        <v>1432</v>
      </c>
      <c r="M1010" t="s">
        <v>2277</v>
      </c>
      <c r="N1010" t="s">
        <v>2277</v>
      </c>
      <c r="O1010" s="190" t="str">
        <f t="shared" si="15"/>
        <v>[S05_ImprovementReportArt69][6][InstallationCategory]</v>
      </c>
    </row>
    <row r="1011" spans="1:15" x14ac:dyDescent="0.3">
      <c r="A1011" t="s">
        <v>2278</v>
      </c>
      <c r="B1011" t="s">
        <v>1886</v>
      </c>
      <c r="C1011" t="s">
        <v>1887</v>
      </c>
      <c r="D1011">
        <v>7</v>
      </c>
      <c r="E1011" t="s">
        <v>1447</v>
      </c>
      <c r="F1011" t="s">
        <v>1856</v>
      </c>
      <c r="G1011" t="s">
        <v>1737</v>
      </c>
      <c r="H1011" t="s">
        <v>2277</v>
      </c>
      <c r="I1011" t="s">
        <v>2277</v>
      </c>
      <c r="J1011" t="s">
        <v>2277</v>
      </c>
      <c r="K1011" t="s">
        <v>2277</v>
      </c>
      <c r="L1011" t="s">
        <v>1432</v>
      </c>
      <c r="M1011" t="s">
        <v>2277</v>
      </c>
      <c r="N1011" t="s">
        <v>2277</v>
      </c>
      <c r="O1011" s="190" t="str">
        <f t="shared" si="15"/>
        <v>[S05_ImprovementReportArt69][7][InstallationCategory]</v>
      </c>
    </row>
    <row r="1012" spans="1:15" x14ac:dyDescent="0.3">
      <c r="A1012" t="s">
        <v>2278</v>
      </c>
      <c r="B1012" t="s">
        <v>1886</v>
      </c>
      <c r="C1012" t="s">
        <v>1887</v>
      </c>
      <c r="D1012">
        <v>8</v>
      </c>
      <c r="E1012" t="s">
        <v>1447</v>
      </c>
      <c r="F1012" t="s">
        <v>1856</v>
      </c>
      <c r="G1012" t="s">
        <v>1737</v>
      </c>
      <c r="H1012" t="s">
        <v>2277</v>
      </c>
      <c r="I1012" t="s">
        <v>2277</v>
      </c>
      <c r="J1012" t="s">
        <v>2277</v>
      </c>
      <c r="K1012" t="s">
        <v>2277</v>
      </c>
      <c r="L1012" t="s">
        <v>1432</v>
      </c>
      <c r="M1012" t="s">
        <v>2277</v>
      </c>
      <c r="N1012" t="s">
        <v>2277</v>
      </c>
      <c r="O1012" s="190" t="str">
        <f t="shared" si="15"/>
        <v>[S05_ImprovementReportArt69][8][InstallationCategory]</v>
      </c>
    </row>
    <row r="1013" spans="1:15" x14ac:dyDescent="0.3">
      <c r="A1013" t="s">
        <v>2278</v>
      </c>
      <c r="B1013" t="s">
        <v>1886</v>
      </c>
      <c r="C1013" t="s">
        <v>1887</v>
      </c>
      <c r="D1013">
        <v>9</v>
      </c>
      <c r="E1013" t="s">
        <v>1447</v>
      </c>
      <c r="F1013" t="s">
        <v>1856</v>
      </c>
      <c r="G1013" t="s">
        <v>1737</v>
      </c>
      <c r="H1013" t="s">
        <v>2277</v>
      </c>
      <c r="I1013" t="s">
        <v>2277</v>
      </c>
      <c r="J1013" t="s">
        <v>2277</v>
      </c>
      <c r="K1013" t="s">
        <v>2277</v>
      </c>
      <c r="L1013" t="s">
        <v>1460</v>
      </c>
      <c r="M1013" t="s">
        <v>2277</v>
      </c>
      <c r="N1013" t="s">
        <v>2277</v>
      </c>
      <c r="O1013" s="190" t="str">
        <f t="shared" si="15"/>
        <v>[S05_ImprovementReportArt69][9][InstallationCategory]</v>
      </c>
    </row>
    <row r="1014" spans="1:15" x14ac:dyDescent="0.3">
      <c r="A1014" t="s">
        <v>2278</v>
      </c>
      <c r="B1014" t="s">
        <v>1886</v>
      </c>
      <c r="C1014" t="s">
        <v>1887</v>
      </c>
      <c r="D1014">
        <v>10</v>
      </c>
      <c r="E1014" t="s">
        <v>1447</v>
      </c>
      <c r="F1014" t="s">
        <v>1856</v>
      </c>
      <c r="G1014" t="s">
        <v>1737</v>
      </c>
      <c r="H1014" t="s">
        <v>2277</v>
      </c>
      <c r="I1014" t="s">
        <v>2277</v>
      </c>
      <c r="J1014" t="s">
        <v>2277</v>
      </c>
      <c r="K1014" t="s">
        <v>2277</v>
      </c>
      <c r="L1014" t="s">
        <v>1460</v>
      </c>
      <c r="M1014" t="s">
        <v>2277</v>
      </c>
      <c r="N1014" t="s">
        <v>2277</v>
      </c>
      <c r="O1014" s="190" t="str">
        <f t="shared" si="15"/>
        <v>[S05_ImprovementReportArt69][10][InstallationCategory]</v>
      </c>
    </row>
    <row r="1015" spans="1:15" x14ac:dyDescent="0.3">
      <c r="A1015" t="s">
        <v>2278</v>
      </c>
      <c r="B1015" t="s">
        <v>1886</v>
      </c>
      <c r="C1015" t="s">
        <v>1887</v>
      </c>
      <c r="D1015">
        <v>11</v>
      </c>
      <c r="E1015" t="s">
        <v>1447</v>
      </c>
      <c r="F1015" t="s">
        <v>1856</v>
      </c>
      <c r="G1015" t="s">
        <v>1737</v>
      </c>
      <c r="H1015" t="s">
        <v>2277</v>
      </c>
      <c r="I1015" t="s">
        <v>2277</v>
      </c>
      <c r="J1015" t="s">
        <v>2277</v>
      </c>
      <c r="K1015" t="s">
        <v>2277</v>
      </c>
      <c r="L1015" t="s">
        <v>1460</v>
      </c>
      <c r="M1015" t="s">
        <v>2277</v>
      </c>
      <c r="N1015" t="s">
        <v>2277</v>
      </c>
      <c r="O1015" s="190" t="str">
        <f t="shared" si="15"/>
        <v>[S05_ImprovementReportArt69][11][InstallationCategory]</v>
      </c>
    </row>
    <row r="1016" spans="1:15" x14ac:dyDescent="0.3">
      <c r="A1016" t="s">
        <v>2278</v>
      </c>
      <c r="B1016" t="s">
        <v>1886</v>
      </c>
      <c r="C1016" t="s">
        <v>1887</v>
      </c>
      <c r="D1016">
        <v>12</v>
      </c>
      <c r="E1016" t="s">
        <v>1447</v>
      </c>
      <c r="F1016" t="s">
        <v>1856</v>
      </c>
      <c r="G1016" t="s">
        <v>1737</v>
      </c>
      <c r="H1016" t="s">
        <v>2277</v>
      </c>
      <c r="I1016" t="s">
        <v>2277</v>
      </c>
      <c r="J1016" t="s">
        <v>2277</v>
      </c>
      <c r="K1016" t="s">
        <v>2277</v>
      </c>
      <c r="L1016" t="s">
        <v>1460</v>
      </c>
      <c r="M1016" t="s">
        <v>2277</v>
      </c>
      <c r="N1016" t="s">
        <v>2277</v>
      </c>
      <c r="O1016" s="190" t="str">
        <f t="shared" si="15"/>
        <v>[S05_ImprovementReportArt69][12][InstallationCategory]</v>
      </c>
    </row>
    <row r="1017" spans="1:15" x14ac:dyDescent="0.3">
      <c r="A1017" t="s">
        <v>2278</v>
      </c>
      <c r="B1017" t="s">
        <v>1886</v>
      </c>
      <c r="C1017" t="s">
        <v>1887</v>
      </c>
      <c r="D1017">
        <v>13</v>
      </c>
      <c r="E1017" t="s">
        <v>1447</v>
      </c>
      <c r="F1017" t="s">
        <v>1856</v>
      </c>
      <c r="G1017" t="s">
        <v>1737</v>
      </c>
      <c r="H1017" t="s">
        <v>2277</v>
      </c>
      <c r="I1017" t="s">
        <v>2277</v>
      </c>
      <c r="J1017" t="s">
        <v>2277</v>
      </c>
      <c r="K1017" t="s">
        <v>2277</v>
      </c>
      <c r="L1017" t="s">
        <v>1460</v>
      </c>
      <c r="M1017" t="s">
        <v>2277</v>
      </c>
      <c r="N1017" t="s">
        <v>2277</v>
      </c>
      <c r="O1017" s="190" t="str">
        <f t="shared" si="15"/>
        <v>[S05_ImprovementReportArt69][13][InstallationCategory]</v>
      </c>
    </row>
    <row r="1018" spans="1:15" x14ac:dyDescent="0.3">
      <c r="A1018" t="s">
        <v>2278</v>
      </c>
      <c r="B1018" t="s">
        <v>1886</v>
      </c>
      <c r="C1018" t="s">
        <v>1887</v>
      </c>
      <c r="D1018">
        <v>14</v>
      </c>
      <c r="E1018" t="s">
        <v>1447</v>
      </c>
      <c r="F1018" t="s">
        <v>1856</v>
      </c>
      <c r="G1018" t="s">
        <v>1737</v>
      </c>
      <c r="H1018" t="s">
        <v>2277</v>
      </c>
      <c r="I1018" t="s">
        <v>2277</v>
      </c>
      <c r="J1018" t="s">
        <v>2277</v>
      </c>
      <c r="K1018" t="s">
        <v>2277</v>
      </c>
      <c r="L1018" t="s">
        <v>1460</v>
      </c>
      <c r="M1018" t="s">
        <v>2277</v>
      </c>
      <c r="N1018" t="s">
        <v>2277</v>
      </c>
      <c r="O1018" s="190" t="str">
        <f t="shared" si="15"/>
        <v>[S05_ImprovementReportArt69][14][InstallationCategory]</v>
      </c>
    </row>
    <row r="1019" spans="1:15" x14ac:dyDescent="0.3">
      <c r="A1019" t="s">
        <v>2278</v>
      </c>
      <c r="B1019" t="s">
        <v>1886</v>
      </c>
      <c r="C1019" t="s">
        <v>1887</v>
      </c>
      <c r="D1019">
        <v>15</v>
      </c>
      <c r="E1019" t="s">
        <v>1447</v>
      </c>
      <c r="F1019" t="s">
        <v>1856</v>
      </c>
      <c r="G1019" t="s">
        <v>1737</v>
      </c>
      <c r="H1019" t="s">
        <v>2277</v>
      </c>
      <c r="I1019" t="s">
        <v>2277</v>
      </c>
      <c r="J1019" t="s">
        <v>2277</v>
      </c>
      <c r="K1019" t="s">
        <v>2277</v>
      </c>
      <c r="L1019" t="s">
        <v>1460</v>
      </c>
      <c r="M1019" t="s">
        <v>2277</v>
      </c>
      <c r="N1019" t="s">
        <v>2277</v>
      </c>
      <c r="O1019" s="190" t="str">
        <f t="shared" si="15"/>
        <v>[S05_ImprovementReportArt69][15][InstallationCategory]</v>
      </c>
    </row>
    <row r="1020" spans="1:15" x14ac:dyDescent="0.3">
      <c r="A1020" t="s">
        <v>2278</v>
      </c>
      <c r="B1020" t="s">
        <v>1886</v>
      </c>
      <c r="C1020" t="s">
        <v>1887</v>
      </c>
      <c r="D1020">
        <v>16</v>
      </c>
      <c r="E1020" t="s">
        <v>1447</v>
      </c>
      <c r="F1020" t="s">
        <v>1856</v>
      </c>
      <c r="G1020" t="s">
        <v>1737</v>
      </c>
      <c r="H1020" t="s">
        <v>2277</v>
      </c>
      <c r="I1020" t="s">
        <v>2277</v>
      </c>
      <c r="J1020" t="s">
        <v>2277</v>
      </c>
      <c r="K1020" t="s">
        <v>2277</v>
      </c>
      <c r="L1020" t="s">
        <v>1460</v>
      </c>
      <c r="M1020" t="s">
        <v>2277</v>
      </c>
      <c r="N1020" t="s">
        <v>2277</v>
      </c>
      <c r="O1020" s="190" t="str">
        <f t="shared" si="15"/>
        <v>[S05_ImprovementReportArt69][16][InstallationCategory]</v>
      </c>
    </row>
    <row r="1021" spans="1:15" x14ac:dyDescent="0.3">
      <c r="A1021" t="s">
        <v>2278</v>
      </c>
      <c r="B1021" t="s">
        <v>1886</v>
      </c>
      <c r="C1021" t="s">
        <v>1887</v>
      </c>
      <c r="D1021">
        <v>17</v>
      </c>
      <c r="E1021" t="s">
        <v>1447</v>
      </c>
      <c r="F1021" t="s">
        <v>1856</v>
      </c>
      <c r="G1021" t="s">
        <v>1737</v>
      </c>
      <c r="H1021" t="s">
        <v>2277</v>
      </c>
      <c r="I1021" t="s">
        <v>2277</v>
      </c>
      <c r="J1021" t="s">
        <v>2277</v>
      </c>
      <c r="K1021" t="s">
        <v>2277</v>
      </c>
      <c r="L1021" t="s">
        <v>1460</v>
      </c>
      <c r="M1021" t="s">
        <v>2277</v>
      </c>
      <c r="N1021" t="s">
        <v>2277</v>
      </c>
      <c r="O1021" s="190" t="str">
        <f t="shared" si="15"/>
        <v>[S05_ImprovementReportArt69][17][InstallationCategory]</v>
      </c>
    </row>
    <row r="1022" spans="1:15" x14ac:dyDescent="0.3">
      <c r="A1022" t="s">
        <v>2278</v>
      </c>
      <c r="B1022" t="s">
        <v>1886</v>
      </c>
      <c r="C1022" t="s">
        <v>1887</v>
      </c>
      <c r="D1022">
        <v>18</v>
      </c>
      <c r="E1022" t="s">
        <v>1447</v>
      </c>
      <c r="F1022" t="s">
        <v>1856</v>
      </c>
      <c r="G1022" t="s">
        <v>1737</v>
      </c>
      <c r="H1022" t="s">
        <v>2277</v>
      </c>
      <c r="I1022" t="s">
        <v>2277</v>
      </c>
      <c r="J1022" t="s">
        <v>2277</v>
      </c>
      <c r="K1022" t="s">
        <v>2277</v>
      </c>
      <c r="L1022" t="s">
        <v>1460</v>
      </c>
      <c r="M1022" t="s">
        <v>2277</v>
      </c>
      <c r="N1022" t="s">
        <v>2277</v>
      </c>
      <c r="O1022" s="190" t="str">
        <f t="shared" si="15"/>
        <v>[S05_ImprovementReportArt69][18][InstallationCategory]</v>
      </c>
    </row>
    <row r="1023" spans="1:15" x14ac:dyDescent="0.3">
      <c r="A1023" t="s">
        <v>2278</v>
      </c>
      <c r="B1023" t="s">
        <v>1886</v>
      </c>
      <c r="C1023" t="s">
        <v>1887</v>
      </c>
      <c r="D1023">
        <v>19</v>
      </c>
      <c r="E1023" t="s">
        <v>1447</v>
      </c>
      <c r="F1023" t="s">
        <v>1856</v>
      </c>
      <c r="G1023" t="s">
        <v>1737</v>
      </c>
      <c r="H1023" t="s">
        <v>2277</v>
      </c>
      <c r="I1023" t="s">
        <v>2277</v>
      </c>
      <c r="J1023" t="s">
        <v>2277</v>
      </c>
      <c r="K1023" t="s">
        <v>2277</v>
      </c>
      <c r="L1023" t="s">
        <v>1460</v>
      </c>
      <c r="M1023" t="s">
        <v>2277</v>
      </c>
      <c r="N1023" t="s">
        <v>2277</v>
      </c>
      <c r="O1023" s="190" t="str">
        <f t="shared" si="15"/>
        <v>[S05_ImprovementReportArt69][19][InstallationCategory]</v>
      </c>
    </row>
    <row r="1024" spans="1:15" x14ac:dyDescent="0.3">
      <c r="A1024" t="s">
        <v>2278</v>
      </c>
      <c r="B1024" t="s">
        <v>1886</v>
      </c>
      <c r="C1024" t="s">
        <v>1887</v>
      </c>
      <c r="D1024">
        <v>20</v>
      </c>
      <c r="E1024" t="s">
        <v>1447</v>
      </c>
      <c r="F1024" t="s">
        <v>1856</v>
      </c>
      <c r="G1024" t="s">
        <v>1737</v>
      </c>
      <c r="H1024" t="s">
        <v>2277</v>
      </c>
      <c r="I1024" t="s">
        <v>2277</v>
      </c>
      <c r="J1024" t="s">
        <v>2277</v>
      </c>
      <c r="K1024" t="s">
        <v>2277</v>
      </c>
      <c r="L1024" t="s">
        <v>1460</v>
      </c>
      <c r="M1024" t="s">
        <v>2277</v>
      </c>
      <c r="N1024" t="s">
        <v>2277</v>
      </c>
      <c r="O1024" s="190" t="str">
        <f t="shared" si="15"/>
        <v>[S05_ImprovementReportArt69][20][InstallationCategory]</v>
      </c>
    </row>
    <row r="1025" spans="1:15" x14ac:dyDescent="0.3">
      <c r="A1025" t="s">
        <v>2278</v>
      </c>
      <c r="B1025" t="s">
        <v>1886</v>
      </c>
      <c r="C1025" t="s">
        <v>1887</v>
      </c>
      <c r="D1025">
        <v>21</v>
      </c>
      <c r="E1025" t="s">
        <v>1447</v>
      </c>
      <c r="F1025" t="s">
        <v>1856</v>
      </c>
      <c r="G1025" t="s">
        <v>1737</v>
      </c>
      <c r="H1025" t="s">
        <v>2277</v>
      </c>
      <c r="I1025" t="s">
        <v>2277</v>
      </c>
      <c r="J1025" t="s">
        <v>2277</v>
      </c>
      <c r="K1025" t="s">
        <v>2277</v>
      </c>
      <c r="L1025" t="s">
        <v>1460</v>
      </c>
      <c r="M1025" t="s">
        <v>2277</v>
      </c>
      <c r="N1025" t="s">
        <v>2277</v>
      </c>
      <c r="O1025" s="190" t="str">
        <f t="shared" si="15"/>
        <v>[S05_ImprovementReportArt69][21][InstallationCategory]</v>
      </c>
    </row>
    <row r="1026" spans="1:15" x14ac:dyDescent="0.3">
      <c r="A1026" t="s">
        <v>2278</v>
      </c>
      <c r="B1026" t="s">
        <v>1886</v>
      </c>
      <c r="C1026" t="s">
        <v>1887</v>
      </c>
      <c r="D1026">
        <v>22</v>
      </c>
      <c r="E1026" t="s">
        <v>1447</v>
      </c>
      <c r="F1026" t="s">
        <v>1856</v>
      </c>
      <c r="G1026" t="s">
        <v>1737</v>
      </c>
      <c r="H1026" t="s">
        <v>2277</v>
      </c>
      <c r="I1026" t="s">
        <v>2277</v>
      </c>
      <c r="J1026" t="s">
        <v>2277</v>
      </c>
      <c r="K1026" t="s">
        <v>2277</v>
      </c>
      <c r="L1026" t="s">
        <v>1460</v>
      </c>
      <c r="M1026" t="s">
        <v>2277</v>
      </c>
      <c r="N1026" t="s">
        <v>2277</v>
      </c>
      <c r="O1026" s="190" t="str">
        <f t="shared" ref="O1026:O1089" si="16">"["&amp;$C1026&amp;"]["&amp;$D1026&amp;"]["&amp;$F1026&amp;"]"</f>
        <v>[S05_ImprovementReportArt69][22][InstallationCategory]</v>
      </c>
    </row>
    <row r="1027" spans="1:15" x14ac:dyDescent="0.3">
      <c r="A1027" t="s">
        <v>2278</v>
      </c>
      <c r="B1027" t="s">
        <v>1886</v>
      </c>
      <c r="C1027" t="s">
        <v>1887</v>
      </c>
      <c r="D1027">
        <v>23</v>
      </c>
      <c r="E1027" t="s">
        <v>1447</v>
      </c>
      <c r="F1027" t="s">
        <v>1856</v>
      </c>
      <c r="G1027" t="s">
        <v>1737</v>
      </c>
      <c r="H1027" t="s">
        <v>2277</v>
      </c>
      <c r="I1027" t="s">
        <v>2277</v>
      </c>
      <c r="J1027" t="s">
        <v>2277</v>
      </c>
      <c r="K1027" t="s">
        <v>2277</v>
      </c>
      <c r="L1027" t="s">
        <v>1487</v>
      </c>
      <c r="M1027" t="s">
        <v>2277</v>
      </c>
      <c r="N1027" t="s">
        <v>2277</v>
      </c>
      <c r="O1027" s="190" t="str">
        <f t="shared" si="16"/>
        <v>[S05_ImprovementReportArt69][23][InstallationCategory]</v>
      </c>
    </row>
    <row r="1028" spans="1:15" x14ac:dyDescent="0.3">
      <c r="A1028" t="s">
        <v>2278</v>
      </c>
      <c r="B1028" t="s">
        <v>1886</v>
      </c>
      <c r="C1028" t="s">
        <v>1887</v>
      </c>
      <c r="D1028">
        <v>24</v>
      </c>
      <c r="E1028" t="s">
        <v>1447</v>
      </c>
      <c r="F1028" t="s">
        <v>1856</v>
      </c>
      <c r="G1028" t="s">
        <v>1737</v>
      </c>
      <c r="H1028" t="s">
        <v>2277</v>
      </c>
      <c r="I1028" t="s">
        <v>2277</v>
      </c>
      <c r="J1028" t="s">
        <v>2277</v>
      </c>
      <c r="K1028" t="s">
        <v>2277</v>
      </c>
      <c r="L1028" t="s">
        <v>1487</v>
      </c>
      <c r="M1028" t="s">
        <v>2277</v>
      </c>
      <c r="N1028" t="s">
        <v>2277</v>
      </c>
      <c r="O1028" s="190" t="str">
        <f t="shared" si="16"/>
        <v>[S05_ImprovementReportArt69][24][InstallationCategory]</v>
      </c>
    </row>
    <row r="1029" spans="1:15" x14ac:dyDescent="0.3">
      <c r="A1029" t="s">
        <v>2278</v>
      </c>
      <c r="B1029" t="s">
        <v>1886</v>
      </c>
      <c r="C1029" t="s">
        <v>1887</v>
      </c>
      <c r="D1029">
        <v>25</v>
      </c>
      <c r="E1029" t="s">
        <v>1447</v>
      </c>
      <c r="F1029" t="s">
        <v>1856</v>
      </c>
      <c r="G1029" t="s">
        <v>1737</v>
      </c>
      <c r="H1029" t="s">
        <v>2277</v>
      </c>
      <c r="I1029" t="s">
        <v>2277</v>
      </c>
      <c r="J1029" t="s">
        <v>2277</v>
      </c>
      <c r="K1029" t="s">
        <v>2277</v>
      </c>
      <c r="L1029" t="s">
        <v>1487</v>
      </c>
      <c r="M1029" t="s">
        <v>2277</v>
      </c>
      <c r="N1029" t="s">
        <v>2277</v>
      </c>
      <c r="O1029" s="190" t="str">
        <f t="shared" si="16"/>
        <v>[S05_ImprovementReportArt69][25][InstallationCategory]</v>
      </c>
    </row>
    <row r="1030" spans="1:15" x14ac:dyDescent="0.3">
      <c r="A1030" t="s">
        <v>2278</v>
      </c>
      <c r="B1030" t="s">
        <v>1886</v>
      </c>
      <c r="C1030" t="s">
        <v>1887</v>
      </c>
      <c r="D1030">
        <v>26</v>
      </c>
      <c r="E1030" t="s">
        <v>1447</v>
      </c>
      <c r="F1030" t="s">
        <v>1856</v>
      </c>
      <c r="G1030" t="s">
        <v>1737</v>
      </c>
      <c r="H1030" t="s">
        <v>2277</v>
      </c>
      <c r="I1030" t="s">
        <v>2277</v>
      </c>
      <c r="J1030" t="s">
        <v>2277</v>
      </c>
      <c r="K1030" t="s">
        <v>2277</v>
      </c>
      <c r="L1030" t="s">
        <v>1487</v>
      </c>
      <c r="M1030" t="s">
        <v>2277</v>
      </c>
      <c r="N1030" t="s">
        <v>2277</v>
      </c>
      <c r="O1030" s="190" t="str">
        <f t="shared" si="16"/>
        <v>[S05_ImprovementReportArt69][26][InstallationCategory]</v>
      </c>
    </row>
    <row r="1031" spans="1:15" x14ac:dyDescent="0.3">
      <c r="A1031" t="s">
        <v>2278</v>
      </c>
      <c r="B1031" t="s">
        <v>1886</v>
      </c>
      <c r="C1031" t="s">
        <v>1887</v>
      </c>
      <c r="D1031">
        <v>27</v>
      </c>
      <c r="E1031" t="s">
        <v>1447</v>
      </c>
      <c r="F1031" t="s">
        <v>1856</v>
      </c>
      <c r="G1031" t="s">
        <v>1737</v>
      </c>
      <c r="H1031" t="s">
        <v>2277</v>
      </c>
      <c r="I1031" t="s">
        <v>2277</v>
      </c>
      <c r="J1031" t="s">
        <v>2277</v>
      </c>
      <c r="K1031" t="s">
        <v>2277</v>
      </c>
      <c r="L1031" t="s">
        <v>1487</v>
      </c>
      <c r="M1031" t="s">
        <v>2277</v>
      </c>
      <c r="N1031" t="s">
        <v>2277</v>
      </c>
      <c r="O1031" s="190" t="str">
        <f t="shared" si="16"/>
        <v>[S05_ImprovementReportArt69][27][InstallationCategory]</v>
      </c>
    </row>
    <row r="1032" spans="1:15" x14ac:dyDescent="0.3">
      <c r="A1032" t="s">
        <v>2278</v>
      </c>
      <c r="B1032" t="s">
        <v>1886</v>
      </c>
      <c r="C1032" t="s">
        <v>1887</v>
      </c>
      <c r="D1032">
        <v>28</v>
      </c>
      <c r="E1032" t="s">
        <v>1447</v>
      </c>
      <c r="F1032" t="s">
        <v>1856</v>
      </c>
      <c r="G1032" t="s">
        <v>1737</v>
      </c>
      <c r="H1032" t="s">
        <v>2277</v>
      </c>
      <c r="I1032" t="s">
        <v>2277</v>
      </c>
      <c r="J1032" t="s">
        <v>2277</v>
      </c>
      <c r="K1032" t="s">
        <v>2277</v>
      </c>
      <c r="L1032" t="s">
        <v>1487</v>
      </c>
      <c r="M1032" t="s">
        <v>2277</v>
      </c>
      <c r="N1032" t="s">
        <v>2277</v>
      </c>
      <c r="O1032" s="190" t="str">
        <f t="shared" si="16"/>
        <v>[S05_ImprovementReportArt69][28][InstallationCategory]</v>
      </c>
    </row>
    <row r="1033" spans="1:15" x14ac:dyDescent="0.3">
      <c r="A1033" t="s">
        <v>2278</v>
      </c>
      <c r="B1033" t="s">
        <v>1886</v>
      </c>
      <c r="C1033" t="s">
        <v>1887</v>
      </c>
      <c r="D1033">
        <v>29</v>
      </c>
      <c r="E1033" t="s">
        <v>1447</v>
      </c>
      <c r="F1033" t="s">
        <v>1856</v>
      </c>
      <c r="G1033" t="s">
        <v>1737</v>
      </c>
      <c r="H1033" t="s">
        <v>2277</v>
      </c>
      <c r="I1033" t="s">
        <v>2277</v>
      </c>
      <c r="J1033" t="s">
        <v>2277</v>
      </c>
      <c r="K1033" t="s">
        <v>2277</v>
      </c>
      <c r="L1033" t="s">
        <v>1487</v>
      </c>
      <c r="M1033" t="s">
        <v>2277</v>
      </c>
      <c r="N1033" t="s">
        <v>2277</v>
      </c>
      <c r="O1033" s="190" t="str">
        <f t="shared" si="16"/>
        <v>[S05_ImprovementReportArt69][29][InstallationCategory]</v>
      </c>
    </row>
    <row r="1034" spans="1:15" x14ac:dyDescent="0.3">
      <c r="A1034" t="s">
        <v>2278</v>
      </c>
      <c r="B1034" t="s">
        <v>1886</v>
      </c>
      <c r="C1034" t="s">
        <v>1887</v>
      </c>
      <c r="D1034">
        <v>30</v>
      </c>
      <c r="E1034" t="s">
        <v>1447</v>
      </c>
      <c r="F1034" t="s">
        <v>1856</v>
      </c>
      <c r="G1034" t="s">
        <v>1737</v>
      </c>
      <c r="H1034" t="s">
        <v>2277</v>
      </c>
      <c r="I1034" t="s">
        <v>2277</v>
      </c>
      <c r="J1034" t="s">
        <v>2277</v>
      </c>
      <c r="K1034" t="s">
        <v>2277</v>
      </c>
      <c r="L1034" t="s">
        <v>1487</v>
      </c>
      <c r="M1034" t="s">
        <v>2277</v>
      </c>
      <c r="N1034" t="s">
        <v>2277</v>
      </c>
      <c r="O1034" s="190" t="str">
        <f t="shared" si="16"/>
        <v>[S05_ImprovementReportArt69][30][InstallationCategory]</v>
      </c>
    </row>
    <row r="1035" spans="1:15" x14ac:dyDescent="0.3">
      <c r="A1035" t="s">
        <v>2278</v>
      </c>
      <c r="B1035" t="s">
        <v>1886</v>
      </c>
      <c r="C1035" t="s">
        <v>1887</v>
      </c>
      <c r="D1035">
        <v>31</v>
      </c>
      <c r="E1035" t="s">
        <v>1447</v>
      </c>
      <c r="F1035" t="s">
        <v>1856</v>
      </c>
      <c r="G1035" t="s">
        <v>1737</v>
      </c>
      <c r="H1035" t="s">
        <v>2277</v>
      </c>
      <c r="I1035" t="s">
        <v>2277</v>
      </c>
      <c r="J1035" t="s">
        <v>2277</v>
      </c>
      <c r="K1035" t="s">
        <v>2277</v>
      </c>
      <c r="L1035" t="s">
        <v>1487</v>
      </c>
      <c r="M1035" t="s">
        <v>2277</v>
      </c>
      <c r="N1035" t="s">
        <v>2277</v>
      </c>
      <c r="O1035" s="190" t="str">
        <f t="shared" si="16"/>
        <v>[S05_ImprovementReportArt69][31][InstallationCategory]</v>
      </c>
    </row>
    <row r="1036" spans="1:15" x14ac:dyDescent="0.3">
      <c r="A1036" t="s">
        <v>2278</v>
      </c>
      <c r="B1036" t="s">
        <v>1886</v>
      </c>
      <c r="C1036" t="s">
        <v>1887</v>
      </c>
      <c r="D1036">
        <v>1</v>
      </c>
      <c r="E1036" t="s">
        <v>1447</v>
      </c>
      <c r="F1036" t="s">
        <v>1888</v>
      </c>
      <c r="G1036" t="s">
        <v>1737</v>
      </c>
      <c r="H1036" t="s">
        <v>2277</v>
      </c>
      <c r="I1036" t="s">
        <v>2277</v>
      </c>
      <c r="J1036" t="s">
        <v>2277</v>
      </c>
      <c r="K1036" t="s">
        <v>2277</v>
      </c>
      <c r="L1036" t="s">
        <v>1420</v>
      </c>
      <c r="M1036" t="s">
        <v>2277</v>
      </c>
      <c r="N1036" t="s">
        <v>2277</v>
      </c>
      <c r="O1036" s="190" t="str">
        <f t="shared" si="16"/>
        <v>[S05_ImprovementReportArt69][1][Annex1Activity]</v>
      </c>
    </row>
    <row r="1037" spans="1:15" x14ac:dyDescent="0.3">
      <c r="A1037" t="s">
        <v>2278</v>
      </c>
      <c r="B1037" t="s">
        <v>1886</v>
      </c>
      <c r="C1037" t="s">
        <v>1887</v>
      </c>
      <c r="D1037">
        <v>2</v>
      </c>
      <c r="E1037" t="s">
        <v>1447</v>
      </c>
      <c r="F1037" t="s">
        <v>1888</v>
      </c>
      <c r="G1037" t="s">
        <v>1737</v>
      </c>
      <c r="H1037" t="s">
        <v>2277</v>
      </c>
      <c r="I1037" t="s">
        <v>2277</v>
      </c>
      <c r="J1037" t="s">
        <v>2277</v>
      </c>
      <c r="K1037" t="s">
        <v>2277</v>
      </c>
      <c r="L1037" t="s">
        <v>1420</v>
      </c>
      <c r="M1037" t="s">
        <v>2277</v>
      </c>
      <c r="N1037" t="s">
        <v>2277</v>
      </c>
      <c r="O1037" s="190" t="str">
        <f t="shared" si="16"/>
        <v>[S05_ImprovementReportArt69][2][Annex1Activity]</v>
      </c>
    </row>
    <row r="1038" spans="1:15" x14ac:dyDescent="0.3">
      <c r="A1038" t="s">
        <v>2278</v>
      </c>
      <c r="B1038" t="s">
        <v>1886</v>
      </c>
      <c r="C1038" t="s">
        <v>1887</v>
      </c>
      <c r="D1038">
        <v>3</v>
      </c>
      <c r="E1038" t="s">
        <v>1447</v>
      </c>
      <c r="F1038" t="s">
        <v>1888</v>
      </c>
      <c r="G1038" t="s">
        <v>1737</v>
      </c>
      <c r="H1038" t="s">
        <v>2277</v>
      </c>
      <c r="I1038" t="s">
        <v>2277</v>
      </c>
      <c r="J1038" t="s">
        <v>2277</v>
      </c>
      <c r="K1038" t="s">
        <v>2277</v>
      </c>
      <c r="L1038" t="s">
        <v>1530</v>
      </c>
      <c r="M1038" t="s">
        <v>2277</v>
      </c>
      <c r="N1038" t="s">
        <v>2277</v>
      </c>
      <c r="O1038" s="190" t="str">
        <f t="shared" si="16"/>
        <v>[S05_ImprovementReportArt69][3][Annex1Activity]</v>
      </c>
    </row>
    <row r="1039" spans="1:15" x14ac:dyDescent="0.3">
      <c r="A1039" t="s">
        <v>2278</v>
      </c>
      <c r="B1039" t="s">
        <v>1886</v>
      </c>
      <c r="C1039" t="s">
        <v>1887</v>
      </c>
      <c r="D1039">
        <v>4</v>
      </c>
      <c r="E1039" t="s">
        <v>1447</v>
      </c>
      <c r="F1039" t="s">
        <v>1888</v>
      </c>
      <c r="G1039" t="s">
        <v>1737</v>
      </c>
      <c r="H1039" t="s">
        <v>2277</v>
      </c>
      <c r="I1039" t="s">
        <v>2277</v>
      </c>
      <c r="J1039" t="s">
        <v>2277</v>
      </c>
      <c r="K1039" t="s">
        <v>2277</v>
      </c>
      <c r="L1039" t="s">
        <v>1557</v>
      </c>
      <c r="M1039" t="s">
        <v>2277</v>
      </c>
      <c r="N1039" t="s">
        <v>2277</v>
      </c>
      <c r="O1039" s="190" t="str">
        <f t="shared" si="16"/>
        <v>[S05_ImprovementReportArt69][4][Annex1Activity]</v>
      </c>
    </row>
    <row r="1040" spans="1:15" x14ac:dyDescent="0.3">
      <c r="A1040" t="s">
        <v>2278</v>
      </c>
      <c r="B1040" t="s">
        <v>1886</v>
      </c>
      <c r="C1040" t="s">
        <v>1887</v>
      </c>
      <c r="D1040">
        <v>5</v>
      </c>
      <c r="E1040" t="s">
        <v>1447</v>
      </c>
      <c r="F1040" t="s">
        <v>1888</v>
      </c>
      <c r="G1040" t="s">
        <v>1737</v>
      </c>
      <c r="H1040" t="s">
        <v>2277</v>
      </c>
      <c r="I1040" t="s">
        <v>2277</v>
      </c>
      <c r="J1040" t="s">
        <v>2277</v>
      </c>
      <c r="K1040" t="s">
        <v>2277</v>
      </c>
      <c r="L1040" t="s">
        <v>1573</v>
      </c>
      <c r="M1040" t="s">
        <v>2277</v>
      </c>
      <c r="N1040" t="s">
        <v>2277</v>
      </c>
      <c r="O1040" s="190" t="str">
        <f t="shared" si="16"/>
        <v>[S05_ImprovementReportArt69][5][Annex1Activity]</v>
      </c>
    </row>
    <row r="1041" spans="1:15" x14ac:dyDescent="0.3">
      <c r="A1041" t="s">
        <v>2278</v>
      </c>
      <c r="B1041" t="s">
        <v>1886</v>
      </c>
      <c r="C1041" t="s">
        <v>1887</v>
      </c>
      <c r="D1041">
        <v>6</v>
      </c>
      <c r="E1041" t="s">
        <v>1447</v>
      </c>
      <c r="F1041" t="s">
        <v>1888</v>
      </c>
      <c r="G1041" t="s">
        <v>1737</v>
      </c>
      <c r="H1041" t="s">
        <v>2277</v>
      </c>
      <c r="I1041" t="s">
        <v>2277</v>
      </c>
      <c r="J1041" t="s">
        <v>2277</v>
      </c>
      <c r="K1041" t="s">
        <v>2277</v>
      </c>
      <c r="L1041" t="s">
        <v>1577</v>
      </c>
      <c r="M1041" t="s">
        <v>2277</v>
      </c>
      <c r="N1041" t="s">
        <v>2277</v>
      </c>
      <c r="O1041" s="190" t="str">
        <f t="shared" si="16"/>
        <v>[S05_ImprovementReportArt69][6][Annex1Activity]</v>
      </c>
    </row>
    <row r="1042" spans="1:15" x14ac:dyDescent="0.3">
      <c r="A1042" t="s">
        <v>2278</v>
      </c>
      <c r="B1042" t="s">
        <v>1886</v>
      </c>
      <c r="C1042" t="s">
        <v>1887</v>
      </c>
      <c r="D1042">
        <v>7</v>
      </c>
      <c r="E1042" t="s">
        <v>1447</v>
      </c>
      <c r="F1042" t="s">
        <v>1888</v>
      </c>
      <c r="G1042" t="s">
        <v>1737</v>
      </c>
      <c r="H1042" t="s">
        <v>2277</v>
      </c>
      <c r="I1042" t="s">
        <v>2277</v>
      </c>
      <c r="J1042" t="s">
        <v>2277</v>
      </c>
      <c r="K1042" t="s">
        <v>2277</v>
      </c>
      <c r="L1042" t="s">
        <v>1582</v>
      </c>
      <c r="M1042" t="s">
        <v>2277</v>
      </c>
      <c r="N1042" t="s">
        <v>2277</v>
      </c>
      <c r="O1042" s="190" t="str">
        <f t="shared" si="16"/>
        <v>[S05_ImprovementReportArt69][7][Annex1Activity]</v>
      </c>
    </row>
    <row r="1043" spans="1:15" x14ac:dyDescent="0.3">
      <c r="A1043" t="s">
        <v>2278</v>
      </c>
      <c r="B1043" t="s">
        <v>1886</v>
      </c>
      <c r="C1043" t="s">
        <v>1887</v>
      </c>
      <c r="D1043">
        <v>8</v>
      </c>
      <c r="E1043" t="s">
        <v>1447</v>
      </c>
      <c r="F1043" t="s">
        <v>1888</v>
      </c>
      <c r="G1043" t="s">
        <v>1737</v>
      </c>
      <c r="H1043" t="s">
        <v>2277</v>
      </c>
      <c r="I1043" t="s">
        <v>2277</v>
      </c>
      <c r="J1043" t="s">
        <v>2277</v>
      </c>
      <c r="K1043" t="s">
        <v>2277</v>
      </c>
      <c r="L1043" t="s">
        <v>1597</v>
      </c>
      <c r="M1043" t="s">
        <v>2277</v>
      </c>
      <c r="N1043" t="s">
        <v>2277</v>
      </c>
      <c r="O1043" s="190" t="str">
        <f t="shared" si="16"/>
        <v>[S05_ImprovementReportArt69][8][Annex1Activity]</v>
      </c>
    </row>
    <row r="1044" spans="1:15" x14ac:dyDescent="0.3">
      <c r="A1044" t="s">
        <v>2278</v>
      </c>
      <c r="B1044" t="s">
        <v>1886</v>
      </c>
      <c r="C1044" t="s">
        <v>1887</v>
      </c>
      <c r="D1044">
        <v>9</v>
      </c>
      <c r="E1044" t="s">
        <v>1447</v>
      </c>
      <c r="F1044" t="s">
        <v>1888</v>
      </c>
      <c r="G1044" t="s">
        <v>1737</v>
      </c>
      <c r="H1044" t="s">
        <v>2277</v>
      </c>
      <c r="I1044" t="s">
        <v>2277</v>
      </c>
      <c r="J1044" t="s">
        <v>2277</v>
      </c>
      <c r="K1044" t="s">
        <v>2277</v>
      </c>
      <c r="L1044" t="s">
        <v>1420</v>
      </c>
      <c r="M1044" t="s">
        <v>2277</v>
      </c>
      <c r="N1044" t="s">
        <v>2277</v>
      </c>
      <c r="O1044" s="190" t="str">
        <f t="shared" si="16"/>
        <v>[S05_ImprovementReportArt69][9][Annex1Activity]</v>
      </c>
    </row>
    <row r="1045" spans="1:15" x14ac:dyDescent="0.3">
      <c r="A1045" t="s">
        <v>2278</v>
      </c>
      <c r="B1045" t="s">
        <v>1886</v>
      </c>
      <c r="C1045" t="s">
        <v>1887</v>
      </c>
      <c r="D1045">
        <v>10</v>
      </c>
      <c r="E1045" t="s">
        <v>1447</v>
      </c>
      <c r="F1045" t="s">
        <v>1888</v>
      </c>
      <c r="G1045" t="s">
        <v>1737</v>
      </c>
      <c r="H1045" t="s">
        <v>2277</v>
      </c>
      <c r="I1045" t="s">
        <v>2277</v>
      </c>
      <c r="J1045" t="s">
        <v>2277</v>
      </c>
      <c r="K1045" t="s">
        <v>2277</v>
      </c>
      <c r="L1045" t="s">
        <v>1420</v>
      </c>
      <c r="M1045" t="s">
        <v>2277</v>
      </c>
      <c r="N1045" t="s">
        <v>2277</v>
      </c>
      <c r="O1045" s="190" t="str">
        <f t="shared" si="16"/>
        <v>[S05_ImprovementReportArt69][10][Annex1Activity]</v>
      </c>
    </row>
    <row r="1046" spans="1:15" x14ac:dyDescent="0.3">
      <c r="A1046" t="s">
        <v>2278</v>
      </c>
      <c r="B1046" t="s">
        <v>1886</v>
      </c>
      <c r="C1046" t="s">
        <v>1887</v>
      </c>
      <c r="D1046">
        <v>11</v>
      </c>
      <c r="E1046" t="s">
        <v>1447</v>
      </c>
      <c r="F1046" t="s">
        <v>1888</v>
      </c>
      <c r="G1046" t="s">
        <v>1737</v>
      </c>
      <c r="H1046" t="s">
        <v>2277</v>
      </c>
      <c r="I1046" t="s">
        <v>2277</v>
      </c>
      <c r="J1046" t="s">
        <v>2277</v>
      </c>
      <c r="K1046" t="s">
        <v>2277</v>
      </c>
      <c r="L1046" t="s">
        <v>1478</v>
      </c>
      <c r="M1046" t="s">
        <v>2277</v>
      </c>
      <c r="N1046" t="s">
        <v>2277</v>
      </c>
      <c r="O1046" s="190" t="str">
        <f t="shared" si="16"/>
        <v>[S05_ImprovementReportArt69][11][Annex1Activity]</v>
      </c>
    </row>
    <row r="1047" spans="1:15" x14ac:dyDescent="0.3">
      <c r="A1047" t="s">
        <v>2278</v>
      </c>
      <c r="B1047" t="s">
        <v>1886</v>
      </c>
      <c r="C1047" t="s">
        <v>1887</v>
      </c>
      <c r="D1047">
        <v>12</v>
      </c>
      <c r="E1047" t="s">
        <v>1447</v>
      </c>
      <c r="F1047" t="s">
        <v>1888</v>
      </c>
      <c r="G1047" t="s">
        <v>1737</v>
      </c>
      <c r="H1047" t="s">
        <v>2277</v>
      </c>
      <c r="I1047" t="s">
        <v>2277</v>
      </c>
      <c r="J1047" t="s">
        <v>2277</v>
      </c>
      <c r="K1047" t="s">
        <v>2277</v>
      </c>
      <c r="L1047" t="s">
        <v>1518</v>
      </c>
      <c r="M1047" t="s">
        <v>2277</v>
      </c>
      <c r="N1047" t="s">
        <v>2277</v>
      </c>
      <c r="O1047" s="190" t="str">
        <f t="shared" si="16"/>
        <v>[S05_ImprovementReportArt69][12][Annex1Activity]</v>
      </c>
    </row>
    <row r="1048" spans="1:15" x14ac:dyDescent="0.3">
      <c r="A1048" t="s">
        <v>2278</v>
      </c>
      <c r="B1048" t="s">
        <v>1886</v>
      </c>
      <c r="C1048" t="s">
        <v>1887</v>
      </c>
      <c r="D1048">
        <v>13</v>
      </c>
      <c r="E1048" t="s">
        <v>1447</v>
      </c>
      <c r="F1048" t="s">
        <v>1888</v>
      </c>
      <c r="G1048" t="s">
        <v>1737</v>
      </c>
      <c r="H1048" t="s">
        <v>2277</v>
      </c>
      <c r="I1048" t="s">
        <v>2277</v>
      </c>
      <c r="J1048" t="s">
        <v>2277</v>
      </c>
      <c r="K1048" t="s">
        <v>2277</v>
      </c>
      <c r="L1048" t="s">
        <v>1518</v>
      </c>
      <c r="M1048" t="s">
        <v>2277</v>
      </c>
      <c r="N1048" t="s">
        <v>2277</v>
      </c>
      <c r="O1048" s="190" t="str">
        <f t="shared" si="16"/>
        <v>[S05_ImprovementReportArt69][13][Annex1Activity]</v>
      </c>
    </row>
    <row r="1049" spans="1:15" x14ac:dyDescent="0.3">
      <c r="A1049" t="s">
        <v>2278</v>
      </c>
      <c r="B1049" t="s">
        <v>1886</v>
      </c>
      <c r="C1049" t="s">
        <v>1887</v>
      </c>
      <c r="D1049">
        <v>14</v>
      </c>
      <c r="E1049" t="s">
        <v>1447</v>
      </c>
      <c r="F1049" t="s">
        <v>1888</v>
      </c>
      <c r="G1049" t="s">
        <v>1737</v>
      </c>
      <c r="H1049" t="s">
        <v>2277</v>
      </c>
      <c r="I1049" t="s">
        <v>2277</v>
      </c>
      <c r="J1049" t="s">
        <v>2277</v>
      </c>
      <c r="K1049" t="s">
        <v>2277</v>
      </c>
      <c r="L1049" t="s">
        <v>1518</v>
      </c>
      <c r="M1049" t="s">
        <v>2277</v>
      </c>
      <c r="N1049" t="s">
        <v>2277</v>
      </c>
      <c r="O1049" s="190" t="str">
        <f t="shared" si="16"/>
        <v>[S05_ImprovementReportArt69][14][Annex1Activity]</v>
      </c>
    </row>
    <row r="1050" spans="1:15" x14ac:dyDescent="0.3">
      <c r="A1050" t="s">
        <v>2278</v>
      </c>
      <c r="B1050" t="s">
        <v>1886</v>
      </c>
      <c r="C1050" t="s">
        <v>1887</v>
      </c>
      <c r="D1050">
        <v>15</v>
      </c>
      <c r="E1050" t="s">
        <v>1447</v>
      </c>
      <c r="F1050" t="s">
        <v>1888</v>
      </c>
      <c r="G1050" t="s">
        <v>1737</v>
      </c>
      <c r="H1050" t="s">
        <v>2277</v>
      </c>
      <c r="I1050" t="s">
        <v>2277</v>
      </c>
      <c r="J1050" t="s">
        <v>2277</v>
      </c>
      <c r="K1050" t="s">
        <v>2277</v>
      </c>
      <c r="L1050" t="s">
        <v>1557</v>
      </c>
      <c r="M1050" t="s">
        <v>2277</v>
      </c>
      <c r="N1050" t="s">
        <v>2277</v>
      </c>
      <c r="O1050" s="190" t="str">
        <f t="shared" si="16"/>
        <v>[S05_ImprovementReportArt69][15][Annex1Activity]</v>
      </c>
    </row>
    <row r="1051" spans="1:15" x14ac:dyDescent="0.3">
      <c r="A1051" t="s">
        <v>2278</v>
      </c>
      <c r="B1051" t="s">
        <v>1886</v>
      </c>
      <c r="C1051" t="s">
        <v>1887</v>
      </c>
      <c r="D1051">
        <v>16</v>
      </c>
      <c r="E1051" t="s">
        <v>1447</v>
      </c>
      <c r="F1051" t="s">
        <v>1888</v>
      </c>
      <c r="G1051" t="s">
        <v>1737</v>
      </c>
      <c r="H1051" t="s">
        <v>2277</v>
      </c>
      <c r="I1051" t="s">
        <v>2277</v>
      </c>
      <c r="J1051" t="s">
        <v>2277</v>
      </c>
      <c r="K1051" t="s">
        <v>2277</v>
      </c>
      <c r="L1051" t="s">
        <v>1562</v>
      </c>
      <c r="M1051" t="s">
        <v>2277</v>
      </c>
      <c r="N1051" t="s">
        <v>2277</v>
      </c>
      <c r="O1051" s="190" t="str">
        <f t="shared" si="16"/>
        <v>[S05_ImprovementReportArt69][16][Annex1Activity]</v>
      </c>
    </row>
    <row r="1052" spans="1:15" x14ac:dyDescent="0.3">
      <c r="A1052" t="s">
        <v>2278</v>
      </c>
      <c r="B1052" t="s">
        <v>1886</v>
      </c>
      <c r="C1052" t="s">
        <v>1887</v>
      </c>
      <c r="D1052">
        <v>17</v>
      </c>
      <c r="E1052" t="s">
        <v>1447</v>
      </c>
      <c r="F1052" t="s">
        <v>1888</v>
      </c>
      <c r="G1052" t="s">
        <v>1737</v>
      </c>
      <c r="H1052" t="s">
        <v>2277</v>
      </c>
      <c r="I1052" t="s">
        <v>2277</v>
      </c>
      <c r="J1052" t="s">
        <v>2277</v>
      </c>
      <c r="K1052" t="s">
        <v>2277</v>
      </c>
      <c r="L1052" t="s">
        <v>1568</v>
      </c>
      <c r="M1052" t="s">
        <v>2277</v>
      </c>
      <c r="N1052" t="s">
        <v>2277</v>
      </c>
      <c r="O1052" s="190" t="str">
        <f t="shared" si="16"/>
        <v>[S05_ImprovementReportArt69][17][Annex1Activity]</v>
      </c>
    </row>
    <row r="1053" spans="1:15" x14ac:dyDescent="0.3">
      <c r="A1053" t="s">
        <v>2278</v>
      </c>
      <c r="B1053" t="s">
        <v>1886</v>
      </c>
      <c r="C1053" t="s">
        <v>1887</v>
      </c>
      <c r="D1053">
        <v>18</v>
      </c>
      <c r="E1053" t="s">
        <v>1447</v>
      </c>
      <c r="F1053" t="s">
        <v>1888</v>
      </c>
      <c r="G1053" t="s">
        <v>1737</v>
      </c>
      <c r="H1053" t="s">
        <v>2277</v>
      </c>
      <c r="I1053" t="s">
        <v>2277</v>
      </c>
      <c r="J1053" t="s">
        <v>2277</v>
      </c>
      <c r="K1053" t="s">
        <v>2277</v>
      </c>
      <c r="L1053" t="s">
        <v>1573</v>
      </c>
      <c r="M1053" t="s">
        <v>2277</v>
      </c>
      <c r="N1053" t="s">
        <v>2277</v>
      </c>
      <c r="O1053" s="190" t="str">
        <f t="shared" si="16"/>
        <v>[S05_ImprovementReportArt69][18][Annex1Activity]</v>
      </c>
    </row>
    <row r="1054" spans="1:15" x14ac:dyDescent="0.3">
      <c r="A1054" t="s">
        <v>2278</v>
      </c>
      <c r="B1054" t="s">
        <v>1886</v>
      </c>
      <c r="C1054" t="s">
        <v>1887</v>
      </c>
      <c r="D1054">
        <v>19</v>
      </c>
      <c r="E1054" t="s">
        <v>1447</v>
      </c>
      <c r="F1054" t="s">
        <v>1888</v>
      </c>
      <c r="G1054" t="s">
        <v>1737</v>
      </c>
      <c r="H1054" t="s">
        <v>2277</v>
      </c>
      <c r="I1054" t="s">
        <v>2277</v>
      </c>
      <c r="J1054" t="s">
        <v>2277</v>
      </c>
      <c r="K1054" t="s">
        <v>2277</v>
      </c>
      <c r="L1054" t="s">
        <v>1573</v>
      </c>
      <c r="M1054" t="s">
        <v>2277</v>
      </c>
      <c r="N1054" t="s">
        <v>2277</v>
      </c>
      <c r="O1054" s="190" t="str">
        <f t="shared" si="16"/>
        <v>[S05_ImprovementReportArt69][19][Annex1Activity]</v>
      </c>
    </row>
    <row r="1055" spans="1:15" x14ac:dyDescent="0.3">
      <c r="A1055" t="s">
        <v>2278</v>
      </c>
      <c r="B1055" t="s">
        <v>1886</v>
      </c>
      <c r="C1055" t="s">
        <v>1887</v>
      </c>
      <c r="D1055">
        <v>20</v>
      </c>
      <c r="E1055" t="s">
        <v>1447</v>
      </c>
      <c r="F1055" t="s">
        <v>1888</v>
      </c>
      <c r="G1055" t="s">
        <v>1737</v>
      </c>
      <c r="H1055" t="s">
        <v>2277</v>
      </c>
      <c r="I1055" t="s">
        <v>2277</v>
      </c>
      <c r="J1055" t="s">
        <v>2277</v>
      </c>
      <c r="K1055" t="s">
        <v>2277</v>
      </c>
      <c r="L1055" t="s">
        <v>1582</v>
      </c>
      <c r="M1055" t="s">
        <v>2277</v>
      </c>
      <c r="N1055" t="s">
        <v>2277</v>
      </c>
      <c r="O1055" s="190" t="str">
        <f t="shared" si="16"/>
        <v>[S05_ImprovementReportArt69][20][Annex1Activity]</v>
      </c>
    </row>
    <row r="1056" spans="1:15" x14ac:dyDescent="0.3">
      <c r="A1056" t="s">
        <v>2278</v>
      </c>
      <c r="B1056" t="s">
        <v>1886</v>
      </c>
      <c r="C1056" t="s">
        <v>1887</v>
      </c>
      <c r="D1056">
        <v>21</v>
      </c>
      <c r="E1056" t="s">
        <v>1447</v>
      </c>
      <c r="F1056" t="s">
        <v>1888</v>
      </c>
      <c r="G1056" t="s">
        <v>1737</v>
      </c>
      <c r="H1056" t="s">
        <v>2277</v>
      </c>
      <c r="I1056" t="s">
        <v>2277</v>
      </c>
      <c r="J1056" t="s">
        <v>2277</v>
      </c>
      <c r="K1056" t="s">
        <v>2277</v>
      </c>
      <c r="L1056" t="s">
        <v>1597</v>
      </c>
      <c r="M1056" t="s">
        <v>2277</v>
      </c>
      <c r="N1056" t="s">
        <v>2277</v>
      </c>
      <c r="O1056" s="190" t="str">
        <f t="shared" si="16"/>
        <v>[S05_ImprovementReportArt69][21][Annex1Activity]</v>
      </c>
    </row>
    <row r="1057" spans="1:15" x14ac:dyDescent="0.3">
      <c r="A1057" t="s">
        <v>2278</v>
      </c>
      <c r="B1057" t="s">
        <v>1886</v>
      </c>
      <c r="C1057" t="s">
        <v>1887</v>
      </c>
      <c r="D1057">
        <v>22</v>
      </c>
      <c r="E1057" t="s">
        <v>1447</v>
      </c>
      <c r="F1057" t="s">
        <v>1888</v>
      </c>
      <c r="G1057" t="s">
        <v>1737</v>
      </c>
      <c r="H1057" t="s">
        <v>2277</v>
      </c>
      <c r="I1057" t="s">
        <v>2277</v>
      </c>
      <c r="J1057" t="s">
        <v>2277</v>
      </c>
      <c r="K1057" t="s">
        <v>2277</v>
      </c>
      <c r="L1057" t="s">
        <v>1626</v>
      </c>
      <c r="M1057" t="s">
        <v>2277</v>
      </c>
      <c r="N1057" t="s">
        <v>2277</v>
      </c>
      <c r="O1057" s="190" t="str">
        <f t="shared" si="16"/>
        <v>[S05_ImprovementReportArt69][22][Annex1Activity]</v>
      </c>
    </row>
    <row r="1058" spans="1:15" x14ac:dyDescent="0.3">
      <c r="A1058" t="s">
        <v>2278</v>
      </c>
      <c r="B1058" t="s">
        <v>1886</v>
      </c>
      <c r="C1058" t="s">
        <v>1887</v>
      </c>
      <c r="D1058">
        <v>23</v>
      </c>
      <c r="E1058" t="s">
        <v>1447</v>
      </c>
      <c r="F1058" t="s">
        <v>1888</v>
      </c>
      <c r="G1058" t="s">
        <v>1737</v>
      </c>
      <c r="H1058" t="s">
        <v>2277</v>
      </c>
      <c r="I1058" t="s">
        <v>2277</v>
      </c>
      <c r="J1058" t="s">
        <v>2277</v>
      </c>
      <c r="K1058" t="s">
        <v>2277</v>
      </c>
      <c r="L1058" t="s">
        <v>1420</v>
      </c>
      <c r="M1058" t="s">
        <v>2277</v>
      </c>
      <c r="N1058" t="s">
        <v>2277</v>
      </c>
      <c r="O1058" s="190" t="str">
        <f t="shared" si="16"/>
        <v>[S05_ImprovementReportArt69][23][Annex1Activity]</v>
      </c>
    </row>
    <row r="1059" spans="1:15" x14ac:dyDescent="0.3">
      <c r="A1059" t="s">
        <v>2278</v>
      </c>
      <c r="B1059" t="s">
        <v>1886</v>
      </c>
      <c r="C1059" t="s">
        <v>1887</v>
      </c>
      <c r="D1059">
        <v>24</v>
      </c>
      <c r="E1059" t="s">
        <v>1447</v>
      </c>
      <c r="F1059" t="s">
        <v>1888</v>
      </c>
      <c r="G1059" t="s">
        <v>1737</v>
      </c>
      <c r="H1059" t="s">
        <v>2277</v>
      </c>
      <c r="I1059" t="s">
        <v>2277</v>
      </c>
      <c r="J1059" t="s">
        <v>2277</v>
      </c>
      <c r="K1059" t="s">
        <v>2277</v>
      </c>
      <c r="L1059" t="s">
        <v>1420</v>
      </c>
      <c r="M1059" t="s">
        <v>2277</v>
      </c>
      <c r="N1059" t="s">
        <v>2277</v>
      </c>
      <c r="O1059" s="190" t="str">
        <f t="shared" si="16"/>
        <v>[S05_ImprovementReportArt69][24][Annex1Activity]</v>
      </c>
    </row>
    <row r="1060" spans="1:15" x14ac:dyDescent="0.3">
      <c r="A1060" t="s">
        <v>2278</v>
      </c>
      <c r="B1060" t="s">
        <v>1886</v>
      </c>
      <c r="C1060" t="s">
        <v>1887</v>
      </c>
      <c r="D1060">
        <v>25</v>
      </c>
      <c r="E1060" t="s">
        <v>1447</v>
      </c>
      <c r="F1060" t="s">
        <v>1888</v>
      </c>
      <c r="G1060" t="s">
        <v>1737</v>
      </c>
      <c r="H1060" t="s">
        <v>2277</v>
      </c>
      <c r="I1060" t="s">
        <v>2277</v>
      </c>
      <c r="J1060" t="s">
        <v>2277</v>
      </c>
      <c r="K1060" t="s">
        <v>2277</v>
      </c>
      <c r="L1060" t="s">
        <v>1448</v>
      </c>
      <c r="M1060" t="s">
        <v>2277</v>
      </c>
      <c r="N1060" t="s">
        <v>2277</v>
      </c>
      <c r="O1060" s="190" t="str">
        <f t="shared" si="16"/>
        <v>[S05_ImprovementReportArt69][25][Annex1Activity]</v>
      </c>
    </row>
    <row r="1061" spans="1:15" x14ac:dyDescent="0.3">
      <c r="A1061" t="s">
        <v>2278</v>
      </c>
      <c r="B1061" t="s">
        <v>1886</v>
      </c>
      <c r="C1061" t="s">
        <v>1887</v>
      </c>
      <c r="D1061">
        <v>26</v>
      </c>
      <c r="E1061" t="s">
        <v>1447</v>
      </c>
      <c r="F1061" t="s">
        <v>1888</v>
      </c>
      <c r="G1061" t="s">
        <v>1737</v>
      </c>
      <c r="H1061" t="s">
        <v>2277</v>
      </c>
      <c r="I1061" t="s">
        <v>2277</v>
      </c>
      <c r="J1061" t="s">
        <v>2277</v>
      </c>
      <c r="K1061" t="s">
        <v>2277</v>
      </c>
      <c r="L1061" t="s">
        <v>1448</v>
      </c>
      <c r="M1061" t="s">
        <v>2277</v>
      </c>
      <c r="N1061" t="s">
        <v>2277</v>
      </c>
      <c r="O1061" s="190" t="str">
        <f t="shared" si="16"/>
        <v>[S05_ImprovementReportArt69][26][Annex1Activity]</v>
      </c>
    </row>
    <row r="1062" spans="1:15" x14ac:dyDescent="0.3">
      <c r="A1062" t="s">
        <v>2278</v>
      </c>
      <c r="B1062" t="s">
        <v>1886</v>
      </c>
      <c r="C1062" t="s">
        <v>1887</v>
      </c>
      <c r="D1062">
        <v>27</v>
      </c>
      <c r="E1062" t="s">
        <v>1447</v>
      </c>
      <c r="F1062" t="s">
        <v>1888</v>
      </c>
      <c r="G1062" t="s">
        <v>1737</v>
      </c>
      <c r="H1062" t="s">
        <v>2277</v>
      </c>
      <c r="I1062" t="s">
        <v>2277</v>
      </c>
      <c r="J1062" t="s">
        <v>2277</v>
      </c>
      <c r="K1062" t="s">
        <v>2277</v>
      </c>
      <c r="L1062" t="s">
        <v>1518</v>
      </c>
      <c r="M1062" t="s">
        <v>2277</v>
      </c>
      <c r="N1062" t="s">
        <v>2277</v>
      </c>
      <c r="O1062" s="190" t="str">
        <f t="shared" si="16"/>
        <v>[S05_ImprovementReportArt69][27][Annex1Activity]</v>
      </c>
    </row>
    <row r="1063" spans="1:15" x14ac:dyDescent="0.3">
      <c r="A1063" t="s">
        <v>2278</v>
      </c>
      <c r="B1063" t="s">
        <v>1886</v>
      </c>
      <c r="C1063" t="s">
        <v>1887</v>
      </c>
      <c r="D1063">
        <v>28</v>
      </c>
      <c r="E1063" t="s">
        <v>1447</v>
      </c>
      <c r="F1063" t="s">
        <v>1888</v>
      </c>
      <c r="G1063" t="s">
        <v>1737</v>
      </c>
      <c r="H1063" t="s">
        <v>2277</v>
      </c>
      <c r="I1063" t="s">
        <v>2277</v>
      </c>
      <c r="J1063" t="s">
        <v>2277</v>
      </c>
      <c r="K1063" t="s">
        <v>2277</v>
      </c>
      <c r="L1063" t="s">
        <v>1562</v>
      </c>
      <c r="M1063" t="s">
        <v>2277</v>
      </c>
      <c r="N1063" t="s">
        <v>2277</v>
      </c>
      <c r="O1063" s="190" t="str">
        <f t="shared" si="16"/>
        <v>[S05_ImprovementReportArt69][28][Annex1Activity]</v>
      </c>
    </row>
    <row r="1064" spans="1:15" x14ac:dyDescent="0.3">
      <c r="A1064" t="s">
        <v>2278</v>
      </c>
      <c r="B1064" t="s">
        <v>1886</v>
      </c>
      <c r="C1064" t="s">
        <v>1887</v>
      </c>
      <c r="D1064">
        <v>29</v>
      </c>
      <c r="E1064" t="s">
        <v>1447</v>
      </c>
      <c r="F1064" t="s">
        <v>1888</v>
      </c>
      <c r="G1064" t="s">
        <v>1737</v>
      </c>
      <c r="H1064" t="s">
        <v>2277</v>
      </c>
      <c r="I1064" t="s">
        <v>2277</v>
      </c>
      <c r="J1064" t="s">
        <v>2277</v>
      </c>
      <c r="K1064" t="s">
        <v>2277</v>
      </c>
      <c r="L1064" t="s">
        <v>1562</v>
      </c>
      <c r="M1064" t="s">
        <v>2277</v>
      </c>
      <c r="N1064" t="s">
        <v>2277</v>
      </c>
      <c r="O1064" s="190" t="str">
        <f t="shared" si="16"/>
        <v>[S05_ImprovementReportArt69][29][Annex1Activity]</v>
      </c>
    </row>
    <row r="1065" spans="1:15" x14ac:dyDescent="0.3">
      <c r="A1065" t="s">
        <v>2278</v>
      </c>
      <c r="B1065" t="s">
        <v>1886</v>
      </c>
      <c r="C1065" t="s">
        <v>1887</v>
      </c>
      <c r="D1065">
        <v>30</v>
      </c>
      <c r="E1065" t="s">
        <v>1447</v>
      </c>
      <c r="F1065" t="s">
        <v>1888</v>
      </c>
      <c r="G1065" t="s">
        <v>1737</v>
      </c>
      <c r="H1065" t="s">
        <v>2277</v>
      </c>
      <c r="I1065" t="s">
        <v>2277</v>
      </c>
      <c r="J1065" t="s">
        <v>2277</v>
      </c>
      <c r="K1065" t="s">
        <v>2277</v>
      </c>
      <c r="L1065" t="s">
        <v>1607</v>
      </c>
      <c r="M1065" t="s">
        <v>2277</v>
      </c>
      <c r="N1065" t="s">
        <v>2277</v>
      </c>
      <c r="O1065" s="190" t="str">
        <f t="shared" si="16"/>
        <v>[S05_ImprovementReportArt69][30][Annex1Activity]</v>
      </c>
    </row>
    <row r="1066" spans="1:15" x14ac:dyDescent="0.3">
      <c r="A1066" t="s">
        <v>2278</v>
      </c>
      <c r="B1066" t="s">
        <v>1886</v>
      </c>
      <c r="C1066" t="s">
        <v>1887</v>
      </c>
      <c r="D1066">
        <v>31</v>
      </c>
      <c r="E1066" t="s">
        <v>1447</v>
      </c>
      <c r="F1066" t="s">
        <v>1888</v>
      </c>
      <c r="G1066" t="s">
        <v>1737</v>
      </c>
      <c r="H1066" t="s">
        <v>2277</v>
      </c>
      <c r="I1066" t="s">
        <v>2277</v>
      </c>
      <c r="J1066" t="s">
        <v>2277</v>
      </c>
      <c r="K1066" t="s">
        <v>2277</v>
      </c>
      <c r="L1066" t="s">
        <v>1626</v>
      </c>
      <c r="M1066" t="s">
        <v>2277</v>
      </c>
      <c r="N1066" t="s">
        <v>2277</v>
      </c>
      <c r="O1066" s="190" t="str">
        <f t="shared" si="16"/>
        <v>[S05_ImprovementReportArt69][31][Annex1Activity]</v>
      </c>
    </row>
    <row r="1067" spans="1:15" x14ac:dyDescent="0.3">
      <c r="A1067" t="s">
        <v>2278</v>
      </c>
      <c r="B1067" t="s">
        <v>1886</v>
      </c>
      <c r="C1067" t="s">
        <v>1887</v>
      </c>
      <c r="D1067">
        <v>1</v>
      </c>
      <c r="E1067" t="s">
        <v>1447</v>
      </c>
      <c r="F1067" t="s">
        <v>1889</v>
      </c>
      <c r="G1067" t="s">
        <v>1737</v>
      </c>
      <c r="H1067" t="s">
        <v>2277</v>
      </c>
      <c r="I1067" t="s">
        <v>2277</v>
      </c>
      <c r="J1067" t="s">
        <v>2277</v>
      </c>
      <c r="K1067" t="s">
        <v>2277</v>
      </c>
      <c r="L1067" t="s">
        <v>1433</v>
      </c>
      <c r="M1067" t="s">
        <v>2277</v>
      </c>
      <c r="N1067" t="s">
        <v>2277</v>
      </c>
      <c r="O1067" s="190" t="str">
        <f t="shared" si="16"/>
        <v>[S05_ImprovementReportArt69][1][ImprovementReportType]</v>
      </c>
    </row>
    <row r="1068" spans="1:15" x14ac:dyDescent="0.3">
      <c r="A1068" t="s">
        <v>2278</v>
      </c>
      <c r="B1068" t="s">
        <v>1886</v>
      </c>
      <c r="C1068" t="s">
        <v>1887</v>
      </c>
      <c r="D1068">
        <v>2</v>
      </c>
      <c r="E1068" t="s">
        <v>1447</v>
      </c>
      <c r="F1068" t="s">
        <v>1889</v>
      </c>
      <c r="G1068" t="s">
        <v>1737</v>
      </c>
      <c r="H1068" t="s">
        <v>2277</v>
      </c>
      <c r="I1068" t="s">
        <v>2277</v>
      </c>
      <c r="J1068" t="s">
        <v>2277</v>
      </c>
      <c r="K1068" t="s">
        <v>2277</v>
      </c>
      <c r="L1068" t="s">
        <v>1488</v>
      </c>
      <c r="M1068" t="s">
        <v>2277</v>
      </c>
      <c r="N1068" t="s">
        <v>2277</v>
      </c>
      <c r="O1068" s="190" t="str">
        <f t="shared" si="16"/>
        <v>[S05_ImprovementReportArt69][2][ImprovementReportType]</v>
      </c>
    </row>
    <row r="1069" spans="1:15" x14ac:dyDescent="0.3">
      <c r="A1069" t="s">
        <v>2278</v>
      </c>
      <c r="B1069" t="s">
        <v>1886</v>
      </c>
      <c r="C1069" t="s">
        <v>1887</v>
      </c>
      <c r="D1069">
        <v>3</v>
      </c>
      <c r="E1069" t="s">
        <v>1447</v>
      </c>
      <c r="F1069" t="s">
        <v>1889</v>
      </c>
      <c r="G1069" t="s">
        <v>1737</v>
      </c>
      <c r="H1069" t="s">
        <v>2277</v>
      </c>
      <c r="I1069" t="s">
        <v>2277</v>
      </c>
      <c r="J1069" t="s">
        <v>2277</v>
      </c>
      <c r="K1069" t="s">
        <v>2277</v>
      </c>
      <c r="L1069" t="s">
        <v>1488</v>
      </c>
      <c r="M1069" t="s">
        <v>2277</v>
      </c>
      <c r="N1069" t="s">
        <v>2277</v>
      </c>
      <c r="O1069" s="190" t="str">
        <f t="shared" si="16"/>
        <v>[S05_ImprovementReportArt69][3][ImprovementReportType]</v>
      </c>
    </row>
    <row r="1070" spans="1:15" x14ac:dyDescent="0.3">
      <c r="A1070" t="s">
        <v>2278</v>
      </c>
      <c r="B1070" t="s">
        <v>1886</v>
      </c>
      <c r="C1070" t="s">
        <v>1887</v>
      </c>
      <c r="D1070">
        <v>4</v>
      </c>
      <c r="E1070" t="s">
        <v>1447</v>
      </c>
      <c r="F1070" t="s">
        <v>1889</v>
      </c>
      <c r="G1070" t="s">
        <v>1737</v>
      </c>
      <c r="H1070" t="s">
        <v>2277</v>
      </c>
      <c r="I1070" t="s">
        <v>2277</v>
      </c>
      <c r="J1070" t="s">
        <v>2277</v>
      </c>
      <c r="K1070" t="s">
        <v>2277</v>
      </c>
      <c r="L1070" t="s">
        <v>1488</v>
      </c>
      <c r="M1070" t="s">
        <v>2277</v>
      </c>
      <c r="N1070" t="s">
        <v>2277</v>
      </c>
      <c r="O1070" s="190" t="str">
        <f t="shared" si="16"/>
        <v>[S05_ImprovementReportArt69][4][ImprovementReportType]</v>
      </c>
    </row>
    <row r="1071" spans="1:15" x14ac:dyDescent="0.3">
      <c r="A1071" t="s">
        <v>2278</v>
      </c>
      <c r="B1071" t="s">
        <v>1886</v>
      </c>
      <c r="C1071" t="s">
        <v>1887</v>
      </c>
      <c r="D1071">
        <v>5</v>
      </c>
      <c r="E1071" t="s">
        <v>1447</v>
      </c>
      <c r="F1071" t="s">
        <v>1889</v>
      </c>
      <c r="G1071" t="s">
        <v>1737</v>
      </c>
      <c r="H1071" t="s">
        <v>2277</v>
      </c>
      <c r="I1071" t="s">
        <v>2277</v>
      </c>
      <c r="J1071" t="s">
        <v>2277</v>
      </c>
      <c r="K1071" t="s">
        <v>2277</v>
      </c>
      <c r="L1071" t="s">
        <v>1488</v>
      </c>
      <c r="M1071" t="s">
        <v>2277</v>
      </c>
      <c r="N1071" t="s">
        <v>2277</v>
      </c>
      <c r="O1071" s="190" t="str">
        <f t="shared" si="16"/>
        <v>[S05_ImprovementReportArt69][5][ImprovementReportType]</v>
      </c>
    </row>
    <row r="1072" spans="1:15" x14ac:dyDescent="0.3">
      <c r="A1072" t="s">
        <v>2278</v>
      </c>
      <c r="B1072" t="s">
        <v>1886</v>
      </c>
      <c r="C1072" t="s">
        <v>1887</v>
      </c>
      <c r="D1072">
        <v>6</v>
      </c>
      <c r="E1072" t="s">
        <v>1447</v>
      </c>
      <c r="F1072" t="s">
        <v>1889</v>
      </c>
      <c r="G1072" t="s">
        <v>1737</v>
      </c>
      <c r="H1072" t="s">
        <v>2277</v>
      </c>
      <c r="I1072" t="s">
        <v>2277</v>
      </c>
      <c r="J1072" t="s">
        <v>2277</v>
      </c>
      <c r="K1072" t="s">
        <v>2277</v>
      </c>
      <c r="L1072" t="s">
        <v>1488</v>
      </c>
      <c r="M1072" t="s">
        <v>2277</v>
      </c>
      <c r="N1072" t="s">
        <v>2277</v>
      </c>
      <c r="O1072" s="190" t="str">
        <f t="shared" si="16"/>
        <v>[S05_ImprovementReportArt69][6][ImprovementReportType]</v>
      </c>
    </row>
    <row r="1073" spans="1:15" x14ac:dyDescent="0.3">
      <c r="A1073" t="s">
        <v>2278</v>
      </c>
      <c r="B1073" t="s">
        <v>1886</v>
      </c>
      <c r="C1073" t="s">
        <v>1887</v>
      </c>
      <c r="D1073">
        <v>7</v>
      </c>
      <c r="E1073" t="s">
        <v>1447</v>
      </c>
      <c r="F1073" t="s">
        <v>1889</v>
      </c>
      <c r="G1073" t="s">
        <v>1737</v>
      </c>
      <c r="H1073" t="s">
        <v>2277</v>
      </c>
      <c r="I1073" t="s">
        <v>2277</v>
      </c>
      <c r="J1073" t="s">
        <v>2277</v>
      </c>
      <c r="K1073" t="s">
        <v>2277</v>
      </c>
      <c r="L1073" t="s">
        <v>1488</v>
      </c>
      <c r="M1073" t="s">
        <v>2277</v>
      </c>
      <c r="N1073" t="s">
        <v>2277</v>
      </c>
      <c r="O1073" s="190" t="str">
        <f t="shared" si="16"/>
        <v>[S05_ImprovementReportArt69][7][ImprovementReportType]</v>
      </c>
    </row>
    <row r="1074" spans="1:15" x14ac:dyDescent="0.3">
      <c r="A1074" t="s">
        <v>2278</v>
      </c>
      <c r="B1074" t="s">
        <v>1886</v>
      </c>
      <c r="C1074" t="s">
        <v>1887</v>
      </c>
      <c r="D1074">
        <v>8</v>
      </c>
      <c r="E1074" t="s">
        <v>1447</v>
      </c>
      <c r="F1074" t="s">
        <v>1889</v>
      </c>
      <c r="G1074" t="s">
        <v>1737</v>
      </c>
      <c r="H1074" t="s">
        <v>2277</v>
      </c>
      <c r="I1074" t="s">
        <v>2277</v>
      </c>
      <c r="J1074" t="s">
        <v>2277</v>
      </c>
      <c r="K1074" t="s">
        <v>2277</v>
      </c>
      <c r="L1074" t="s">
        <v>1488</v>
      </c>
      <c r="M1074" t="s">
        <v>2277</v>
      </c>
      <c r="N1074" t="s">
        <v>2277</v>
      </c>
      <c r="O1074" s="190" t="str">
        <f t="shared" si="16"/>
        <v>[S05_ImprovementReportArt69][8][ImprovementReportType]</v>
      </c>
    </row>
    <row r="1075" spans="1:15" x14ac:dyDescent="0.3">
      <c r="A1075" t="s">
        <v>2278</v>
      </c>
      <c r="B1075" t="s">
        <v>1886</v>
      </c>
      <c r="C1075" t="s">
        <v>1887</v>
      </c>
      <c r="D1075">
        <v>9</v>
      </c>
      <c r="E1075" t="s">
        <v>1447</v>
      </c>
      <c r="F1075" t="s">
        <v>1889</v>
      </c>
      <c r="G1075" t="s">
        <v>1737</v>
      </c>
      <c r="H1075" t="s">
        <v>2277</v>
      </c>
      <c r="I1075" t="s">
        <v>2277</v>
      </c>
      <c r="J1075" t="s">
        <v>2277</v>
      </c>
      <c r="K1075" t="s">
        <v>2277</v>
      </c>
      <c r="L1075" t="s">
        <v>1433</v>
      </c>
      <c r="M1075" t="s">
        <v>2277</v>
      </c>
      <c r="N1075" t="s">
        <v>2277</v>
      </c>
      <c r="O1075" s="190" t="str">
        <f t="shared" si="16"/>
        <v>[S05_ImprovementReportArt69][9][ImprovementReportType]</v>
      </c>
    </row>
    <row r="1076" spans="1:15" x14ac:dyDescent="0.3">
      <c r="A1076" t="s">
        <v>2278</v>
      </c>
      <c r="B1076" t="s">
        <v>1886</v>
      </c>
      <c r="C1076" t="s">
        <v>1887</v>
      </c>
      <c r="D1076">
        <v>10</v>
      </c>
      <c r="E1076" t="s">
        <v>1447</v>
      </c>
      <c r="F1076" t="s">
        <v>1889</v>
      </c>
      <c r="G1076" t="s">
        <v>1737</v>
      </c>
      <c r="H1076" t="s">
        <v>2277</v>
      </c>
      <c r="I1076" t="s">
        <v>2277</v>
      </c>
      <c r="J1076" t="s">
        <v>2277</v>
      </c>
      <c r="K1076" t="s">
        <v>2277</v>
      </c>
      <c r="L1076" t="s">
        <v>1488</v>
      </c>
      <c r="M1076" t="s">
        <v>2277</v>
      </c>
      <c r="N1076" t="s">
        <v>2277</v>
      </c>
      <c r="O1076" s="190" t="str">
        <f t="shared" si="16"/>
        <v>[S05_ImprovementReportArt69][10][ImprovementReportType]</v>
      </c>
    </row>
    <row r="1077" spans="1:15" x14ac:dyDescent="0.3">
      <c r="A1077" t="s">
        <v>2278</v>
      </c>
      <c r="B1077" t="s">
        <v>1886</v>
      </c>
      <c r="C1077" t="s">
        <v>1887</v>
      </c>
      <c r="D1077">
        <v>11</v>
      </c>
      <c r="E1077" t="s">
        <v>1447</v>
      </c>
      <c r="F1077" t="s">
        <v>1889</v>
      </c>
      <c r="G1077" t="s">
        <v>1737</v>
      </c>
      <c r="H1077" t="s">
        <v>2277</v>
      </c>
      <c r="I1077" t="s">
        <v>2277</v>
      </c>
      <c r="J1077" t="s">
        <v>2277</v>
      </c>
      <c r="K1077" t="s">
        <v>2277</v>
      </c>
      <c r="L1077" t="s">
        <v>1433</v>
      </c>
      <c r="M1077" t="s">
        <v>2277</v>
      </c>
      <c r="N1077" t="s">
        <v>2277</v>
      </c>
      <c r="O1077" s="190" t="str">
        <f t="shared" si="16"/>
        <v>[S05_ImprovementReportArt69][11][ImprovementReportType]</v>
      </c>
    </row>
    <row r="1078" spans="1:15" x14ac:dyDescent="0.3">
      <c r="A1078" t="s">
        <v>2278</v>
      </c>
      <c r="B1078" t="s">
        <v>1886</v>
      </c>
      <c r="C1078" t="s">
        <v>1887</v>
      </c>
      <c r="D1078">
        <v>12</v>
      </c>
      <c r="E1078" t="s">
        <v>1447</v>
      </c>
      <c r="F1078" t="s">
        <v>1889</v>
      </c>
      <c r="G1078" t="s">
        <v>1737</v>
      </c>
      <c r="H1078" t="s">
        <v>2277</v>
      </c>
      <c r="I1078" t="s">
        <v>2277</v>
      </c>
      <c r="J1078" t="s">
        <v>2277</v>
      </c>
      <c r="K1078" t="s">
        <v>2277</v>
      </c>
      <c r="L1078" t="s">
        <v>1433</v>
      </c>
      <c r="M1078" t="s">
        <v>2277</v>
      </c>
      <c r="N1078" t="s">
        <v>2277</v>
      </c>
      <c r="O1078" s="190" t="str">
        <f t="shared" si="16"/>
        <v>[S05_ImprovementReportArt69][12][ImprovementReportType]</v>
      </c>
    </row>
    <row r="1079" spans="1:15" x14ac:dyDescent="0.3">
      <c r="A1079" t="s">
        <v>2278</v>
      </c>
      <c r="B1079" t="s">
        <v>1886</v>
      </c>
      <c r="C1079" t="s">
        <v>1887</v>
      </c>
      <c r="D1079">
        <v>13</v>
      </c>
      <c r="E1079" t="s">
        <v>1447</v>
      </c>
      <c r="F1079" t="s">
        <v>1889</v>
      </c>
      <c r="G1079" t="s">
        <v>1737</v>
      </c>
      <c r="H1079" t="s">
        <v>2277</v>
      </c>
      <c r="I1079" t="s">
        <v>2277</v>
      </c>
      <c r="J1079" t="s">
        <v>2277</v>
      </c>
      <c r="K1079" t="s">
        <v>2277</v>
      </c>
      <c r="L1079" t="s">
        <v>1461</v>
      </c>
      <c r="M1079" t="s">
        <v>2277</v>
      </c>
      <c r="N1079" t="s">
        <v>2277</v>
      </c>
      <c r="O1079" s="190" t="str">
        <f t="shared" si="16"/>
        <v>[S05_ImprovementReportArt69][13][ImprovementReportType]</v>
      </c>
    </row>
    <row r="1080" spans="1:15" x14ac:dyDescent="0.3">
      <c r="A1080" t="s">
        <v>2278</v>
      </c>
      <c r="B1080" t="s">
        <v>1886</v>
      </c>
      <c r="C1080" t="s">
        <v>1887</v>
      </c>
      <c r="D1080">
        <v>14</v>
      </c>
      <c r="E1080" t="s">
        <v>1447</v>
      </c>
      <c r="F1080" t="s">
        <v>1889</v>
      </c>
      <c r="G1080" t="s">
        <v>1737</v>
      </c>
      <c r="H1080" t="s">
        <v>2277</v>
      </c>
      <c r="I1080" t="s">
        <v>2277</v>
      </c>
      <c r="J1080" t="s">
        <v>2277</v>
      </c>
      <c r="K1080" t="s">
        <v>2277</v>
      </c>
      <c r="L1080" t="s">
        <v>1488</v>
      </c>
      <c r="M1080" t="s">
        <v>2277</v>
      </c>
      <c r="N1080" t="s">
        <v>2277</v>
      </c>
      <c r="O1080" s="190" t="str">
        <f t="shared" si="16"/>
        <v>[S05_ImprovementReportArt69][14][ImprovementReportType]</v>
      </c>
    </row>
    <row r="1081" spans="1:15" x14ac:dyDescent="0.3">
      <c r="A1081" t="s">
        <v>2278</v>
      </c>
      <c r="B1081" t="s">
        <v>1886</v>
      </c>
      <c r="C1081" t="s">
        <v>1887</v>
      </c>
      <c r="D1081">
        <v>15</v>
      </c>
      <c r="E1081" t="s">
        <v>1447</v>
      </c>
      <c r="F1081" t="s">
        <v>1889</v>
      </c>
      <c r="G1081" t="s">
        <v>1737</v>
      </c>
      <c r="H1081" t="s">
        <v>2277</v>
      </c>
      <c r="I1081" t="s">
        <v>2277</v>
      </c>
      <c r="J1081" t="s">
        <v>2277</v>
      </c>
      <c r="K1081" t="s">
        <v>2277</v>
      </c>
      <c r="L1081" t="s">
        <v>1488</v>
      </c>
      <c r="M1081" t="s">
        <v>2277</v>
      </c>
      <c r="N1081" t="s">
        <v>2277</v>
      </c>
      <c r="O1081" s="190" t="str">
        <f t="shared" si="16"/>
        <v>[S05_ImprovementReportArt69][15][ImprovementReportType]</v>
      </c>
    </row>
    <row r="1082" spans="1:15" x14ac:dyDescent="0.3">
      <c r="A1082" t="s">
        <v>2278</v>
      </c>
      <c r="B1082" t="s">
        <v>1886</v>
      </c>
      <c r="C1082" t="s">
        <v>1887</v>
      </c>
      <c r="D1082">
        <v>16</v>
      </c>
      <c r="E1082" t="s">
        <v>1447</v>
      </c>
      <c r="F1082" t="s">
        <v>1889</v>
      </c>
      <c r="G1082" t="s">
        <v>1737</v>
      </c>
      <c r="H1082" t="s">
        <v>2277</v>
      </c>
      <c r="I1082" t="s">
        <v>2277</v>
      </c>
      <c r="J1082" t="s">
        <v>2277</v>
      </c>
      <c r="K1082" t="s">
        <v>2277</v>
      </c>
      <c r="L1082" t="s">
        <v>1488</v>
      </c>
      <c r="M1082" t="s">
        <v>2277</v>
      </c>
      <c r="N1082" t="s">
        <v>2277</v>
      </c>
      <c r="O1082" s="190" t="str">
        <f t="shared" si="16"/>
        <v>[S05_ImprovementReportArt69][16][ImprovementReportType]</v>
      </c>
    </row>
    <row r="1083" spans="1:15" x14ac:dyDescent="0.3">
      <c r="A1083" t="s">
        <v>2278</v>
      </c>
      <c r="B1083" t="s">
        <v>1886</v>
      </c>
      <c r="C1083" t="s">
        <v>1887</v>
      </c>
      <c r="D1083">
        <v>17</v>
      </c>
      <c r="E1083" t="s">
        <v>1447</v>
      </c>
      <c r="F1083" t="s">
        <v>1889</v>
      </c>
      <c r="G1083" t="s">
        <v>1737</v>
      </c>
      <c r="H1083" t="s">
        <v>2277</v>
      </c>
      <c r="I1083" t="s">
        <v>2277</v>
      </c>
      <c r="J1083" t="s">
        <v>2277</v>
      </c>
      <c r="K1083" t="s">
        <v>2277</v>
      </c>
      <c r="L1083" t="s">
        <v>1433</v>
      </c>
      <c r="M1083" t="s">
        <v>2277</v>
      </c>
      <c r="N1083" t="s">
        <v>2277</v>
      </c>
      <c r="O1083" s="190" t="str">
        <f t="shared" si="16"/>
        <v>[S05_ImprovementReportArt69][17][ImprovementReportType]</v>
      </c>
    </row>
    <row r="1084" spans="1:15" x14ac:dyDescent="0.3">
      <c r="A1084" t="s">
        <v>2278</v>
      </c>
      <c r="B1084" t="s">
        <v>1886</v>
      </c>
      <c r="C1084" t="s">
        <v>1887</v>
      </c>
      <c r="D1084">
        <v>18</v>
      </c>
      <c r="E1084" t="s">
        <v>1447</v>
      </c>
      <c r="F1084" t="s">
        <v>1889</v>
      </c>
      <c r="G1084" t="s">
        <v>1737</v>
      </c>
      <c r="H1084" t="s">
        <v>2277</v>
      </c>
      <c r="I1084" t="s">
        <v>2277</v>
      </c>
      <c r="J1084" t="s">
        <v>2277</v>
      </c>
      <c r="K1084" t="s">
        <v>2277</v>
      </c>
      <c r="L1084" t="s">
        <v>1433</v>
      </c>
      <c r="M1084" t="s">
        <v>2277</v>
      </c>
      <c r="N1084" t="s">
        <v>2277</v>
      </c>
      <c r="O1084" s="190" t="str">
        <f t="shared" si="16"/>
        <v>[S05_ImprovementReportArt69][18][ImprovementReportType]</v>
      </c>
    </row>
    <row r="1085" spans="1:15" x14ac:dyDescent="0.3">
      <c r="A1085" t="s">
        <v>2278</v>
      </c>
      <c r="B1085" t="s">
        <v>1886</v>
      </c>
      <c r="C1085" t="s">
        <v>1887</v>
      </c>
      <c r="D1085">
        <v>19</v>
      </c>
      <c r="E1085" t="s">
        <v>1447</v>
      </c>
      <c r="F1085" t="s">
        <v>1889</v>
      </c>
      <c r="G1085" t="s">
        <v>1737</v>
      </c>
      <c r="H1085" t="s">
        <v>2277</v>
      </c>
      <c r="I1085" t="s">
        <v>2277</v>
      </c>
      <c r="J1085" t="s">
        <v>2277</v>
      </c>
      <c r="K1085" t="s">
        <v>2277</v>
      </c>
      <c r="L1085" t="s">
        <v>1488</v>
      </c>
      <c r="M1085" t="s">
        <v>2277</v>
      </c>
      <c r="N1085" t="s">
        <v>2277</v>
      </c>
      <c r="O1085" s="190" t="str">
        <f t="shared" si="16"/>
        <v>[S05_ImprovementReportArt69][19][ImprovementReportType]</v>
      </c>
    </row>
    <row r="1086" spans="1:15" x14ac:dyDescent="0.3">
      <c r="A1086" t="s">
        <v>2278</v>
      </c>
      <c r="B1086" t="s">
        <v>1886</v>
      </c>
      <c r="C1086" t="s">
        <v>1887</v>
      </c>
      <c r="D1086">
        <v>20</v>
      </c>
      <c r="E1086" t="s">
        <v>1447</v>
      </c>
      <c r="F1086" t="s">
        <v>1889</v>
      </c>
      <c r="G1086" t="s">
        <v>1737</v>
      </c>
      <c r="H1086" t="s">
        <v>2277</v>
      </c>
      <c r="I1086" t="s">
        <v>2277</v>
      </c>
      <c r="J1086" t="s">
        <v>2277</v>
      </c>
      <c r="K1086" t="s">
        <v>2277</v>
      </c>
      <c r="L1086" t="s">
        <v>1488</v>
      </c>
      <c r="M1086" t="s">
        <v>2277</v>
      </c>
      <c r="N1086" t="s">
        <v>2277</v>
      </c>
      <c r="O1086" s="190" t="str">
        <f t="shared" si="16"/>
        <v>[S05_ImprovementReportArt69][20][ImprovementReportType]</v>
      </c>
    </row>
    <row r="1087" spans="1:15" x14ac:dyDescent="0.3">
      <c r="A1087" t="s">
        <v>2278</v>
      </c>
      <c r="B1087" t="s">
        <v>1886</v>
      </c>
      <c r="C1087" t="s">
        <v>1887</v>
      </c>
      <c r="D1087">
        <v>21</v>
      </c>
      <c r="E1087" t="s">
        <v>1447</v>
      </c>
      <c r="F1087" t="s">
        <v>1889</v>
      </c>
      <c r="G1087" t="s">
        <v>1737</v>
      </c>
      <c r="H1087" t="s">
        <v>2277</v>
      </c>
      <c r="I1087" t="s">
        <v>2277</v>
      </c>
      <c r="J1087" t="s">
        <v>2277</v>
      </c>
      <c r="K1087" t="s">
        <v>2277</v>
      </c>
      <c r="L1087" t="s">
        <v>1488</v>
      </c>
      <c r="M1087" t="s">
        <v>2277</v>
      </c>
      <c r="N1087" t="s">
        <v>2277</v>
      </c>
      <c r="O1087" s="190" t="str">
        <f t="shared" si="16"/>
        <v>[S05_ImprovementReportArt69][21][ImprovementReportType]</v>
      </c>
    </row>
    <row r="1088" spans="1:15" x14ac:dyDescent="0.3">
      <c r="A1088" t="s">
        <v>2278</v>
      </c>
      <c r="B1088" t="s">
        <v>1886</v>
      </c>
      <c r="C1088" t="s">
        <v>1887</v>
      </c>
      <c r="D1088">
        <v>22</v>
      </c>
      <c r="E1088" t="s">
        <v>1447</v>
      </c>
      <c r="F1088" t="s">
        <v>1889</v>
      </c>
      <c r="G1088" t="s">
        <v>1737</v>
      </c>
      <c r="H1088" t="s">
        <v>2277</v>
      </c>
      <c r="I1088" t="s">
        <v>2277</v>
      </c>
      <c r="J1088" t="s">
        <v>2277</v>
      </c>
      <c r="K1088" t="s">
        <v>2277</v>
      </c>
      <c r="L1088" t="s">
        <v>1433</v>
      </c>
      <c r="M1088" t="s">
        <v>2277</v>
      </c>
      <c r="N1088" t="s">
        <v>2277</v>
      </c>
      <c r="O1088" s="190" t="str">
        <f t="shared" si="16"/>
        <v>[S05_ImprovementReportArt69][22][ImprovementReportType]</v>
      </c>
    </row>
    <row r="1089" spans="1:15" x14ac:dyDescent="0.3">
      <c r="A1089" t="s">
        <v>2278</v>
      </c>
      <c r="B1089" t="s">
        <v>1886</v>
      </c>
      <c r="C1089" t="s">
        <v>1887</v>
      </c>
      <c r="D1089">
        <v>23</v>
      </c>
      <c r="E1089" t="s">
        <v>1447</v>
      </c>
      <c r="F1089" t="s">
        <v>1889</v>
      </c>
      <c r="G1089" t="s">
        <v>1737</v>
      </c>
      <c r="H1089" t="s">
        <v>2277</v>
      </c>
      <c r="I1089" t="s">
        <v>2277</v>
      </c>
      <c r="J1089" t="s">
        <v>2277</v>
      </c>
      <c r="K1089" t="s">
        <v>2277</v>
      </c>
      <c r="L1089" t="s">
        <v>1433</v>
      </c>
      <c r="M1089" t="s">
        <v>2277</v>
      </c>
      <c r="N1089" t="s">
        <v>2277</v>
      </c>
      <c r="O1089" s="190" t="str">
        <f t="shared" si="16"/>
        <v>[S05_ImprovementReportArt69][23][ImprovementReportType]</v>
      </c>
    </row>
    <row r="1090" spans="1:15" x14ac:dyDescent="0.3">
      <c r="A1090" t="s">
        <v>2278</v>
      </c>
      <c r="B1090" t="s">
        <v>1886</v>
      </c>
      <c r="C1090" t="s">
        <v>1887</v>
      </c>
      <c r="D1090">
        <v>24</v>
      </c>
      <c r="E1090" t="s">
        <v>1447</v>
      </c>
      <c r="F1090" t="s">
        <v>1889</v>
      </c>
      <c r="G1090" t="s">
        <v>1737</v>
      </c>
      <c r="H1090" t="s">
        <v>2277</v>
      </c>
      <c r="I1090" t="s">
        <v>2277</v>
      </c>
      <c r="J1090" t="s">
        <v>2277</v>
      </c>
      <c r="K1090" t="s">
        <v>2277</v>
      </c>
      <c r="L1090" t="s">
        <v>1488</v>
      </c>
      <c r="M1090" t="s">
        <v>2277</v>
      </c>
      <c r="N1090" t="s">
        <v>2277</v>
      </c>
      <c r="O1090" s="190" t="str">
        <f t="shared" ref="O1090:O1153" si="17">"["&amp;$C1090&amp;"]["&amp;$D1090&amp;"]["&amp;$F1090&amp;"]"</f>
        <v>[S05_ImprovementReportArt69][24][ImprovementReportType]</v>
      </c>
    </row>
    <row r="1091" spans="1:15" x14ac:dyDescent="0.3">
      <c r="A1091" t="s">
        <v>2278</v>
      </c>
      <c r="B1091" t="s">
        <v>1886</v>
      </c>
      <c r="C1091" t="s">
        <v>1887</v>
      </c>
      <c r="D1091">
        <v>25</v>
      </c>
      <c r="E1091" t="s">
        <v>1447</v>
      </c>
      <c r="F1091" t="s">
        <v>1889</v>
      </c>
      <c r="G1091" t="s">
        <v>1737</v>
      </c>
      <c r="H1091" t="s">
        <v>2277</v>
      </c>
      <c r="I1091" t="s">
        <v>2277</v>
      </c>
      <c r="J1091" t="s">
        <v>2277</v>
      </c>
      <c r="K1091" t="s">
        <v>2277</v>
      </c>
      <c r="L1091" t="s">
        <v>1433</v>
      </c>
      <c r="M1091" t="s">
        <v>2277</v>
      </c>
      <c r="N1091" t="s">
        <v>2277</v>
      </c>
      <c r="O1091" s="190" t="str">
        <f t="shared" si="17"/>
        <v>[S05_ImprovementReportArt69][25][ImprovementReportType]</v>
      </c>
    </row>
    <row r="1092" spans="1:15" x14ac:dyDescent="0.3">
      <c r="A1092" t="s">
        <v>2278</v>
      </c>
      <c r="B1092" t="s">
        <v>1886</v>
      </c>
      <c r="C1092" t="s">
        <v>1887</v>
      </c>
      <c r="D1092">
        <v>26</v>
      </c>
      <c r="E1092" t="s">
        <v>1447</v>
      </c>
      <c r="F1092" t="s">
        <v>1889</v>
      </c>
      <c r="G1092" t="s">
        <v>1737</v>
      </c>
      <c r="H1092" t="s">
        <v>2277</v>
      </c>
      <c r="I1092" t="s">
        <v>2277</v>
      </c>
      <c r="J1092" t="s">
        <v>2277</v>
      </c>
      <c r="K1092" t="s">
        <v>2277</v>
      </c>
      <c r="L1092" t="s">
        <v>1461</v>
      </c>
      <c r="M1092" t="s">
        <v>2277</v>
      </c>
      <c r="N1092" t="s">
        <v>2277</v>
      </c>
      <c r="O1092" s="190" t="str">
        <f t="shared" si="17"/>
        <v>[S05_ImprovementReportArt69][26][ImprovementReportType]</v>
      </c>
    </row>
    <row r="1093" spans="1:15" x14ac:dyDescent="0.3">
      <c r="A1093" t="s">
        <v>2278</v>
      </c>
      <c r="B1093" t="s">
        <v>1886</v>
      </c>
      <c r="C1093" t="s">
        <v>1887</v>
      </c>
      <c r="D1093">
        <v>27</v>
      </c>
      <c r="E1093" t="s">
        <v>1447</v>
      </c>
      <c r="F1093" t="s">
        <v>1889</v>
      </c>
      <c r="G1093" t="s">
        <v>1737</v>
      </c>
      <c r="H1093" t="s">
        <v>2277</v>
      </c>
      <c r="I1093" t="s">
        <v>2277</v>
      </c>
      <c r="J1093" t="s">
        <v>2277</v>
      </c>
      <c r="K1093" t="s">
        <v>2277</v>
      </c>
      <c r="L1093" t="s">
        <v>1488</v>
      </c>
      <c r="M1093" t="s">
        <v>2277</v>
      </c>
      <c r="N1093" t="s">
        <v>2277</v>
      </c>
      <c r="O1093" s="190" t="str">
        <f t="shared" si="17"/>
        <v>[S05_ImprovementReportArt69][27][ImprovementReportType]</v>
      </c>
    </row>
    <row r="1094" spans="1:15" x14ac:dyDescent="0.3">
      <c r="A1094" t="s">
        <v>2278</v>
      </c>
      <c r="B1094" t="s">
        <v>1886</v>
      </c>
      <c r="C1094" t="s">
        <v>1887</v>
      </c>
      <c r="D1094">
        <v>28</v>
      </c>
      <c r="E1094" t="s">
        <v>1447</v>
      </c>
      <c r="F1094" t="s">
        <v>1889</v>
      </c>
      <c r="G1094" t="s">
        <v>1737</v>
      </c>
      <c r="H1094" t="s">
        <v>2277</v>
      </c>
      <c r="I1094" t="s">
        <v>2277</v>
      </c>
      <c r="J1094" t="s">
        <v>2277</v>
      </c>
      <c r="K1094" t="s">
        <v>2277</v>
      </c>
      <c r="L1094" t="s">
        <v>1433</v>
      </c>
      <c r="M1094" t="s">
        <v>2277</v>
      </c>
      <c r="N1094" t="s">
        <v>2277</v>
      </c>
      <c r="O1094" s="190" t="str">
        <f t="shared" si="17"/>
        <v>[S05_ImprovementReportArt69][28][ImprovementReportType]</v>
      </c>
    </row>
    <row r="1095" spans="1:15" x14ac:dyDescent="0.3">
      <c r="A1095" t="s">
        <v>2278</v>
      </c>
      <c r="B1095" t="s">
        <v>1886</v>
      </c>
      <c r="C1095" t="s">
        <v>1887</v>
      </c>
      <c r="D1095">
        <v>29</v>
      </c>
      <c r="E1095" t="s">
        <v>1447</v>
      </c>
      <c r="F1095" t="s">
        <v>1889</v>
      </c>
      <c r="G1095" t="s">
        <v>1737</v>
      </c>
      <c r="H1095" t="s">
        <v>2277</v>
      </c>
      <c r="I1095" t="s">
        <v>2277</v>
      </c>
      <c r="J1095" t="s">
        <v>2277</v>
      </c>
      <c r="K1095" t="s">
        <v>2277</v>
      </c>
      <c r="L1095" t="s">
        <v>1488</v>
      </c>
      <c r="M1095" t="s">
        <v>2277</v>
      </c>
      <c r="N1095" t="s">
        <v>2277</v>
      </c>
      <c r="O1095" s="190" t="str">
        <f t="shared" si="17"/>
        <v>[S05_ImprovementReportArt69][29][ImprovementReportType]</v>
      </c>
    </row>
    <row r="1096" spans="1:15" x14ac:dyDescent="0.3">
      <c r="A1096" t="s">
        <v>2278</v>
      </c>
      <c r="B1096" t="s">
        <v>1886</v>
      </c>
      <c r="C1096" t="s">
        <v>1887</v>
      </c>
      <c r="D1096">
        <v>30</v>
      </c>
      <c r="E1096" t="s">
        <v>1447</v>
      </c>
      <c r="F1096" t="s">
        <v>1889</v>
      </c>
      <c r="G1096" t="s">
        <v>1737</v>
      </c>
      <c r="H1096" t="s">
        <v>2277</v>
      </c>
      <c r="I1096" t="s">
        <v>2277</v>
      </c>
      <c r="J1096" t="s">
        <v>2277</v>
      </c>
      <c r="K1096" t="s">
        <v>2277</v>
      </c>
      <c r="L1096" t="s">
        <v>1488</v>
      </c>
      <c r="M1096" t="s">
        <v>2277</v>
      </c>
      <c r="N1096" t="s">
        <v>2277</v>
      </c>
      <c r="O1096" s="190" t="str">
        <f t="shared" si="17"/>
        <v>[S05_ImprovementReportArt69][30][ImprovementReportType]</v>
      </c>
    </row>
    <row r="1097" spans="1:15" x14ac:dyDescent="0.3">
      <c r="A1097" t="s">
        <v>2278</v>
      </c>
      <c r="B1097" t="s">
        <v>1886</v>
      </c>
      <c r="C1097" t="s">
        <v>1887</v>
      </c>
      <c r="D1097">
        <v>31</v>
      </c>
      <c r="E1097" t="s">
        <v>1447</v>
      </c>
      <c r="F1097" t="s">
        <v>1889</v>
      </c>
      <c r="G1097" t="s">
        <v>1737</v>
      </c>
      <c r="H1097" t="s">
        <v>2277</v>
      </c>
      <c r="I1097" t="s">
        <v>2277</v>
      </c>
      <c r="J1097" t="s">
        <v>2277</v>
      </c>
      <c r="K1097" t="s">
        <v>2277</v>
      </c>
      <c r="L1097" t="s">
        <v>1433</v>
      </c>
      <c r="M1097" t="s">
        <v>2277</v>
      </c>
      <c r="N1097" t="s">
        <v>2277</v>
      </c>
      <c r="O1097" s="190" t="str">
        <f t="shared" si="17"/>
        <v>[S05_ImprovementReportArt69][31][ImprovementReportType]</v>
      </c>
    </row>
    <row r="1098" spans="1:15" x14ac:dyDescent="0.3">
      <c r="A1098" t="s">
        <v>2278</v>
      </c>
      <c r="B1098" t="s">
        <v>1886</v>
      </c>
      <c r="C1098" t="s">
        <v>1887</v>
      </c>
      <c r="D1098">
        <v>1</v>
      </c>
      <c r="E1098" t="s">
        <v>1447</v>
      </c>
      <c r="F1098" t="s">
        <v>1890</v>
      </c>
      <c r="G1098" t="s">
        <v>1748</v>
      </c>
      <c r="H1098" t="s">
        <v>2277</v>
      </c>
      <c r="I1098">
        <v>14</v>
      </c>
      <c r="J1098" t="s">
        <v>2277</v>
      </c>
      <c r="K1098" t="s">
        <v>2277</v>
      </c>
      <c r="L1098" t="s">
        <v>2277</v>
      </c>
      <c r="M1098" t="s">
        <v>2277</v>
      </c>
      <c r="N1098" t="s">
        <v>2277</v>
      </c>
      <c r="O1098" s="190" t="str">
        <f t="shared" si="17"/>
        <v>[S05_ImprovementReportArt69][1][ImprovementReportRequired]</v>
      </c>
    </row>
    <row r="1099" spans="1:15" x14ac:dyDescent="0.3">
      <c r="A1099" t="s">
        <v>2278</v>
      </c>
      <c r="B1099" t="s">
        <v>1886</v>
      </c>
      <c r="C1099" t="s">
        <v>1887</v>
      </c>
      <c r="D1099">
        <v>2</v>
      </c>
      <c r="E1099" t="s">
        <v>1447</v>
      </c>
      <c r="F1099" t="s">
        <v>1890</v>
      </c>
      <c r="G1099" t="s">
        <v>1748</v>
      </c>
      <c r="H1099" t="s">
        <v>2277</v>
      </c>
      <c r="I1099">
        <v>40</v>
      </c>
      <c r="J1099" t="s">
        <v>2277</v>
      </c>
      <c r="K1099" t="s">
        <v>2277</v>
      </c>
      <c r="L1099" t="s">
        <v>2277</v>
      </c>
      <c r="M1099" t="s">
        <v>2277</v>
      </c>
      <c r="N1099" t="s">
        <v>2277</v>
      </c>
      <c r="O1099" s="190" t="str">
        <f t="shared" si="17"/>
        <v>[S05_ImprovementReportArt69][2][ImprovementReportRequired]</v>
      </c>
    </row>
    <row r="1100" spans="1:15" x14ac:dyDescent="0.3">
      <c r="A1100" t="s">
        <v>2278</v>
      </c>
      <c r="B1100" t="s">
        <v>1886</v>
      </c>
      <c r="C1100" t="s">
        <v>1887</v>
      </c>
      <c r="D1100">
        <v>3</v>
      </c>
      <c r="E1100" t="s">
        <v>1447</v>
      </c>
      <c r="F1100" t="s">
        <v>1890</v>
      </c>
      <c r="G1100" t="s">
        <v>1748</v>
      </c>
      <c r="H1100" t="s">
        <v>2277</v>
      </c>
      <c r="I1100">
        <v>4</v>
      </c>
      <c r="J1100" t="s">
        <v>2277</v>
      </c>
      <c r="K1100" t="s">
        <v>2277</v>
      </c>
      <c r="L1100" t="s">
        <v>2277</v>
      </c>
      <c r="M1100" t="s">
        <v>2277</v>
      </c>
      <c r="N1100" t="s">
        <v>2277</v>
      </c>
      <c r="O1100" s="190" t="str">
        <f t="shared" si="17"/>
        <v>[S05_ImprovementReportArt69][3][ImprovementReportRequired]</v>
      </c>
    </row>
    <row r="1101" spans="1:15" x14ac:dyDescent="0.3">
      <c r="A1101" t="s">
        <v>2278</v>
      </c>
      <c r="B1101" t="s">
        <v>1886</v>
      </c>
      <c r="C1101" t="s">
        <v>1887</v>
      </c>
      <c r="D1101">
        <v>4</v>
      </c>
      <c r="E1101" t="s">
        <v>1447</v>
      </c>
      <c r="F1101" t="s">
        <v>1890</v>
      </c>
      <c r="G1101" t="s">
        <v>1748</v>
      </c>
      <c r="H1101" t="s">
        <v>2277</v>
      </c>
      <c r="I1101">
        <v>1</v>
      </c>
      <c r="J1101" t="s">
        <v>2277</v>
      </c>
      <c r="K1101" t="s">
        <v>2277</v>
      </c>
      <c r="L1101" t="s">
        <v>2277</v>
      </c>
      <c r="M1101" t="s">
        <v>2277</v>
      </c>
      <c r="N1101" t="s">
        <v>2277</v>
      </c>
      <c r="O1101" s="190" t="str">
        <f t="shared" si="17"/>
        <v>[S05_ImprovementReportArt69][4][ImprovementReportRequired]</v>
      </c>
    </row>
    <row r="1102" spans="1:15" x14ac:dyDescent="0.3">
      <c r="A1102" t="s">
        <v>2278</v>
      </c>
      <c r="B1102" t="s">
        <v>1886</v>
      </c>
      <c r="C1102" t="s">
        <v>1887</v>
      </c>
      <c r="D1102">
        <v>5</v>
      </c>
      <c r="E1102" t="s">
        <v>1447</v>
      </c>
      <c r="F1102" t="s">
        <v>1890</v>
      </c>
      <c r="G1102" t="s">
        <v>1748</v>
      </c>
      <c r="H1102" t="s">
        <v>2277</v>
      </c>
      <c r="I1102">
        <v>4</v>
      </c>
      <c r="J1102" t="s">
        <v>2277</v>
      </c>
      <c r="K1102" t="s">
        <v>2277</v>
      </c>
      <c r="L1102" t="s">
        <v>2277</v>
      </c>
      <c r="M1102" t="s">
        <v>2277</v>
      </c>
      <c r="N1102" t="s">
        <v>2277</v>
      </c>
      <c r="O1102" s="190" t="str">
        <f t="shared" si="17"/>
        <v>[S05_ImprovementReportArt69][5][ImprovementReportRequired]</v>
      </c>
    </row>
    <row r="1103" spans="1:15" x14ac:dyDescent="0.3">
      <c r="A1103" t="s">
        <v>2278</v>
      </c>
      <c r="B1103" t="s">
        <v>1886</v>
      </c>
      <c r="C1103" t="s">
        <v>1887</v>
      </c>
      <c r="D1103">
        <v>6</v>
      </c>
      <c r="E1103" t="s">
        <v>1447</v>
      </c>
      <c r="F1103" t="s">
        <v>1890</v>
      </c>
      <c r="G1103" t="s">
        <v>1748</v>
      </c>
      <c r="H1103" t="s">
        <v>2277</v>
      </c>
      <c r="I1103">
        <v>2</v>
      </c>
      <c r="J1103" t="s">
        <v>2277</v>
      </c>
      <c r="K1103" t="s">
        <v>2277</v>
      </c>
      <c r="L1103" t="s">
        <v>2277</v>
      </c>
      <c r="M1103" t="s">
        <v>2277</v>
      </c>
      <c r="N1103" t="s">
        <v>2277</v>
      </c>
      <c r="O1103" s="190" t="str">
        <f t="shared" si="17"/>
        <v>[S05_ImprovementReportArt69][6][ImprovementReportRequired]</v>
      </c>
    </row>
    <row r="1104" spans="1:15" x14ac:dyDescent="0.3">
      <c r="A1104" t="s">
        <v>2278</v>
      </c>
      <c r="B1104" t="s">
        <v>1886</v>
      </c>
      <c r="C1104" t="s">
        <v>1887</v>
      </c>
      <c r="D1104">
        <v>7</v>
      </c>
      <c r="E1104" t="s">
        <v>1447</v>
      </c>
      <c r="F1104" t="s">
        <v>1890</v>
      </c>
      <c r="G1104" t="s">
        <v>1748</v>
      </c>
      <c r="H1104" t="s">
        <v>2277</v>
      </c>
      <c r="I1104">
        <v>1</v>
      </c>
      <c r="J1104" t="s">
        <v>2277</v>
      </c>
      <c r="K1104" t="s">
        <v>2277</v>
      </c>
      <c r="L1104" t="s">
        <v>2277</v>
      </c>
      <c r="M1104" t="s">
        <v>2277</v>
      </c>
      <c r="N1104" t="s">
        <v>2277</v>
      </c>
      <c r="O1104" s="190" t="str">
        <f t="shared" si="17"/>
        <v>[S05_ImprovementReportArt69][7][ImprovementReportRequired]</v>
      </c>
    </row>
    <row r="1105" spans="1:15" x14ac:dyDescent="0.3">
      <c r="A1105" t="s">
        <v>2278</v>
      </c>
      <c r="B1105" t="s">
        <v>1886</v>
      </c>
      <c r="C1105" t="s">
        <v>1887</v>
      </c>
      <c r="D1105">
        <v>8</v>
      </c>
      <c r="E1105" t="s">
        <v>1447</v>
      </c>
      <c r="F1105" t="s">
        <v>1890</v>
      </c>
      <c r="G1105" t="s">
        <v>1748</v>
      </c>
      <c r="H1105" t="s">
        <v>2277</v>
      </c>
      <c r="I1105">
        <v>1</v>
      </c>
      <c r="J1105" t="s">
        <v>2277</v>
      </c>
      <c r="K1105" t="s">
        <v>2277</v>
      </c>
      <c r="L1105" t="s">
        <v>2277</v>
      </c>
      <c r="M1105" t="s">
        <v>2277</v>
      </c>
      <c r="N1105" t="s">
        <v>2277</v>
      </c>
      <c r="O1105" s="190" t="str">
        <f t="shared" si="17"/>
        <v>[S05_ImprovementReportArt69][8][ImprovementReportRequired]</v>
      </c>
    </row>
    <row r="1106" spans="1:15" x14ac:dyDescent="0.3">
      <c r="A1106" t="s">
        <v>2278</v>
      </c>
      <c r="B1106" t="s">
        <v>1886</v>
      </c>
      <c r="C1106" t="s">
        <v>1887</v>
      </c>
      <c r="D1106">
        <v>9</v>
      </c>
      <c r="E1106" t="s">
        <v>1447</v>
      </c>
      <c r="F1106" t="s">
        <v>1890</v>
      </c>
      <c r="G1106" t="s">
        <v>1748</v>
      </c>
      <c r="H1106" t="s">
        <v>2277</v>
      </c>
      <c r="I1106">
        <v>8</v>
      </c>
      <c r="J1106" t="s">
        <v>2277</v>
      </c>
      <c r="K1106" t="s">
        <v>2277</v>
      </c>
      <c r="L1106" t="s">
        <v>2277</v>
      </c>
      <c r="M1106" t="s">
        <v>2277</v>
      </c>
      <c r="N1106" t="s">
        <v>2277</v>
      </c>
      <c r="O1106" s="190" t="str">
        <f t="shared" si="17"/>
        <v>[S05_ImprovementReportArt69][9][ImprovementReportRequired]</v>
      </c>
    </row>
    <row r="1107" spans="1:15" x14ac:dyDescent="0.3">
      <c r="A1107" t="s">
        <v>2278</v>
      </c>
      <c r="B1107" t="s">
        <v>1886</v>
      </c>
      <c r="C1107" t="s">
        <v>1887</v>
      </c>
      <c r="D1107">
        <v>10</v>
      </c>
      <c r="E1107" t="s">
        <v>1447</v>
      </c>
      <c r="F1107" t="s">
        <v>1890</v>
      </c>
      <c r="G1107" t="s">
        <v>1748</v>
      </c>
      <c r="H1107" t="s">
        <v>2277</v>
      </c>
      <c r="I1107">
        <v>32</v>
      </c>
      <c r="J1107" t="s">
        <v>2277</v>
      </c>
      <c r="K1107" t="s">
        <v>2277</v>
      </c>
      <c r="L1107" t="s">
        <v>2277</v>
      </c>
      <c r="M1107" t="s">
        <v>2277</v>
      </c>
      <c r="N1107" t="s">
        <v>2277</v>
      </c>
      <c r="O1107" s="190" t="str">
        <f t="shared" si="17"/>
        <v>[S05_ImprovementReportArt69][10][ImprovementReportRequired]</v>
      </c>
    </row>
    <row r="1108" spans="1:15" x14ac:dyDescent="0.3">
      <c r="A1108" t="s">
        <v>2278</v>
      </c>
      <c r="B1108" t="s">
        <v>1886</v>
      </c>
      <c r="C1108" t="s">
        <v>1887</v>
      </c>
      <c r="D1108">
        <v>11</v>
      </c>
      <c r="E1108" t="s">
        <v>1447</v>
      </c>
      <c r="F1108" t="s">
        <v>1890</v>
      </c>
      <c r="G1108" t="s">
        <v>1748</v>
      </c>
      <c r="H1108" t="s">
        <v>2277</v>
      </c>
      <c r="I1108">
        <v>1</v>
      </c>
      <c r="J1108" t="s">
        <v>2277</v>
      </c>
      <c r="K1108" t="s">
        <v>2277</v>
      </c>
      <c r="L1108" t="s">
        <v>2277</v>
      </c>
      <c r="M1108" t="s">
        <v>2277</v>
      </c>
      <c r="N1108" t="s">
        <v>2277</v>
      </c>
      <c r="O1108" s="190" t="str">
        <f t="shared" si="17"/>
        <v>[S05_ImprovementReportArt69][11][ImprovementReportRequired]</v>
      </c>
    </row>
    <row r="1109" spans="1:15" x14ac:dyDescent="0.3">
      <c r="A1109" t="s">
        <v>2278</v>
      </c>
      <c r="B1109" t="s">
        <v>1886</v>
      </c>
      <c r="C1109" t="s">
        <v>1887</v>
      </c>
      <c r="D1109">
        <v>12</v>
      </c>
      <c r="E1109" t="s">
        <v>1447</v>
      </c>
      <c r="F1109" t="s">
        <v>1890</v>
      </c>
      <c r="G1109" t="s">
        <v>1748</v>
      </c>
      <c r="H1109" t="s">
        <v>2277</v>
      </c>
      <c r="I1109">
        <v>2</v>
      </c>
      <c r="J1109" t="s">
        <v>2277</v>
      </c>
      <c r="K1109" t="s">
        <v>2277</v>
      </c>
      <c r="L1109" t="s">
        <v>2277</v>
      </c>
      <c r="M1109" t="s">
        <v>2277</v>
      </c>
      <c r="N1109" t="s">
        <v>2277</v>
      </c>
      <c r="O1109" s="190" t="str">
        <f t="shared" si="17"/>
        <v>[S05_ImprovementReportArt69][12][ImprovementReportRequired]</v>
      </c>
    </row>
    <row r="1110" spans="1:15" x14ac:dyDescent="0.3">
      <c r="A1110" t="s">
        <v>2278</v>
      </c>
      <c r="B1110" t="s">
        <v>1886</v>
      </c>
      <c r="C1110" t="s">
        <v>1887</v>
      </c>
      <c r="D1110">
        <v>13</v>
      </c>
      <c r="E1110" t="s">
        <v>1447</v>
      </c>
      <c r="F1110" t="s">
        <v>1890</v>
      </c>
      <c r="G1110" t="s">
        <v>1748</v>
      </c>
      <c r="H1110" t="s">
        <v>2277</v>
      </c>
      <c r="I1110">
        <v>1</v>
      </c>
      <c r="J1110" t="s">
        <v>2277</v>
      </c>
      <c r="K1110" t="s">
        <v>2277</v>
      </c>
      <c r="L1110" t="s">
        <v>2277</v>
      </c>
      <c r="M1110" t="s">
        <v>2277</v>
      </c>
      <c r="N1110" t="s">
        <v>2277</v>
      </c>
      <c r="O1110" s="190" t="str">
        <f t="shared" si="17"/>
        <v>[S05_ImprovementReportArt69][13][ImprovementReportRequired]</v>
      </c>
    </row>
    <row r="1111" spans="1:15" x14ac:dyDescent="0.3">
      <c r="A1111" t="s">
        <v>2278</v>
      </c>
      <c r="B1111" t="s">
        <v>1886</v>
      </c>
      <c r="C1111" t="s">
        <v>1887</v>
      </c>
      <c r="D1111">
        <v>14</v>
      </c>
      <c r="E1111" t="s">
        <v>1447</v>
      </c>
      <c r="F1111" t="s">
        <v>1890</v>
      </c>
      <c r="G1111" t="s">
        <v>1748</v>
      </c>
      <c r="H1111" t="s">
        <v>2277</v>
      </c>
      <c r="I1111">
        <v>1</v>
      </c>
      <c r="J1111" t="s">
        <v>2277</v>
      </c>
      <c r="K1111" t="s">
        <v>2277</v>
      </c>
      <c r="L1111" t="s">
        <v>2277</v>
      </c>
      <c r="M1111" t="s">
        <v>2277</v>
      </c>
      <c r="N1111" t="s">
        <v>2277</v>
      </c>
      <c r="O1111" s="190" t="str">
        <f t="shared" si="17"/>
        <v>[S05_ImprovementReportArt69][14][ImprovementReportRequired]</v>
      </c>
    </row>
    <row r="1112" spans="1:15" x14ac:dyDescent="0.3">
      <c r="A1112" t="s">
        <v>2278</v>
      </c>
      <c r="B1112" t="s">
        <v>1886</v>
      </c>
      <c r="C1112" t="s">
        <v>1887</v>
      </c>
      <c r="D1112">
        <v>15</v>
      </c>
      <c r="E1112" t="s">
        <v>1447</v>
      </c>
      <c r="F1112" t="s">
        <v>1890</v>
      </c>
      <c r="G1112" t="s">
        <v>1748</v>
      </c>
      <c r="H1112" t="s">
        <v>2277</v>
      </c>
      <c r="I1112">
        <v>1</v>
      </c>
      <c r="J1112" t="s">
        <v>2277</v>
      </c>
      <c r="K1112" t="s">
        <v>2277</v>
      </c>
      <c r="L1112" t="s">
        <v>2277</v>
      </c>
      <c r="M1112" t="s">
        <v>2277</v>
      </c>
      <c r="N1112" t="s">
        <v>2277</v>
      </c>
      <c r="O1112" s="190" t="str">
        <f t="shared" si="17"/>
        <v>[S05_ImprovementReportArt69][15][ImprovementReportRequired]</v>
      </c>
    </row>
    <row r="1113" spans="1:15" x14ac:dyDescent="0.3">
      <c r="A1113" t="s">
        <v>2278</v>
      </c>
      <c r="B1113" t="s">
        <v>1886</v>
      </c>
      <c r="C1113" t="s">
        <v>1887</v>
      </c>
      <c r="D1113">
        <v>16</v>
      </c>
      <c r="E1113" t="s">
        <v>1447</v>
      </c>
      <c r="F1113" t="s">
        <v>1890</v>
      </c>
      <c r="G1113" t="s">
        <v>1748</v>
      </c>
      <c r="H1113" t="s">
        <v>2277</v>
      </c>
      <c r="I1113">
        <v>1</v>
      </c>
      <c r="J1113" t="s">
        <v>2277</v>
      </c>
      <c r="K1113" t="s">
        <v>2277</v>
      </c>
      <c r="L1113" t="s">
        <v>2277</v>
      </c>
      <c r="M1113" t="s">
        <v>2277</v>
      </c>
      <c r="N1113" t="s">
        <v>2277</v>
      </c>
      <c r="O1113" s="190" t="str">
        <f t="shared" si="17"/>
        <v>[S05_ImprovementReportArt69][16][ImprovementReportRequired]</v>
      </c>
    </row>
    <row r="1114" spans="1:15" x14ac:dyDescent="0.3">
      <c r="A1114" t="s">
        <v>2278</v>
      </c>
      <c r="B1114" t="s">
        <v>1886</v>
      </c>
      <c r="C1114" t="s">
        <v>1887</v>
      </c>
      <c r="D1114">
        <v>17</v>
      </c>
      <c r="E1114" t="s">
        <v>1447</v>
      </c>
      <c r="F1114" t="s">
        <v>1890</v>
      </c>
      <c r="G1114" t="s">
        <v>1748</v>
      </c>
      <c r="H1114" t="s">
        <v>2277</v>
      </c>
      <c r="I1114">
        <v>2</v>
      </c>
      <c r="J1114" t="s">
        <v>2277</v>
      </c>
      <c r="K1114" t="s">
        <v>2277</v>
      </c>
      <c r="L1114" t="s">
        <v>2277</v>
      </c>
      <c r="M1114" t="s">
        <v>2277</v>
      </c>
      <c r="N1114" t="s">
        <v>2277</v>
      </c>
      <c r="O1114" s="190" t="str">
        <f t="shared" si="17"/>
        <v>[S05_ImprovementReportArt69][17][ImprovementReportRequired]</v>
      </c>
    </row>
    <row r="1115" spans="1:15" x14ac:dyDescent="0.3">
      <c r="A1115" t="s">
        <v>2278</v>
      </c>
      <c r="B1115" t="s">
        <v>1886</v>
      </c>
      <c r="C1115" t="s">
        <v>1887</v>
      </c>
      <c r="D1115">
        <v>18</v>
      </c>
      <c r="E1115" t="s">
        <v>1447</v>
      </c>
      <c r="F1115" t="s">
        <v>1890</v>
      </c>
      <c r="G1115" t="s">
        <v>1748</v>
      </c>
      <c r="H1115" t="s">
        <v>2277</v>
      </c>
      <c r="I1115">
        <v>3</v>
      </c>
      <c r="J1115" t="s">
        <v>2277</v>
      </c>
      <c r="K1115" t="s">
        <v>2277</v>
      </c>
      <c r="L1115" t="s">
        <v>2277</v>
      </c>
      <c r="M1115" t="s">
        <v>2277</v>
      </c>
      <c r="N1115" t="s">
        <v>2277</v>
      </c>
      <c r="O1115" s="190" t="str">
        <f t="shared" si="17"/>
        <v>[S05_ImprovementReportArt69][18][ImprovementReportRequired]</v>
      </c>
    </row>
    <row r="1116" spans="1:15" x14ac:dyDescent="0.3">
      <c r="A1116" t="s">
        <v>2278</v>
      </c>
      <c r="B1116" t="s">
        <v>1886</v>
      </c>
      <c r="C1116" t="s">
        <v>1887</v>
      </c>
      <c r="D1116">
        <v>19</v>
      </c>
      <c r="E1116" t="s">
        <v>1447</v>
      </c>
      <c r="F1116" t="s">
        <v>1890</v>
      </c>
      <c r="G1116" t="s">
        <v>1748</v>
      </c>
      <c r="H1116" t="s">
        <v>2277</v>
      </c>
      <c r="I1116">
        <v>7</v>
      </c>
      <c r="J1116" t="s">
        <v>2277</v>
      </c>
      <c r="K1116" t="s">
        <v>2277</v>
      </c>
      <c r="L1116" t="s">
        <v>2277</v>
      </c>
      <c r="M1116" t="s">
        <v>2277</v>
      </c>
      <c r="N1116" t="s">
        <v>2277</v>
      </c>
      <c r="O1116" s="190" t="str">
        <f t="shared" si="17"/>
        <v>[S05_ImprovementReportArt69][19][ImprovementReportRequired]</v>
      </c>
    </row>
    <row r="1117" spans="1:15" x14ac:dyDescent="0.3">
      <c r="A1117" t="s">
        <v>2278</v>
      </c>
      <c r="B1117" t="s">
        <v>1886</v>
      </c>
      <c r="C1117" t="s">
        <v>1887</v>
      </c>
      <c r="D1117">
        <v>20</v>
      </c>
      <c r="E1117" t="s">
        <v>1447</v>
      </c>
      <c r="F1117" t="s">
        <v>1890</v>
      </c>
      <c r="G1117" t="s">
        <v>1748</v>
      </c>
      <c r="H1117" t="s">
        <v>2277</v>
      </c>
      <c r="I1117">
        <v>1</v>
      </c>
      <c r="J1117" t="s">
        <v>2277</v>
      </c>
      <c r="K1117" t="s">
        <v>2277</v>
      </c>
      <c r="L1117" t="s">
        <v>2277</v>
      </c>
      <c r="M1117" t="s">
        <v>2277</v>
      </c>
      <c r="N1117" t="s">
        <v>2277</v>
      </c>
      <c r="O1117" s="190" t="str">
        <f t="shared" si="17"/>
        <v>[S05_ImprovementReportArt69][20][ImprovementReportRequired]</v>
      </c>
    </row>
    <row r="1118" spans="1:15" x14ac:dyDescent="0.3">
      <c r="A1118" t="s">
        <v>2278</v>
      </c>
      <c r="B1118" t="s">
        <v>1886</v>
      </c>
      <c r="C1118" t="s">
        <v>1887</v>
      </c>
      <c r="D1118">
        <v>21</v>
      </c>
      <c r="E1118" t="s">
        <v>1447</v>
      </c>
      <c r="F1118" t="s">
        <v>1890</v>
      </c>
      <c r="G1118" t="s">
        <v>1748</v>
      </c>
      <c r="H1118" t="s">
        <v>2277</v>
      </c>
      <c r="I1118">
        <v>1</v>
      </c>
      <c r="J1118" t="s">
        <v>2277</v>
      </c>
      <c r="K1118" t="s">
        <v>2277</v>
      </c>
      <c r="L1118" t="s">
        <v>2277</v>
      </c>
      <c r="M1118" t="s">
        <v>2277</v>
      </c>
      <c r="N1118" t="s">
        <v>2277</v>
      </c>
      <c r="O1118" s="190" t="str">
        <f t="shared" si="17"/>
        <v>[S05_ImprovementReportArt69][21][ImprovementReportRequired]</v>
      </c>
    </row>
    <row r="1119" spans="1:15" x14ac:dyDescent="0.3">
      <c r="A1119" t="s">
        <v>2278</v>
      </c>
      <c r="B1119" t="s">
        <v>1886</v>
      </c>
      <c r="C1119" t="s">
        <v>1887</v>
      </c>
      <c r="D1119">
        <v>22</v>
      </c>
      <c r="E1119" t="s">
        <v>1447</v>
      </c>
      <c r="F1119" t="s">
        <v>1890</v>
      </c>
      <c r="G1119" t="s">
        <v>1748</v>
      </c>
      <c r="H1119" t="s">
        <v>2277</v>
      </c>
      <c r="I1119">
        <v>1</v>
      </c>
      <c r="J1119" t="s">
        <v>2277</v>
      </c>
      <c r="K1119" t="s">
        <v>2277</v>
      </c>
      <c r="L1119" t="s">
        <v>2277</v>
      </c>
      <c r="M1119" t="s">
        <v>2277</v>
      </c>
      <c r="N1119" t="s">
        <v>2277</v>
      </c>
      <c r="O1119" s="190" t="str">
        <f t="shared" si="17"/>
        <v>[S05_ImprovementReportArt69][22][ImprovementReportRequired]</v>
      </c>
    </row>
    <row r="1120" spans="1:15" x14ac:dyDescent="0.3">
      <c r="A1120" t="s">
        <v>2278</v>
      </c>
      <c r="B1120" t="s">
        <v>1886</v>
      </c>
      <c r="C1120" t="s">
        <v>1887</v>
      </c>
      <c r="D1120">
        <v>23</v>
      </c>
      <c r="E1120" t="s">
        <v>1447</v>
      </c>
      <c r="F1120" t="s">
        <v>1890</v>
      </c>
      <c r="G1120" t="s">
        <v>1748</v>
      </c>
      <c r="H1120" t="s">
        <v>2277</v>
      </c>
      <c r="I1120">
        <v>3</v>
      </c>
      <c r="J1120" t="s">
        <v>2277</v>
      </c>
      <c r="K1120" t="s">
        <v>2277</v>
      </c>
      <c r="L1120" t="s">
        <v>2277</v>
      </c>
      <c r="M1120" t="s">
        <v>2277</v>
      </c>
      <c r="N1120" t="s">
        <v>2277</v>
      </c>
      <c r="O1120" s="190" t="str">
        <f t="shared" si="17"/>
        <v>[S05_ImprovementReportArt69][23][ImprovementReportRequired]</v>
      </c>
    </row>
    <row r="1121" spans="1:15" x14ac:dyDescent="0.3">
      <c r="A1121" t="s">
        <v>2278</v>
      </c>
      <c r="B1121" t="s">
        <v>1886</v>
      </c>
      <c r="C1121" t="s">
        <v>1887</v>
      </c>
      <c r="D1121">
        <v>24</v>
      </c>
      <c r="E1121" t="s">
        <v>1447</v>
      </c>
      <c r="F1121" t="s">
        <v>1890</v>
      </c>
      <c r="G1121" t="s">
        <v>1748</v>
      </c>
      <c r="H1121" t="s">
        <v>2277</v>
      </c>
      <c r="I1121">
        <v>17</v>
      </c>
      <c r="J1121" t="s">
        <v>2277</v>
      </c>
      <c r="K1121" t="s">
        <v>2277</v>
      </c>
      <c r="L1121" t="s">
        <v>2277</v>
      </c>
      <c r="M1121" t="s">
        <v>2277</v>
      </c>
      <c r="N1121" t="s">
        <v>2277</v>
      </c>
      <c r="O1121" s="190" t="str">
        <f t="shared" si="17"/>
        <v>[S05_ImprovementReportArt69][24][ImprovementReportRequired]</v>
      </c>
    </row>
    <row r="1122" spans="1:15" x14ac:dyDescent="0.3">
      <c r="A1122" t="s">
        <v>2278</v>
      </c>
      <c r="B1122" t="s">
        <v>1886</v>
      </c>
      <c r="C1122" t="s">
        <v>1887</v>
      </c>
      <c r="D1122">
        <v>25</v>
      </c>
      <c r="E1122" t="s">
        <v>1447</v>
      </c>
      <c r="F1122" t="s">
        <v>1890</v>
      </c>
      <c r="G1122" t="s">
        <v>1748</v>
      </c>
      <c r="H1122" t="s">
        <v>2277</v>
      </c>
      <c r="I1122">
        <v>1</v>
      </c>
      <c r="J1122" t="s">
        <v>2277</v>
      </c>
      <c r="K1122" t="s">
        <v>2277</v>
      </c>
      <c r="L1122" t="s">
        <v>2277</v>
      </c>
      <c r="M1122" t="s">
        <v>2277</v>
      </c>
      <c r="N1122" t="s">
        <v>2277</v>
      </c>
      <c r="O1122" s="190" t="str">
        <f t="shared" si="17"/>
        <v>[S05_ImprovementReportArt69][25][ImprovementReportRequired]</v>
      </c>
    </row>
    <row r="1123" spans="1:15" x14ac:dyDescent="0.3">
      <c r="A1123" t="s">
        <v>2278</v>
      </c>
      <c r="B1123" t="s">
        <v>1886</v>
      </c>
      <c r="C1123" t="s">
        <v>1887</v>
      </c>
      <c r="D1123">
        <v>26</v>
      </c>
      <c r="E1123" t="s">
        <v>1447</v>
      </c>
      <c r="F1123" t="s">
        <v>1890</v>
      </c>
      <c r="G1123" t="s">
        <v>1748</v>
      </c>
      <c r="H1123" t="s">
        <v>2277</v>
      </c>
      <c r="I1123">
        <v>1</v>
      </c>
      <c r="J1123" t="s">
        <v>2277</v>
      </c>
      <c r="K1123" t="s">
        <v>2277</v>
      </c>
      <c r="L1123" t="s">
        <v>2277</v>
      </c>
      <c r="M1123" t="s">
        <v>2277</v>
      </c>
      <c r="N1123" t="s">
        <v>2277</v>
      </c>
      <c r="O1123" s="190" t="str">
        <f t="shared" si="17"/>
        <v>[S05_ImprovementReportArt69][26][ImprovementReportRequired]</v>
      </c>
    </row>
    <row r="1124" spans="1:15" x14ac:dyDescent="0.3">
      <c r="A1124" t="s">
        <v>2278</v>
      </c>
      <c r="B1124" t="s">
        <v>1886</v>
      </c>
      <c r="C1124" t="s">
        <v>1887</v>
      </c>
      <c r="D1124">
        <v>27</v>
      </c>
      <c r="E1124" t="s">
        <v>1447</v>
      </c>
      <c r="F1124" t="s">
        <v>1890</v>
      </c>
      <c r="G1124" t="s">
        <v>1748</v>
      </c>
      <c r="H1124" t="s">
        <v>2277</v>
      </c>
      <c r="I1124">
        <v>1</v>
      </c>
      <c r="J1124" t="s">
        <v>2277</v>
      </c>
      <c r="K1124" t="s">
        <v>2277</v>
      </c>
      <c r="L1124" t="s">
        <v>2277</v>
      </c>
      <c r="M1124" t="s">
        <v>2277</v>
      </c>
      <c r="N1124" t="s">
        <v>2277</v>
      </c>
      <c r="O1124" s="190" t="str">
        <f t="shared" si="17"/>
        <v>[S05_ImprovementReportArt69][27][ImprovementReportRequired]</v>
      </c>
    </row>
    <row r="1125" spans="1:15" x14ac:dyDescent="0.3">
      <c r="A1125" t="s">
        <v>2278</v>
      </c>
      <c r="B1125" t="s">
        <v>1886</v>
      </c>
      <c r="C1125" t="s">
        <v>1887</v>
      </c>
      <c r="D1125">
        <v>28</v>
      </c>
      <c r="E1125" t="s">
        <v>1447</v>
      </c>
      <c r="F1125" t="s">
        <v>1890</v>
      </c>
      <c r="G1125" t="s">
        <v>1748</v>
      </c>
      <c r="H1125" t="s">
        <v>2277</v>
      </c>
      <c r="I1125">
        <v>2</v>
      </c>
      <c r="J1125" t="s">
        <v>2277</v>
      </c>
      <c r="K1125" t="s">
        <v>2277</v>
      </c>
      <c r="L1125" t="s">
        <v>2277</v>
      </c>
      <c r="M1125" t="s">
        <v>2277</v>
      </c>
      <c r="N1125" t="s">
        <v>2277</v>
      </c>
      <c r="O1125" s="190" t="str">
        <f t="shared" si="17"/>
        <v>[S05_ImprovementReportArt69][28][ImprovementReportRequired]</v>
      </c>
    </row>
    <row r="1126" spans="1:15" x14ac:dyDescent="0.3">
      <c r="A1126" t="s">
        <v>2278</v>
      </c>
      <c r="B1126" t="s">
        <v>1886</v>
      </c>
      <c r="C1126" t="s">
        <v>1887</v>
      </c>
      <c r="D1126">
        <v>29</v>
      </c>
      <c r="E1126" t="s">
        <v>1447</v>
      </c>
      <c r="F1126" t="s">
        <v>1890</v>
      </c>
      <c r="G1126" t="s">
        <v>1748</v>
      </c>
      <c r="H1126" t="s">
        <v>2277</v>
      </c>
      <c r="I1126">
        <v>5</v>
      </c>
      <c r="J1126" t="s">
        <v>2277</v>
      </c>
      <c r="K1126" t="s">
        <v>2277</v>
      </c>
      <c r="L1126" t="s">
        <v>2277</v>
      </c>
      <c r="M1126" t="s">
        <v>2277</v>
      </c>
      <c r="N1126" t="s">
        <v>2277</v>
      </c>
      <c r="O1126" s="190" t="str">
        <f t="shared" si="17"/>
        <v>[S05_ImprovementReportArt69][29][ImprovementReportRequired]</v>
      </c>
    </row>
    <row r="1127" spans="1:15" x14ac:dyDescent="0.3">
      <c r="A1127" t="s">
        <v>2278</v>
      </c>
      <c r="B1127" t="s">
        <v>1886</v>
      </c>
      <c r="C1127" t="s">
        <v>1887</v>
      </c>
      <c r="D1127">
        <v>30</v>
      </c>
      <c r="E1127" t="s">
        <v>1447</v>
      </c>
      <c r="F1127" t="s">
        <v>1890</v>
      </c>
      <c r="G1127" t="s">
        <v>1748</v>
      </c>
      <c r="H1127" t="s">
        <v>2277</v>
      </c>
      <c r="I1127">
        <v>1</v>
      </c>
      <c r="J1127" t="s">
        <v>2277</v>
      </c>
      <c r="K1127" t="s">
        <v>2277</v>
      </c>
      <c r="L1127" t="s">
        <v>2277</v>
      </c>
      <c r="M1127" t="s">
        <v>2277</v>
      </c>
      <c r="N1127" t="s">
        <v>2277</v>
      </c>
      <c r="O1127" s="190" t="str">
        <f t="shared" si="17"/>
        <v>[S05_ImprovementReportArt69][30][ImprovementReportRequired]</v>
      </c>
    </row>
    <row r="1128" spans="1:15" x14ac:dyDescent="0.3">
      <c r="A1128" t="s">
        <v>2278</v>
      </c>
      <c r="B1128" t="s">
        <v>1886</v>
      </c>
      <c r="C1128" t="s">
        <v>1887</v>
      </c>
      <c r="D1128">
        <v>31</v>
      </c>
      <c r="E1128" t="s">
        <v>1447</v>
      </c>
      <c r="F1128" t="s">
        <v>1890</v>
      </c>
      <c r="G1128" t="s">
        <v>1748</v>
      </c>
      <c r="H1128" t="s">
        <v>2277</v>
      </c>
      <c r="I1128">
        <v>1</v>
      </c>
      <c r="J1128" t="s">
        <v>2277</v>
      </c>
      <c r="K1128" t="s">
        <v>2277</v>
      </c>
      <c r="L1128" t="s">
        <v>2277</v>
      </c>
      <c r="M1128" t="s">
        <v>2277</v>
      </c>
      <c r="N1128" t="s">
        <v>2277</v>
      </c>
      <c r="O1128" s="190" t="str">
        <f t="shared" si="17"/>
        <v>[S05_ImprovementReportArt69][31][ImprovementReportRequired]</v>
      </c>
    </row>
    <row r="1129" spans="1:15" x14ac:dyDescent="0.3">
      <c r="A1129" t="s">
        <v>2278</v>
      </c>
      <c r="B1129" t="s">
        <v>1886</v>
      </c>
      <c r="C1129" t="s">
        <v>1887</v>
      </c>
      <c r="D1129">
        <v>1</v>
      </c>
      <c r="E1129" t="s">
        <v>1447</v>
      </c>
      <c r="F1129" t="s">
        <v>1891</v>
      </c>
      <c r="G1129" t="s">
        <v>1748</v>
      </c>
      <c r="H1129" t="s">
        <v>2277</v>
      </c>
      <c r="I1129">
        <v>0</v>
      </c>
      <c r="J1129" t="s">
        <v>2277</v>
      </c>
      <c r="K1129" t="s">
        <v>2277</v>
      </c>
      <c r="L1129" t="s">
        <v>2277</v>
      </c>
      <c r="M1129" t="s">
        <v>2277</v>
      </c>
      <c r="N1129" t="s">
        <v>2277</v>
      </c>
      <c r="O1129" s="190" t="str">
        <f t="shared" si="17"/>
        <v>[S05_ImprovementReportArt69][1][ImprovementReportSubmitted]</v>
      </c>
    </row>
    <row r="1130" spans="1:15" x14ac:dyDescent="0.3">
      <c r="A1130" t="s">
        <v>2278</v>
      </c>
      <c r="B1130" t="s">
        <v>1886</v>
      </c>
      <c r="C1130" t="s">
        <v>1887</v>
      </c>
      <c r="D1130">
        <v>2</v>
      </c>
      <c r="E1130" t="s">
        <v>1447</v>
      </c>
      <c r="F1130" t="s">
        <v>1891</v>
      </c>
      <c r="G1130" t="s">
        <v>1748</v>
      </c>
      <c r="H1130" t="s">
        <v>2277</v>
      </c>
      <c r="I1130">
        <v>19</v>
      </c>
      <c r="J1130" t="s">
        <v>2277</v>
      </c>
      <c r="K1130" t="s">
        <v>2277</v>
      </c>
      <c r="L1130" t="s">
        <v>2277</v>
      </c>
      <c r="M1130" t="s">
        <v>2277</v>
      </c>
      <c r="N1130" t="s">
        <v>2277</v>
      </c>
      <c r="O1130" s="190" t="str">
        <f t="shared" si="17"/>
        <v>[S05_ImprovementReportArt69][2][ImprovementReportSubmitted]</v>
      </c>
    </row>
    <row r="1131" spans="1:15" x14ac:dyDescent="0.3">
      <c r="A1131" t="s">
        <v>2278</v>
      </c>
      <c r="B1131" t="s">
        <v>1886</v>
      </c>
      <c r="C1131" t="s">
        <v>1887</v>
      </c>
      <c r="D1131">
        <v>3</v>
      </c>
      <c r="E1131" t="s">
        <v>1447</v>
      </c>
      <c r="F1131" t="s">
        <v>1891</v>
      </c>
      <c r="G1131" t="s">
        <v>1748</v>
      </c>
      <c r="H1131" t="s">
        <v>2277</v>
      </c>
      <c r="I1131">
        <v>1</v>
      </c>
      <c r="J1131" t="s">
        <v>2277</v>
      </c>
      <c r="K1131" t="s">
        <v>2277</v>
      </c>
      <c r="L1131" t="s">
        <v>2277</v>
      </c>
      <c r="M1131" t="s">
        <v>2277</v>
      </c>
      <c r="N1131" t="s">
        <v>2277</v>
      </c>
      <c r="O1131" s="190" t="str">
        <f t="shared" si="17"/>
        <v>[S05_ImprovementReportArt69][3][ImprovementReportSubmitted]</v>
      </c>
    </row>
    <row r="1132" spans="1:15" x14ac:dyDescent="0.3">
      <c r="A1132" t="s">
        <v>2278</v>
      </c>
      <c r="B1132" t="s">
        <v>1886</v>
      </c>
      <c r="C1132" t="s">
        <v>1887</v>
      </c>
      <c r="D1132">
        <v>4</v>
      </c>
      <c r="E1132" t="s">
        <v>1447</v>
      </c>
      <c r="F1132" t="s">
        <v>1891</v>
      </c>
      <c r="G1132" t="s">
        <v>1748</v>
      </c>
      <c r="H1132" t="s">
        <v>2277</v>
      </c>
      <c r="I1132">
        <v>0</v>
      </c>
      <c r="J1132" t="s">
        <v>2277</v>
      </c>
      <c r="K1132" t="s">
        <v>2277</v>
      </c>
      <c r="L1132" t="s">
        <v>2277</v>
      </c>
      <c r="M1132" t="s">
        <v>2277</v>
      </c>
      <c r="N1132" t="s">
        <v>2277</v>
      </c>
      <c r="O1132" s="190" t="str">
        <f t="shared" si="17"/>
        <v>[S05_ImprovementReportArt69][4][ImprovementReportSubmitted]</v>
      </c>
    </row>
    <row r="1133" spans="1:15" x14ac:dyDescent="0.3">
      <c r="A1133" t="s">
        <v>2278</v>
      </c>
      <c r="B1133" t="s">
        <v>1886</v>
      </c>
      <c r="C1133" t="s">
        <v>1887</v>
      </c>
      <c r="D1133">
        <v>5</v>
      </c>
      <c r="E1133" t="s">
        <v>1447</v>
      </c>
      <c r="F1133" t="s">
        <v>1891</v>
      </c>
      <c r="G1133" t="s">
        <v>1748</v>
      </c>
      <c r="H1133" t="s">
        <v>2277</v>
      </c>
      <c r="I1133">
        <v>0</v>
      </c>
      <c r="J1133" t="s">
        <v>2277</v>
      </c>
      <c r="K1133" t="s">
        <v>2277</v>
      </c>
      <c r="L1133" t="s">
        <v>2277</v>
      </c>
      <c r="M1133" t="s">
        <v>2277</v>
      </c>
      <c r="N1133" t="s">
        <v>2277</v>
      </c>
      <c r="O1133" s="190" t="str">
        <f t="shared" si="17"/>
        <v>[S05_ImprovementReportArt69][5][ImprovementReportSubmitted]</v>
      </c>
    </row>
    <row r="1134" spans="1:15" x14ac:dyDescent="0.3">
      <c r="A1134" t="s">
        <v>2278</v>
      </c>
      <c r="B1134" t="s">
        <v>1886</v>
      </c>
      <c r="C1134" t="s">
        <v>1887</v>
      </c>
      <c r="D1134">
        <v>6</v>
      </c>
      <c r="E1134" t="s">
        <v>1447</v>
      </c>
      <c r="F1134" t="s">
        <v>1891</v>
      </c>
      <c r="G1134" t="s">
        <v>1748</v>
      </c>
      <c r="H1134" t="s">
        <v>2277</v>
      </c>
      <c r="I1134">
        <v>0</v>
      </c>
      <c r="J1134" t="s">
        <v>2277</v>
      </c>
      <c r="K1134" t="s">
        <v>2277</v>
      </c>
      <c r="L1134" t="s">
        <v>2277</v>
      </c>
      <c r="M1134" t="s">
        <v>2277</v>
      </c>
      <c r="N1134" t="s">
        <v>2277</v>
      </c>
      <c r="O1134" s="190" t="str">
        <f t="shared" si="17"/>
        <v>[S05_ImprovementReportArt69][6][ImprovementReportSubmitted]</v>
      </c>
    </row>
    <row r="1135" spans="1:15" x14ac:dyDescent="0.3">
      <c r="A1135" t="s">
        <v>2278</v>
      </c>
      <c r="B1135" t="s">
        <v>1886</v>
      </c>
      <c r="C1135" t="s">
        <v>1887</v>
      </c>
      <c r="D1135">
        <v>7</v>
      </c>
      <c r="E1135" t="s">
        <v>1447</v>
      </c>
      <c r="F1135" t="s">
        <v>1891</v>
      </c>
      <c r="G1135" t="s">
        <v>1748</v>
      </c>
      <c r="H1135" t="s">
        <v>2277</v>
      </c>
      <c r="I1135">
        <v>0</v>
      </c>
      <c r="J1135" t="s">
        <v>2277</v>
      </c>
      <c r="K1135" t="s">
        <v>2277</v>
      </c>
      <c r="L1135" t="s">
        <v>2277</v>
      </c>
      <c r="M1135" t="s">
        <v>2277</v>
      </c>
      <c r="N1135" t="s">
        <v>2277</v>
      </c>
      <c r="O1135" s="190" t="str">
        <f t="shared" si="17"/>
        <v>[S05_ImprovementReportArt69][7][ImprovementReportSubmitted]</v>
      </c>
    </row>
    <row r="1136" spans="1:15" x14ac:dyDescent="0.3">
      <c r="A1136" t="s">
        <v>2278</v>
      </c>
      <c r="B1136" t="s">
        <v>1886</v>
      </c>
      <c r="C1136" t="s">
        <v>1887</v>
      </c>
      <c r="D1136">
        <v>8</v>
      </c>
      <c r="E1136" t="s">
        <v>1447</v>
      </c>
      <c r="F1136" t="s">
        <v>1891</v>
      </c>
      <c r="G1136" t="s">
        <v>1748</v>
      </c>
      <c r="H1136" t="s">
        <v>2277</v>
      </c>
      <c r="I1136">
        <v>1</v>
      </c>
      <c r="J1136" t="s">
        <v>2277</v>
      </c>
      <c r="K1136" t="s">
        <v>2277</v>
      </c>
      <c r="L1136" t="s">
        <v>2277</v>
      </c>
      <c r="M1136" t="s">
        <v>2277</v>
      </c>
      <c r="N1136" t="s">
        <v>2277</v>
      </c>
      <c r="O1136" s="190" t="str">
        <f t="shared" si="17"/>
        <v>[S05_ImprovementReportArt69][8][ImprovementReportSubmitted]</v>
      </c>
    </row>
    <row r="1137" spans="1:15" x14ac:dyDescent="0.3">
      <c r="A1137" t="s">
        <v>2278</v>
      </c>
      <c r="B1137" t="s">
        <v>1886</v>
      </c>
      <c r="C1137" t="s">
        <v>1887</v>
      </c>
      <c r="D1137">
        <v>9</v>
      </c>
      <c r="E1137" t="s">
        <v>1447</v>
      </c>
      <c r="F1137" t="s">
        <v>1891</v>
      </c>
      <c r="G1137" t="s">
        <v>1748</v>
      </c>
      <c r="H1137" t="s">
        <v>2277</v>
      </c>
      <c r="I1137">
        <v>0</v>
      </c>
      <c r="J1137" t="s">
        <v>2277</v>
      </c>
      <c r="K1137" t="s">
        <v>2277</v>
      </c>
      <c r="L1137" t="s">
        <v>2277</v>
      </c>
      <c r="M1137" t="s">
        <v>2277</v>
      </c>
      <c r="N1137" t="s">
        <v>2277</v>
      </c>
      <c r="O1137" s="190" t="str">
        <f t="shared" si="17"/>
        <v>[S05_ImprovementReportArt69][9][ImprovementReportSubmitted]</v>
      </c>
    </row>
    <row r="1138" spans="1:15" x14ac:dyDescent="0.3">
      <c r="A1138" t="s">
        <v>2278</v>
      </c>
      <c r="B1138" t="s">
        <v>1886</v>
      </c>
      <c r="C1138" t="s">
        <v>1887</v>
      </c>
      <c r="D1138">
        <v>10</v>
      </c>
      <c r="E1138" t="s">
        <v>1447</v>
      </c>
      <c r="F1138" t="s">
        <v>1891</v>
      </c>
      <c r="G1138" t="s">
        <v>1748</v>
      </c>
      <c r="H1138" t="s">
        <v>2277</v>
      </c>
      <c r="I1138">
        <v>19</v>
      </c>
      <c r="J1138" t="s">
        <v>2277</v>
      </c>
      <c r="K1138" t="s">
        <v>2277</v>
      </c>
      <c r="L1138" t="s">
        <v>2277</v>
      </c>
      <c r="M1138" t="s">
        <v>2277</v>
      </c>
      <c r="N1138" t="s">
        <v>2277</v>
      </c>
      <c r="O1138" s="190" t="str">
        <f t="shared" si="17"/>
        <v>[S05_ImprovementReportArt69][10][ImprovementReportSubmitted]</v>
      </c>
    </row>
    <row r="1139" spans="1:15" x14ac:dyDescent="0.3">
      <c r="A1139" t="s">
        <v>2278</v>
      </c>
      <c r="B1139" t="s">
        <v>1886</v>
      </c>
      <c r="C1139" t="s">
        <v>1887</v>
      </c>
      <c r="D1139">
        <v>11</v>
      </c>
      <c r="E1139" t="s">
        <v>1447</v>
      </c>
      <c r="F1139" t="s">
        <v>1891</v>
      </c>
      <c r="G1139" t="s">
        <v>1748</v>
      </c>
      <c r="H1139" t="s">
        <v>2277</v>
      </c>
      <c r="I1139">
        <v>0</v>
      </c>
      <c r="J1139" t="s">
        <v>2277</v>
      </c>
      <c r="K1139" t="s">
        <v>2277</v>
      </c>
      <c r="L1139" t="s">
        <v>2277</v>
      </c>
      <c r="M1139" t="s">
        <v>2277</v>
      </c>
      <c r="N1139" t="s">
        <v>2277</v>
      </c>
      <c r="O1139" s="190" t="str">
        <f t="shared" si="17"/>
        <v>[S05_ImprovementReportArt69][11][ImprovementReportSubmitted]</v>
      </c>
    </row>
    <row r="1140" spans="1:15" x14ac:dyDescent="0.3">
      <c r="A1140" t="s">
        <v>2278</v>
      </c>
      <c r="B1140" t="s">
        <v>1886</v>
      </c>
      <c r="C1140" t="s">
        <v>1887</v>
      </c>
      <c r="D1140">
        <v>12</v>
      </c>
      <c r="E1140" t="s">
        <v>1447</v>
      </c>
      <c r="F1140" t="s">
        <v>1891</v>
      </c>
      <c r="G1140" t="s">
        <v>1748</v>
      </c>
      <c r="H1140" t="s">
        <v>2277</v>
      </c>
      <c r="I1140">
        <v>1</v>
      </c>
      <c r="J1140" t="s">
        <v>2277</v>
      </c>
      <c r="K1140" t="s">
        <v>2277</v>
      </c>
      <c r="L1140" t="s">
        <v>2277</v>
      </c>
      <c r="M1140" t="s">
        <v>2277</v>
      </c>
      <c r="N1140" t="s">
        <v>2277</v>
      </c>
      <c r="O1140" s="190" t="str">
        <f t="shared" si="17"/>
        <v>[S05_ImprovementReportArt69][12][ImprovementReportSubmitted]</v>
      </c>
    </row>
    <row r="1141" spans="1:15" x14ac:dyDescent="0.3">
      <c r="A1141" t="s">
        <v>2278</v>
      </c>
      <c r="B1141" t="s">
        <v>1886</v>
      </c>
      <c r="C1141" t="s">
        <v>1887</v>
      </c>
      <c r="D1141">
        <v>13</v>
      </c>
      <c r="E1141" t="s">
        <v>1447</v>
      </c>
      <c r="F1141" t="s">
        <v>1891</v>
      </c>
      <c r="G1141" t="s">
        <v>1748</v>
      </c>
      <c r="H1141" t="s">
        <v>2277</v>
      </c>
      <c r="I1141">
        <v>0</v>
      </c>
      <c r="J1141" t="s">
        <v>2277</v>
      </c>
      <c r="K1141" t="s">
        <v>2277</v>
      </c>
      <c r="L1141" t="s">
        <v>2277</v>
      </c>
      <c r="M1141" t="s">
        <v>2277</v>
      </c>
      <c r="N1141" t="s">
        <v>2277</v>
      </c>
      <c r="O1141" s="190" t="str">
        <f t="shared" si="17"/>
        <v>[S05_ImprovementReportArt69][13][ImprovementReportSubmitted]</v>
      </c>
    </row>
    <row r="1142" spans="1:15" x14ac:dyDescent="0.3">
      <c r="A1142" t="s">
        <v>2278</v>
      </c>
      <c r="B1142" t="s">
        <v>1886</v>
      </c>
      <c r="C1142" t="s">
        <v>1887</v>
      </c>
      <c r="D1142">
        <v>14</v>
      </c>
      <c r="E1142" t="s">
        <v>1447</v>
      </c>
      <c r="F1142" t="s">
        <v>1891</v>
      </c>
      <c r="G1142" t="s">
        <v>1748</v>
      </c>
      <c r="H1142" t="s">
        <v>2277</v>
      </c>
      <c r="I1142">
        <v>0</v>
      </c>
      <c r="J1142" t="s">
        <v>2277</v>
      </c>
      <c r="K1142" t="s">
        <v>2277</v>
      </c>
      <c r="L1142" t="s">
        <v>2277</v>
      </c>
      <c r="M1142" t="s">
        <v>2277</v>
      </c>
      <c r="N1142" t="s">
        <v>2277</v>
      </c>
      <c r="O1142" s="190" t="str">
        <f t="shared" si="17"/>
        <v>[S05_ImprovementReportArt69][14][ImprovementReportSubmitted]</v>
      </c>
    </row>
    <row r="1143" spans="1:15" x14ac:dyDescent="0.3">
      <c r="A1143" t="s">
        <v>2278</v>
      </c>
      <c r="B1143" t="s">
        <v>1886</v>
      </c>
      <c r="C1143" t="s">
        <v>1887</v>
      </c>
      <c r="D1143">
        <v>15</v>
      </c>
      <c r="E1143" t="s">
        <v>1447</v>
      </c>
      <c r="F1143" t="s">
        <v>1891</v>
      </c>
      <c r="G1143" t="s">
        <v>1748</v>
      </c>
      <c r="H1143" t="s">
        <v>2277</v>
      </c>
      <c r="I1143">
        <v>1</v>
      </c>
      <c r="J1143" t="s">
        <v>2277</v>
      </c>
      <c r="K1143" t="s">
        <v>2277</v>
      </c>
      <c r="L1143" t="s">
        <v>2277</v>
      </c>
      <c r="M1143" t="s">
        <v>2277</v>
      </c>
      <c r="N1143" t="s">
        <v>2277</v>
      </c>
      <c r="O1143" s="190" t="str">
        <f t="shared" si="17"/>
        <v>[S05_ImprovementReportArt69][15][ImprovementReportSubmitted]</v>
      </c>
    </row>
    <row r="1144" spans="1:15" x14ac:dyDescent="0.3">
      <c r="A1144" t="s">
        <v>2278</v>
      </c>
      <c r="B1144" t="s">
        <v>1886</v>
      </c>
      <c r="C1144" t="s">
        <v>1887</v>
      </c>
      <c r="D1144">
        <v>16</v>
      </c>
      <c r="E1144" t="s">
        <v>1447</v>
      </c>
      <c r="F1144" t="s">
        <v>1891</v>
      </c>
      <c r="G1144" t="s">
        <v>1748</v>
      </c>
      <c r="H1144" t="s">
        <v>2277</v>
      </c>
      <c r="I1144">
        <v>0</v>
      </c>
      <c r="J1144" t="s">
        <v>2277</v>
      </c>
      <c r="K1144" t="s">
        <v>2277</v>
      </c>
      <c r="L1144" t="s">
        <v>2277</v>
      </c>
      <c r="M1144" t="s">
        <v>2277</v>
      </c>
      <c r="N1144" t="s">
        <v>2277</v>
      </c>
      <c r="O1144" s="190" t="str">
        <f t="shared" si="17"/>
        <v>[S05_ImprovementReportArt69][16][ImprovementReportSubmitted]</v>
      </c>
    </row>
    <row r="1145" spans="1:15" x14ac:dyDescent="0.3">
      <c r="A1145" t="s">
        <v>2278</v>
      </c>
      <c r="B1145" t="s">
        <v>1886</v>
      </c>
      <c r="C1145" t="s">
        <v>1887</v>
      </c>
      <c r="D1145">
        <v>17</v>
      </c>
      <c r="E1145" t="s">
        <v>1447</v>
      </c>
      <c r="F1145" t="s">
        <v>1891</v>
      </c>
      <c r="G1145" t="s">
        <v>1748</v>
      </c>
      <c r="H1145" t="s">
        <v>2277</v>
      </c>
      <c r="I1145">
        <v>0</v>
      </c>
      <c r="J1145" t="s">
        <v>2277</v>
      </c>
      <c r="K1145" t="s">
        <v>2277</v>
      </c>
      <c r="L1145" t="s">
        <v>2277</v>
      </c>
      <c r="M1145" t="s">
        <v>2277</v>
      </c>
      <c r="N1145" t="s">
        <v>2277</v>
      </c>
      <c r="O1145" s="190" t="str">
        <f t="shared" si="17"/>
        <v>[S05_ImprovementReportArt69][17][ImprovementReportSubmitted]</v>
      </c>
    </row>
    <row r="1146" spans="1:15" x14ac:dyDescent="0.3">
      <c r="A1146" t="s">
        <v>2278</v>
      </c>
      <c r="B1146" t="s">
        <v>1886</v>
      </c>
      <c r="C1146" t="s">
        <v>1887</v>
      </c>
      <c r="D1146">
        <v>18</v>
      </c>
      <c r="E1146" t="s">
        <v>1447</v>
      </c>
      <c r="F1146" t="s">
        <v>1891</v>
      </c>
      <c r="G1146" t="s">
        <v>1748</v>
      </c>
      <c r="H1146" t="s">
        <v>2277</v>
      </c>
      <c r="I1146">
        <v>0</v>
      </c>
      <c r="J1146" t="s">
        <v>2277</v>
      </c>
      <c r="K1146" t="s">
        <v>2277</v>
      </c>
      <c r="L1146" t="s">
        <v>2277</v>
      </c>
      <c r="M1146" t="s">
        <v>2277</v>
      </c>
      <c r="N1146" t="s">
        <v>2277</v>
      </c>
      <c r="O1146" s="190" t="str">
        <f t="shared" si="17"/>
        <v>[S05_ImprovementReportArt69][18][ImprovementReportSubmitted]</v>
      </c>
    </row>
    <row r="1147" spans="1:15" x14ac:dyDescent="0.3">
      <c r="A1147" t="s">
        <v>2278</v>
      </c>
      <c r="B1147" t="s">
        <v>1886</v>
      </c>
      <c r="C1147" t="s">
        <v>1887</v>
      </c>
      <c r="D1147">
        <v>19</v>
      </c>
      <c r="E1147" t="s">
        <v>1447</v>
      </c>
      <c r="F1147" t="s">
        <v>1891</v>
      </c>
      <c r="G1147" t="s">
        <v>1748</v>
      </c>
      <c r="H1147" t="s">
        <v>2277</v>
      </c>
      <c r="I1147">
        <v>2</v>
      </c>
      <c r="J1147" t="s">
        <v>2277</v>
      </c>
      <c r="K1147" t="s">
        <v>2277</v>
      </c>
      <c r="L1147" t="s">
        <v>2277</v>
      </c>
      <c r="M1147" t="s">
        <v>2277</v>
      </c>
      <c r="N1147" t="s">
        <v>2277</v>
      </c>
      <c r="O1147" s="190" t="str">
        <f t="shared" si="17"/>
        <v>[S05_ImprovementReportArt69][19][ImprovementReportSubmitted]</v>
      </c>
    </row>
    <row r="1148" spans="1:15" x14ac:dyDescent="0.3">
      <c r="A1148" t="s">
        <v>2278</v>
      </c>
      <c r="B1148" t="s">
        <v>1886</v>
      </c>
      <c r="C1148" t="s">
        <v>1887</v>
      </c>
      <c r="D1148">
        <v>20</v>
      </c>
      <c r="E1148" t="s">
        <v>1447</v>
      </c>
      <c r="F1148" t="s">
        <v>1891</v>
      </c>
      <c r="G1148" t="s">
        <v>1748</v>
      </c>
      <c r="H1148" t="s">
        <v>2277</v>
      </c>
      <c r="I1148">
        <v>1</v>
      </c>
      <c r="J1148" t="s">
        <v>2277</v>
      </c>
      <c r="K1148" t="s">
        <v>2277</v>
      </c>
      <c r="L1148" t="s">
        <v>2277</v>
      </c>
      <c r="M1148" t="s">
        <v>2277</v>
      </c>
      <c r="N1148" t="s">
        <v>2277</v>
      </c>
      <c r="O1148" s="190" t="str">
        <f t="shared" si="17"/>
        <v>[S05_ImprovementReportArt69][20][ImprovementReportSubmitted]</v>
      </c>
    </row>
    <row r="1149" spans="1:15" x14ac:dyDescent="0.3">
      <c r="A1149" t="s">
        <v>2278</v>
      </c>
      <c r="B1149" t="s">
        <v>1886</v>
      </c>
      <c r="C1149" t="s">
        <v>1887</v>
      </c>
      <c r="D1149">
        <v>21</v>
      </c>
      <c r="E1149" t="s">
        <v>1447</v>
      </c>
      <c r="F1149" t="s">
        <v>1891</v>
      </c>
      <c r="G1149" t="s">
        <v>1748</v>
      </c>
      <c r="H1149" t="s">
        <v>2277</v>
      </c>
      <c r="I1149">
        <v>0</v>
      </c>
      <c r="J1149" t="s">
        <v>2277</v>
      </c>
      <c r="K1149" t="s">
        <v>2277</v>
      </c>
      <c r="L1149" t="s">
        <v>2277</v>
      </c>
      <c r="M1149" t="s">
        <v>2277</v>
      </c>
      <c r="N1149" t="s">
        <v>2277</v>
      </c>
      <c r="O1149" s="190" t="str">
        <f t="shared" si="17"/>
        <v>[S05_ImprovementReportArt69][21][ImprovementReportSubmitted]</v>
      </c>
    </row>
    <row r="1150" spans="1:15" x14ac:dyDescent="0.3">
      <c r="A1150" t="s">
        <v>2278</v>
      </c>
      <c r="B1150" t="s">
        <v>1886</v>
      </c>
      <c r="C1150" t="s">
        <v>1887</v>
      </c>
      <c r="D1150">
        <v>22</v>
      </c>
      <c r="E1150" t="s">
        <v>1447</v>
      </c>
      <c r="F1150" t="s">
        <v>1891</v>
      </c>
      <c r="G1150" t="s">
        <v>1748</v>
      </c>
      <c r="H1150" t="s">
        <v>2277</v>
      </c>
      <c r="I1150">
        <v>1</v>
      </c>
      <c r="J1150" t="s">
        <v>2277</v>
      </c>
      <c r="K1150" t="s">
        <v>2277</v>
      </c>
      <c r="L1150" t="s">
        <v>2277</v>
      </c>
      <c r="M1150" t="s">
        <v>2277</v>
      </c>
      <c r="N1150" t="s">
        <v>2277</v>
      </c>
      <c r="O1150" s="190" t="str">
        <f t="shared" si="17"/>
        <v>[S05_ImprovementReportArt69][22][ImprovementReportSubmitted]</v>
      </c>
    </row>
    <row r="1151" spans="1:15" x14ac:dyDescent="0.3">
      <c r="A1151" t="s">
        <v>2278</v>
      </c>
      <c r="B1151" t="s">
        <v>1886</v>
      </c>
      <c r="C1151" t="s">
        <v>1887</v>
      </c>
      <c r="D1151">
        <v>23</v>
      </c>
      <c r="E1151" t="s">
        <v>1447</v>
      </c>
      <c r="F1151" t="s">
        <v>1891</v>
      </c>
      <c r="G1151" t="s">
        <v>1748</v>
      </c>
      <c r="H1151" t="s">
        <v>2277</v>
      </c>
      <c r="I1151">
        <v>1</v>
      </c>
      <c r="J1151" t="s">
        <v>2277</v>
      </c>
      <c r="K1151" t="s">
        <v>2277</v>
      </c>
      <c r="L1151" t="s">
        <v>2277</v>
      </c>
      <c r="M1151" t="s">
        <v>2277</v>
      </c>
      <c r="N1151" t="s">
        <v>2277</v>
      </c>
      <c r="O1151" s="190" t="str">
        <f t="shared" si="17"/>
        <v>[S05_ImprovementReportArt69][23][ImprovementReportSubmitted]</v>
      </c>
    </row>
    <row r="1152" spans="1:15" x14ac:dyDescent="0.3">
      <c r="A1152" t="s">
        <v>2278</v>
      </c>
      <c r="B1152" t="s">
        <v>1886</v>
      </c>
      <c r="C1152" t="s">
        <v>1887</v>
      </c>
      <c r="D1152">
        <v>24</v>
      </c>
      <c r="E1152" t="s">
        <v>1447</v>
      </c>
      <c r="F1152" t="s">
        <v>1891</v>
      </c>
      <c r="G1152" t="s">
        <v>1748</v>
      </c>
      <c r="H1152" t="s">
        <v>2277</v>
      </c>
      <c r="I1152">
        <v>14</v>
      </c>
      <c r="J1152" t="s">
        <v>2277</v>
      </c>
      <c r="K1152" t="s">
        <v>2277</v>
      </c>
      <c r="L1152" t="s">
        <v>2277</v>
      </c>
      <c r="M1152" t="s">
        <v>2277</v>
      </c>
      <c r="N1152" t="s">
        <v>2277</v>
      </c>
      <c r="O1152" s="190" t="str">
        <f t="shared" si="17"/>
        <v>[S05_ImprovementReportArt69][24][ImprovementReportSubmitted]</v>
      </c>
    </row>
    <row r="1153" spans="1:15" x14ac:dyDescent="0.3">
      <c r="A1153" t="s">
        <v>2278</v>
      </c>
      <c r="B1153" t="s">
        <v>1886</v>
      </c>
      <c r="C1153" t="s">
        <v>1887</v>
      </c>
      <c r="D1153">
        <v>25</v>
      </c>
      <c r="E1153" t="s">
        <v>1447</v>
      </c>
      <c r="F1153" t="s">
        <v>1891</v>
      </c>
      <c r="G1153" t="s">
        <v>1748</v>
      </c>
      <c r="H1153" t="s">
        <v>2277</v>
      </c>
      <c r="I1153">
        <v>1</v>
      </c>
      <c r="J1153" t="s">
        <v>2277</v>
      </c>
      <c r="K1153" t="s">
        <v>2277</v>
      </c>
      <c r="L1153" t="s">
        <v>2277</v>
      </c>
      <c r="M1153" t="s">
        <v>2277</v>
      </c>
      <c r="N1153" t="s">
        <v>2277</v>
      </c>
      <c r="O1153" s="190" t="str">
        <f t="shared" si="17"/>
        <v>[S05_ImprovementReportArt69][25][ImprovementReportSubmitted]</v>
      </c>
    </row>
    <row r="1154" spans="1:15" x14ac:dyDescent="0.3">
      <c r="A1154" t="s">
        <v>2278</v>
      </c>
      <c r="B1154" t="s">
        <v>1886</v>
      </c>
      <c r="C1154" t="s">
        <v>1887</v>
      </c>
      <c r="D1154">
        <v>26</v>
      </c>
      <c r="E1154" t="s">
        <v>1447</v>
      </c>
      <c r="F1154" t="s">
        <v>1891</v>
      </c>
      <c r="G1154" t="s">
        <v>1748</v>
      </c>
      <c r="H1154" t="s">
        <v>2277</v>
      </c>
      <c r="I1154">
        <v>1</v>
      </c>
      <c r="J1154" t="s">
        <v>2277</v>
      </c>
      <c r="K1154" t="s">
        <v>2277</v>
      </c>
      <c r="L1154" t="s">
        <v>2277</v>
      </c>
      <c r="M1154" t="s">
        <v>2277</v>
      </c>
      <c r="N1154" t="s">
        <v>2277</v>
      </c>
      <c r="O1154" s="190" t="str">
        <f t="shared" ref="O1154:O1217" si="18">"["&amp;$C1154&amp;"]["&amp;$D1154&amp;"]["&amp;$F1154&amp;"]"</f>
        <v>[S05_ImprovementReportArt69][26][ImprovementReportSubmitted]</v>
      </c>
    </row>
    <row r="1155" spans="1:15" x14ac:dyDescent="0.3">
      <c r="A1155" t="s">
        <v>2278</v>
      </c>
      <c r="B1155" t="s">
        <v>1886</v>
      </c>
      <c r="C1155" t="s">
        <v>1887</v>
      </c>
      <c r="D1155">
        <v>27</v>
      </c>
      <c r="E1155" t="s">
        <v>1447</v>
      </c>
      <c r="F1155" t="s">
        <v>1891</v>
      </c>
      <c r="G1155" t="s">
        <v>1748</v>
      </c>
      <c r="H1155" t="s">
        <v>2277</v>
      </c>
      <c r="I1155">
        <v>1</v>
      </c>
      <c r="J1155" t="s">
        <v>2277</v>
      </c>
      <c r="K1155" t="s">
        <v>2277</v>
      </c>
      <c r="L1155" t="s">
        <v>2277</v>
      </c>
      <c r="M1155" t="s">
        <v>2277</v>
      </c>
      <c r="N1155" t="s">
        <v>2277</v>
      </c>
      <c r="O1155" s="190" t="str">
        <f t="shared" si="18"/>
        <v>[S05_ImprovementReportArt69][27][ImprovementReportSubmitted]</v>
      </c>
    </row>
    <row r="1156" spans="1:15" x14ac:dyDescent="0.3">
      <c r="A1156" t="s">
        <v>2278</v>
      </c>
      <c r="B1156" t="s">
        <v>1886</v>
      </c>
      <c r="C1156" t="s">
        <v>1887</v>
      </c>
      <c r="D1156">
        <v>28</v>
      </c>
      <c r="E1156" t="s">
        <v>1447</v>
      </c>
      <c r="F1156" t="s">
        <v>1891</v>
      </c>
      <c r="G1156" t="s">
        <v>1748</v>
      </c>
      <c r="H1156" t="s">
        <v>2277</v>
      </c>
      <c r="I1156">
        <v>0</v>
      </c>
      <c r="J1156" t="s">
        <v>2277</v>
      </c>
      <c r="K1156" t="s">
        <v>2277</v>
      </c>
      <c r="L1156" t="s">
        <v>2277</v>
      </c>
      <c r="M1156" t="s">
        <v>2277</v>
      </c>
      <c r="N1156" t="s">
        <v>2277</v>
      </c>
      <c r="O1156" s="190" t="str">
        <f t="shared" si="18"/>
        <v>[S05_ImprovementReportArt69][28][ImprovementReportSubmitted]</v>
      </c>
    </row>
    <row r="1157" spans="1:15" x14ac:dyDescent="0.3">
      <c r="A1157" t="s">
        <v>2278</v>
      </c>
      <c r="B1157" t="s">
        <v>1886</v>
      </c>
      <c r="C1157" t="s">
        <v>1887</v>
      </c>
      <c r="D1157">
        <v>29</v>
      </c>
      <c r="E1157" t="s">
        <v>1447</v>
      </c>
      <c r="F1157" t="s">
        <v>1891</v>
      </c>
      <c r="G1157" t="s">
        <v>1748</v>
      </c>
      <c r="H1157" t="s">
        <v>2277</v>
      </c>
      <c r="I1157">
        <v>0</v>
      </c>
      <c r="J1157" t="s">
        <v>2277</v>
      </c>
      <c r="K1157" t="s">
        <v>2277</v>
      </c>
      <c r="L1157" t="s">
        <v>2277</v>
      </c>
      <c r="M1157" t="s">
        <v>2277</v>
      </c>
      <c r="N1157" t="s">
        <v>2277</v>
      </c>
      <c r="O1157" s="190" t="str">
        <f t="shared" si="18"/>
        <v>[S05_ImprovementReportArt69][29][ImprovementReportSubmitted]</v>
      </c>
    </row>
    <row r="1158" spans="1:15" x14ac:dyDescent="0.3">
      <c r="A1158" t="s">
        <v>2278</v>
      </c>
      <c r="B1158" t="s">
        <v>1886</v>
      </c>
      <c r="C1158" t="s">
        <v>1887</v>
      </c>
      <c r="D1158">
        <v>30</v>
      </c>
      <c r="E1158" t="s">
        <v>1447</v>
      </c>
      <c r="F1158" t="s">
        <v>1891</v>
      </c>
      <c r="G1158" t="s">
        <v>1748</v>
      </c>
      <c r="H1158" t="s">
        <v>2277</v>
      </c>
      <c r="I1158">
        <v>1</v>
      </c>
      <c r="J1158" t="s">
        <v>2277</v>
      </c>
      <c r="K1158" t="s">
        <v>2277</v>
      </c>
      <c r="L1158" t="s">
        <v>2277</v>
      </c>
      <c r="M1158" t="s">
        <v>2277</v>
      </c>
      <c r="N1158" t="s">
        <v>2277</v>
      </c>
      <c r="O1158" s="190" t="str">
        <f t="shared" si="18"/>
        <v>[S05_ImprovementReportArt69][30][ImprovementReportSubmitted]</v>
      </c>
    </row>
    <row r="1159" spans="1:15" x14ac:dyDescent="0.3">
      <c r="A1159" t="s">
        <v>2278</v>
      </c>
      <c r="B1159" t="s">
        <v>1886</v>
      </c>
      <c r="C1159" t="s">
        <v>1887</v>
      </c>
      <c r="D1159">
        <v>31</v>
      </c>
      <c r="E1159" t="s">
        <v>1447</v>
      </c>
      <c r="F1159" t="s">
        <v>1891</v>
      </c>
      <c r="G1159" t="s">
        <v>1748</v>
      </c>
      <c r="H1159" t="s">
        <v>2277</v>
      </c>
      <c r="I1159">
        <v>0</v>
      </c>
      <c r="J1159" t="s">
        <v>2277</v>
      </c>
      <c r="K1159" t="s">
        <v>2277</v>
      </c>
      <c r="L1159" t="s">
        <v>2277</v>
      </c>
      <c r="M1159" t="s">
        <v>2277</v>
      </c>
      <c r="N1159" t="s">
        <v>2277</v>
      </c>
      <c r="O1159" s="190" t="str">
        <f t="shared" si="18"/>
        <v>[S05_ImprovementReportArt69][31][ImprovementReportSubmitted]</v>
      </c>
    </row>
    <row r="1160" spans="1:15" x14ac:dyDescent="0.3">
      <c r="A1160" t="s">
        <v>2278</v>
      </c>
      <c r="B1160" t="s">
        <v>1892</v>
      </c>
      <c r="C1160" t="s">
        <v>1893</v>
      </c>
      <c r="D1160">
        <v>0</v>
      </c>
      <c r="E1160" t="s">
        <v>1447</v>
      </c>
      <c r="F1160" t="s">
        <v>1893</v>
      </c>
      <c r="G1160" t="s">
        <v>1759</v>
      </c>
      <c r="H1160" t="s">
        <v>2277</v>
      </c>
      <c r="I1160" t="s">
        <v>2277</v>
      </c>
      <c r="J1160" t="s">
        <v>2277</v>
      </c>
      <c r="K1160" t="s">
        <v>2277</v>
      </c>
      <c r="L1160" t="s">
        <v>1419</v>
      </c>
      <c r="M1160" t="s">
        <v>2277</v>
      </c>
      <c r="N1160" t="s">
        <v>2277</v>
      </c>
      <c r="O1160" s="190" t="str">
        <f t="shared" si="18"/>
        <v>[InherentCarbonTransferred][0][InherentCarbonTransferred]</v>
      </c>
    </row>
    <row r="1161" spans="1:15" x14ac:dyDescent="0.3">
      <c r="A1161" t="s">
        <v>2278</v>
      </c>
      <c r="B1161" t="s">
        <v>1892</v>
      </c>
      <c r="C1161" t="s">
        <v>1894</v>
      </c>
      <c r="D1161">
        <v>1</v>
      </c>
      <c r="E1161" t="s">
        <v>1447</v>
      </c>
      <c r="F1161" t="s">
        <v>1895</v>
      </c>
      <c r="G1161" t="s">
        <v>1737</v>
      </c>
      <c r="H1161" t="s">
        <v>2277</v>
      </c>
      <c r="I1161" t="s">
        <v>2277</v>
      </c>
      <c r="J1161" t="s">
        <v>2277</v>
      </c>
      <c r="K1161" t="s">
        <v>2277</v>
      </c>
      <c r="L1161" t="s">
        <v>1434</v>
      </c>
      <c r="M1161" t="s">
        <v>2277</v>
      </c>
      <c r="N1161" t="s">
        <v>2277</v>
      </c>
      <c r="O1161" s="190" t="str">
        <f t="shared" si="18"/>
        <v>[S05_InherentCarbonTransferredDetail][1][TransferType]</v>
      </c>
    </row>
    <row r="1162" spans="1:15" x14ac:dyDescent="0.3">
      <c r="A1162" t="s">
        <v>2278</v>
      </c>
      <c r="B1162" t="s">
        <v>1892</v>
      </c>
      <c r="C1162" t="s">
        <v>1894</v>
      </c>
      <c r="D1162">
        <v>2</v>
      </c>
      <c r="E1162" t="s">
        <v>1447</v>
      </c>
      <c r="F1162" t="s">
        <v>1895</v>
      </c>
      <c r="G1162" t="s">
        <v>1737</v>
      </c>
      <c r="H1162" t="s">
        <v>2277</v>
      </c>
      <c r="I1162" t="s">
        <v>2277</v>
      </c>
      <c r="J1162" t="s">
        <v>2277</v>
      </c>
      <c r="K1162" t="s">
        <v>2277</v>
      </c>
      <c r="L1162" t="s">
        <v>1434</v>
      </c>
      <c r="M1162" t="s">
        <v>2277</v>
      </c>
      <c r="N1162" t="s">
        <v>2277</v>
      </c>
      <c r="O1162" s="190" t="str">
        <f t="shared" si="18"/>
        <v>[S05_InherentCarbonTransferredDetail][2][TransferType]</v>
      </c>
    </row>
    <row r="1163" spans="1:15" x14ac:dyDescent="0.3">
      <c r="A1163" t="s">
        <v>2278</v>
      </c>
      <c r="B1163" t="s">
        <v>1892</v>
      </c>
      <c r="C1163" t="s">
        <v>1894</v>
      </c>
      <c r="D1163">
        <v>3</v>
      </c>
      <c r="E1163" t="s">
        <v>1447</v>
      </c>
      <c r="F1163" t="s">
        <v>1895</v>
      </c>
      <c r="G1163" t="s">
        <v>1737</v>
      </c>
      <c r="H1163" t="s">
        <v>2277</v>
      </c>
      <c r="I1163" t="s">
        <v>2277</v>
      </c>
      <c r="J1163" t="s">
        <v>2277</v>
      </c>
      <c r="K1163" t="s">
        <v>2277</v>
      </c>
      <c r="L1163" t="s">
        <v>1434</v>
      </c>
      <c r="M1163" t="s">
        <v>2277</v>
      </c>
      <c r="N1163" t="s">
        <v>2277</v>
      </c>
      <c r="O1163" s="190" t="str">
        <f t="shared" si="18"/>
        <v>[S05_InherentCarbonTransferredDetail][3][TransferType]</v>
      </c>
    </row>
    <row r="1164" spans="1:15" x14ac:dyDescent="0.3">
      <c r="A1164" t="s">
        <v>2278</v>
      </c>
      <c r="B1164" t="s">
        <v>1892</v>
      </c>
      <c r="C1164" t="s">
        <v>1894</v>
      </c>
      <c r="D1164">
        <v>4</v>
      </c>
      <c r="E1164" t="s">
        <v>1447</v>
      </c>
      <c r="F1164" t="s">
        <v>1895</v>
      </c>
      <c r="G1164" t="s">
        <v>1737</v>
      </c>
      <c r="H1164" t="s">
        <v>2277</v>
      </c>
      <c r="I1164" t="s">
        <v>2277</v>
      </c>
      <c r="J1164" t="s">
        <v>2277</v>
      </c>
      <c r="K1164" t="s">
        <v>2277</v>
      </c>
      <c r="L1164" t="s">
        <v>1434</v>
      </c>
      <c r="M1164" t="s">
        <v>2277</v>
      </c>
      <c r="N1164" t="s">
        <v>2277</v>
      </c>
      <c r="O1164" s="190" t="str">
        <f t="shared" si="18"/>
        <v>[S05_InherentCarbonTransferredDetail][4][TransferType]</v>
      </c>
    </row>
    <row r="1165" spans="1:15" x14ac:dyDescent="0.3">
      <c r="A1165" t="s">
        <v>2278</v>
      </c>
      <c r="B1165" t="s">
        <v>1892</v>
      </c>
      <c r="C1165" t="s">
        <v>1894</v>
      </c>
      <c r="D1165">
        <v>5</v>
      </c>
      <c r="E1165" t="s">
        <v>1447</v>
      </c>
      <c r="F1165" t="s">
        <v>1895</v>
      </c>
      <c r="G1165" t="s">
        <v>1737</v>
      </c>
      <c r="H1165" t="s">
        <v>2277</v>
      </c>
      <c r="I1165" t="s">
        <v>2277</v>
      </c>
      <c r="J1165" t="s">
        <v>2277</v>
      </c>
      <c r="K1165" t="s">
        <v>2277</v>
      </c>
      <c r="L1165" t="s">
        <v>1434</v>
      </c>
      <c r="M1165" t="s">
        <v>2277</v>
      </c>
      <c r="N1165" t="s">
        <v>2277</v>
      </c>
      <c r="O1165" s="190" t="str">
        <f t="shared" si="18"/>
        <v>[S05_InherentCarbonTransferredDetail][5][TransferType]</v>
      </c>
    </row>
    <row r="1166" spans="1:15" x14ac:dyDescent="0.3">
      <c r="A1166" t="s">
        <v>2278</v>
      </c>
      <c r="B1166" t="s">
        <v>1892</v>
      </c>
      <c r="C1166" t="s">
        <v>1894</v>
      </c>
      <c r="D1166">
        <v>6</v>
      </c>
      <c r="E1166" t="s">
        <v>1447</v>
      </c>
      <c r="F1166" t="s">
        <v>1895</v>
      </c>
      <c r="G1166" t="s">
        <v>1737</v>
      </c>
      <c r="H1166" t="s">
        <v>2277</v>
      </c>
      <c r="I1166" t="s">
        <v>2277</v>
      </c>
      <c r="J1166" t="s">
        <v>2277</v>
      </c>
      <c r="K1166" t="s">
        <v>2277</v>
      </c>
      <c r="L1166" t="s">
        <v>1434</v>
      </c>
      <c r="M1166" t="s">
        <v>2277</v>
      </c>
      <c r="N1166" t="s">
        <v>2277</v>
      </c>
      <c r="O1166" s="190" t="str">
        <f t="shared" si="18"/>
        <v>[S05_InherentCarbonTransferredDetail][6][TransferType]</v>
      </c>
    </row>
    <row r="1167" spans="1:15" x14ac:dyDescent="0.3">
      <c r="A1167" t="s">
        <v>2278</v>
      </c>
      <c r="B1167" t="s">
        <v>1892</v>
      </c>
      <c r="C1167" t="s">
        <v>1894</v>
      </c>
      <c r="D1167">
        <v>7</v>
      </c>
      <c r="E1167" t="s">
        <v>1447</v>
      </c>
      <c r="F1167" t="s">
        <v>1895</v>
      </c>
      <c r="G1167" t="s">
        <v>1737</v>
      </c>
      <c r="H1167" t="s">
        <v>2277</v>
      </c>
      <c r="I1167" t="s">
        <v>2277</v>
      </c>
      <c r="J1167" t="s">
        <v>2277</v>
      </c>
      <c r="K1167" t="s">
        <v>2277</v>
      </c>
      <c r="L1167" t="s">
        <v>1434</v>
      </c>
      <c r="M1167" t="s">
        <v>2277</v>
      </c>
      <c r="N1167" t="s">
        <v>2277</v>
      </c>
      <c r="O1167" s="190" t="str">
        <f t="shared" si="18"/>
        <v>[S05_InherentCarbonTransferredDetail][7][TransferType]</v>
      </c>
    </row>
    <row r="1168" spans="1:15" x14ac:dyDescent="0.3">
      <c r="A1168" t="s">
        <v>2278</v>
      </c>
      <c r="B1168" t="s">
        <v>1892</v>
      </c>
      <c r="C1168" t="s">
        <v>1894</v>
      </c>
      <c r="D1168">
        <v>8</v>
      </c>
      <c r="E1168" t="s">
        <v>1447</v>
      </c>
      <c r="F1168" t="s">
        <v>1895</v>
      </c>
      <c r="G1168" t="s">
        <v>1737</v>
      </c>
      <c r="H1168" t="s">
        <v>2277</v>
      </c>
      <c r="I1168" t="s">
        <v>2277</v>
      </c>
      <c r="J1168" t="s">
        <v>2277</v>
      </c>
      <c r="K1168" t="s">
        <v>2277</v>
      </c>
      <c r="L1168" t="s">
        <v>1434</v>
      </c>
      <c r="M1168" t="s">
        <v>2277</v>
      </c>
      <c r="N1168" t="s">
        <v>2277</v>
      </c>
      <c r="O1168" s="190" t="str">
        <f t="shared" si="18"/>
        <v>[S05_InherentCarbonTransferredDetail][8][TransferType]</v>
      </c>
    </row>
    <row r="1169" spans="1:15" x14ac:dyDescent="0.3">
      <c r="A1169" t="s">
        <v>2278</v>
      </c>
      <c r="B1169" t="s">
        <v>1892</v>
      </c>
      <c r="C1169" t="s">
        <v>1894</v>
      </c>
      <c r="D1169">
        <v>9</v>
      </c>
      <c r="E1169" t="s">
        <v>1447</v>
      </c>
      <c r="F1169" t="s">
        <v>1895</v>
      </c>
      <c r="G1169" t="s">
        <v>1737</v>
      </c>
      <c r="H1169" t="s">
        <v>2277</v>
      </c>
      <c r="I1169" t="s">
        <v>2277</v>
      </c>
      <c r="J1169" t="s">
        <v>2277</v>
      </c>
      <c r="K1169" t="s">
        <v>2277</v>
      </c>
      <c r="L1169" t="s">
        <v>1434</v>
      </c>
      <c r="M1169" t="s">
        <v>2277</v>
      </c>
      <c r="N1169" t="s">
        <v>2277</v>
      </c>
      <c r="O1169" s="190" t="str">
        <f t="shared" si="18"/>
        <v>[S05_InherentCarbonTransferredDetail][9][TransferType]</v>
      </c>
    </row>
    <row r="1170" spans="1:15" x14ac:dyDescent="0.3">
      <c r="A1170" t="s">
        <v>2278</v>
      </c>
      <c r="B1170" t="s">
        <v>1892</v>
      </c>
      <c r="C1170" t="s">
        <v>1894</v>
      </c>
      <c r="D1170">
        <v>10</v>
      </c>
      <c r="E1170" t="s">
        <v>1447</v>
      </c>
      <c r="F1170" t="s">
        <v>1895</v>
      </c>
      <c r="G1170" t="s">
        <v>1737</v>
      </c>
      <c r="H1170" t="s">
        <v>2277</v>
      </c>
      <c r="I1170" t="s">
        <v>2277</v>
      </c>
      <c r="J1170" t="s">
        <v>2277</v>
      </c>
      <c r="K1170" t="s">
        <v>2277</v>
      </c>
      <c r="L1170" t="s">
        <v>1434</v>
      </c>
      <c r="M1170" t="s">
        <v>2277</v>
      </c>
      <c r="N1170" t="s">
        <v>2277</v>
      </c>
      <c r="O1170" s="190" t="str">
        <f t="shared" si="18"/>
        <v>[S05_InherentCarbonTransferredDetail][10][TransferType]</v>
      </c>
    </row>
    <row r="1171" spans="1:15" x14ac:dyDescent="0.3">
      <c r="A1171" t="s">
        <v>2278</v>
      </c>
      <c r="B1171" t="s">
        <v>1892</v>
      </c>
      <c r="C1171" t="s">
        <v>1894</v>
      </c>
      <c r="D1171">
        <v>11</v>
      </c>
      <c r="E1171" t="s">
        <v>1447</v>
      </c>
      <c r="F1171" t="s">
        <v>1895</v>
      </c>
      <c r="G1171" t="s">
        <v>1737</v>
      </c>
      <c r="H1171" t="s">
        <v>2277</v>
      </c>
      <c r="I1171" t="s">
        <v>2277</v>
      </c>
      <c r="J1171" t="s">
        <v>2277</v>
      </c>
      <c r="K1171" t="s">
        <v>2277</v>
      </c>
      <c r="L1171" t="s">
        <v>1434</v>
      </c>
      <c r="M1171" t="s">
        <v>2277</v>
      </c>
      <c r="N1171" t="s">
        <v>2277</v>
      </c>
      <c r="O1171" s="190" t="str">
        <f t="shared" si="18"/>
        <v>[S05_InherentCarbonTransferredDetail][11][TransferType]</v>
      </c>
    </row>
    <row r="1172" spans="1:15" x14ac:dyDescent="0.3">
      <c r="A1172" t="s">
        <v>2278</v>
      </c>
      <c r="B1172" t="s">
        <v>1892</v>
      </c>
      <c r="C1172" t="s">
        <v>1894</v>
      </c>
      <c r="D1172">
        <v>12</v>
      </c>
      <c r="E1172" t="s">
        <v>1447</v>
      </c>
      <c r="F1172" t="s">
        <v>1895</v>
      </c>
      <c r="G1172" t="s">
        <v>1737</v>
      </c>
      <c r="H1172" t="s">
        <v>2277</v>
      </c>
      <c r="I1172" t="s">
        <v>2277</v>
      </c>
      <c r="J1172" t="s">
        <v>2277</v>
      </c>
      <c r="K1172" t="s">
        <v>2277</v>
      </c>
      <c r="L1172" t="s">
        <v>1434</v>
      </c>
      <c r="M1172" t="s">
        <v>2277</v>
      </c>
      <c r="N1172" t="s">
        <v>2277</v>
      </c>
      <c r="O1172" s="190" t="str">
        <f t="shared" si="18"/>
        <v>[S05_InherentCarbonTransferredDetail][12][TransferType]</v>
      </c>
    </row>
    <row r="1173" spans="1:15" x14ac:dyDescent="0.3">
      <c r="A1173" t="s">
        <v>2278</v>
      </c>
      <c r="B1173" t="s">
        <v>1892</v>
      </c>
      <c r="C1173" t="s">
        <v>1894</v>
      </c>
      <c r="D1173">
        <v>13</v>
      </c>
      <c r="E1173" t="s">
        <v>1447</v>
      </c>
      <c r="F1173" t="s">
        <v>1895</v>
      </c>
      <c r="G1173" t="s">
        <v>1737</v>
      </c>
      <c r="H1173" t="s">
        <v>2277</v>
      </c>
      <c r="I1173" t="s">
        <v>2277</v>
      </c>
      <c r="J1173" t="s">
        <v>2277</v>
      </c>
      <c r="K1173" t="s">
        <v>2277</v>
      </c>
      <c r="L1173" t="s">
        <v>1434</v>
      </c>
      <c r="M1173" t="s">
        <v>2277</v>
      </c>
      <c r="N1173" t="s">
        <v>2277</v>
      </c>
      <c r="O1173" s="190" t="str">
        <f t="shared" si="18"/>
        <v>[S05_InherentCarbonTransferredDetail][13][TransferType]</v>
      </c>
    </row>
    <row r="1174" spans="1:15" x14ac:dyDescent="0.3">
      <c r="A1174" t="s">
        <v>2278</v>
      </c>
      <c r="B1174" t="s">
        <v>1892</v>
      </c>
      <c r="C1174" t="s">
        <v>1894</v>
      </c>
      <c r="D1174">
        <v>14</v>
      </c>
      <c r="E1174" t="s">
        <v>1447</v>
      </c>
      <c r="F1174" t="s">
        <v>1895</v>
      </c>
      <c r="G1174" t="s">
        <v>1737</v>
      </c>
      <c r="H1174" t="s">
        <v>2277</v>
      </c>
      <c r="I1174" t="s">
        <v>2277</v>
      </c>
      <c r="J1174" t="s">
        <v>2277</v>
      </c>
      <c r="K1174" t="s">
        <v>2277</v>
      </c>
      <c r="L1174" t="s">
        <v>1434</v>
      </c>
      <c r="M1174" t="s">
        <v>2277</v>
      </c>
      <c r="N1174" t="s">
        <v>2277</v>
      </c>
      <c r="O1174" s="190" t="str">
        <f t="shared" si="18"/>
        <v>[S05_InherentCarbonTransferredDetail][14][TransferType]</v>
      </c>
    </row>
    <row r="1175" spans="1:15" x14ac:dyDescent="0.3">
      <c r="A1175" t="s">
        <v>2278</v>
      </c>
      <c r="B1175" t="s">
        <v>1892</v>
      </c>
      <c r="C1175" t="s">
        <v>1894</v>
      </c>
      <c r="D1175">
        <v>15</v>
      </c>
      <c r="E1175" t="s">
        <v>1447</v>
      </c>
      <c r="F1175" t="s">
        <v>1895</v>
      </c>
      <c r="G1175" t="s">
        <v>1737</v>
      </c>
      <c r="H1175" t="s">
        <v>2277</v>
      </c>
      <c r="I1175" t="s">
        <v>2277</v>
      </c>
      <c r="J1175" t="s">
        <v>2277</v>
      </c>
      <c r="K1175" t="s">
        <v>2277</v>
      </c>
      <c r="L1175" t="s">
        <v>1434</v>
      </c>
      <c r="M1175" t="s">
        <v>2277</v>
      </c>
      <c r="N1175" t="s">
        <v>2277</v>
      </c>
      <c r="O1175" s="190" t="str">
        <f t="shared" si="18"/>
        <v>[S05_InherentCarbonTransferredDetail][15][TransferType]</v>
      </c>
    </row>
    <row r="1176" spans="1:15" x14ac:dyDescent="0.3">
      <c r="A1176" t="s">
        <v>2278</v>
      </c>
      <c r="B1176" t="s">
        <v>1892</v>
      </c>
      <c r="C1176" t="s">
        <v>1894</v>
      </c>
      <c r="D1176">
        <v>16</v>
      </c>
      <c r="E1176" t="s">
        <v>1447</v>
      </c>
      <c r="F1176" t="s">
        <v>1895</v>
      </c>
      <c r="G1176" t="s">
        <v>1737</v>
      </c>
      <c r="H1176" t="s">
        <v>2277</v>
      </c>
      <c r="I1176" t="s">
        <v>2277</v>
      </c>
      <c r="J1176" t="s">
        <v>2277</v>
      </c>
      <c r="K1176" t="s">
        <v>2277</v>
      </c>
      <c r="L1176" t="s">
        <v>1434</v>
      </c>
      <c r="M1176" t="s">
        <v>2277</v>
      </c>
      <c r="N1176" t="s">
        <v>2277</v>
      </c>
      <c r="O1176" s="190" t="str">
        <f t="shared" si="18"/>
        <v>[S05_InherentCarbonTransferredDetail][16][TransferType]</v>
      </c>
    </row>
    <row r="1177" spans="1:15" x14ac:dyDescent="0.3">
      <c r="A1177" t="s">
        <v>2278</v>
      </c>
      <c r="B1177" t="s">
        <v>1892</v>
      </c>
      <c r="C1177" t="s">
        <v>1894</v>
      </c>
      <c r="D1177">
        <v>17</v>
      </c>
      <c r="E1177" t="s">
        <v>1447</v>
      </c>
      <c r="F1177" t="s">
        <v>1895</v>
      </c>
      <c r="G1177" t="s">
        <v>1737</v>
      </c>
      <c r="H1177" t="s">
        <v>2277</v>
      </c>
      <c r="I1177" t="s">
        <v>2277</v>
      </c>
      <c r="J1177" t="s">
        <v>2277</v>
      </c>
      <c r="K1177" t="s">
        <v>2277</v>
      </c>
      <c r="L1177" t="s">
        <v>1434</v>
      </c>
      <c r="M1177" t="s">
        <v>2277</v>
      </c>
      <c r="N1177" t="s">
        <v>2277</v>
      </c>
      <c r="O1177" s="190" t="str">
        <f t="shared" si="18"/>
        <v>[S05_InherentCarbonTransferredDetail][17][TransferType]</v>
      </c>
    </row>
    <row r="1178" spans="1:15" x14ac:dyDescent="0.3">
      <c r="A1178" t="s">
        <v>2278</v>
      </c>
      <c r="B1178" t="s">
        <v>1892</v>
      </c>
      <c r="C1178" t="s">
        <v>1894</v>
      </c>
      <c r="D1178">
        <v>18</v>
      </c>
      <c r="E1178" t="s">
        <v>1447</v>
      </c>
      <c r="F1178" t="s">
        <v>1895</v>
      </c>
      <c r="G1178" t="s">
        <v>1737</v>
      </c>
      <c r="H1178" t="s">
        <v>2277</v>
      </c>
      <c r="I1178" t="s">
        <v>2277</v>
      </c>
      <c r="J1178" t="s">
        <v>2277</v>
      </c>
      <c r="K1178" t="s">
        <v>2277</v>
      </c>
      <c r="L1178" t="s">
        <v>1434</v>
      </c>
      <c r="M1178" t="s">
        <v>2277</v>
      </c>
      <c r="N1178" t="s">
        <v>2277</v>
      </c>
      <c r="O1178" s="190" t="str">
        <f t="shared" si="18"/>
        <v>[S05_InherentCarbonTransferredDetail][18][TransferType]</v>
      </c>
    </row>
    <row r="1179" spans="1:15" x14ac:dyDescent="0.3">
      <c r="A1179" t="s">
        <v>2278</v>
      </c>
      <c r="B1179" t="s">
        <v>1892</v>
      </c>
      <c r="C1179" t="s">
        <v>1894</v>
      </c>
      <c r="D1179">
        <v>19</v>
      </c>
      <c r="E1179" t="s">
        <v>1447</v>
      </c>
      <c r="F1179" t="s">
        <v>1895</v>
      </c>
      <c r="G1179" t="s">
        <v>1737</v>
      </c>
      <c r="H1179" t="s">
        <v>2277</v>
      </c>
      <c r="I1179" t="s">
        <v>2277</v>
      </c>
      <c r="J1179" t="s">
        <v>2277</v>
      </c>
      <c r="K1179" t="s">
        <v>2277</v>
      </c>
      <c r="L1179" t="s">
        <v>1434</v>
      </c>
      <c r="M1179" t="s">
        <v>2277</v>
      </c>
      <c r="N1179" t="s">
        <v>2277</v>
      </c>
      <c r="O1179" s="190" t="str">
        <f t="shared" si="18"/>
        <v>[S05_InherentCarbonTransferredDetail][19][TransferType]</v>
      </c>
    </row>
    <row r="1180" spans="1:15" x14ac:dyDescent="0.3">
      <c r="A1180" t="s">
        <v>2278</v>
      </c>
      <c r="B1180" t="s">
        <v>1892</v>
      </c>
      <c r="C1180" t="s">
        <v>1894</v>
      </c>
      <c r="D1180">
        <v>20</v>
      </c>
      <c r="E1180" t="s">
        <v>1447</v>
      </c>
      <c r="F1180" t="s">
        <v>1895</v>
      </c>
      <c r="G1180" t="s">
        <v>1737</v>
      </c>
      <c r="H1180" t="s">
        <v>2277</v>
      </c>
      <c r="I1180" t="s">
        <v>2277</v>
      </c>
      <c r="J1180" t="s">
        <v>2277</v>
      </c>
      <c r="K1180" t="s">
        <v>2277</v>
      </c>
      <c r="L1180" t="s">
        <v>1434</v>
      </c>
      <c r="M1180" t="s">
        <v>2277</v>
      </c>
      <c r="N1180" t="s">
        <v>2277</v>
      </c>
      <c r="O1180" s="190" t="str">
        <f t="shared" si="18"/>
        <v>[S05_InherentCarbonTransferredDetail][20][TransferType]</v>
      </c>
    </row>
    <row r="1181" spans="1:15" x14ac:dyDescent="0.3">
      <c r="A1181" t="s">
        <v>2278</v>
      </c>
      <c r="B1181" t="s">
        <v>1892</v>
      </c>
      <c r="C1181" t="s">
        <v>1894</v>
      </c>
      <c r="D1181">
        <v>21</v>
      </c>
      <c r="E1181" t="s">
        <v>1447</v>
      </c>
      <c r="F1181" t="s">
        <v>1895</v>
      </c>
      <c r="G1181" t="s">
        <v>1737</v>
      </c>
      <c r="H1181" t="s">
        <v>2277</v>
      </c>
      <c r="I1181" t="s">
        <v>2277</v>
      </c>
      <c r="J1181" t="s">
        <v>2277</v>
      </c>
      <c r="K1181" t="s">
        <v>2277</v>
      </c>
      <c r="L1181" t="s">
        <v>1434</v>
      </c>
      <c r="M1181" t="s">
        <v>2277</v>
      </c>
      <c r="N1181" t="s">
        <v>2277</v>
      </c>
      <c r="O1181" s="190" t="str">
        <f t="shared" si="18"/>
        <v>[S05_InherentCarbonTransferredDetail][21][TransferType]</v>
      </c>
    </row>
    <row r="1182" spans="1:15" x14ac:dyDescent="0.3">
      <c r="A1182" t="s">
        <v>2278</v>
      </c>
      <c r="B1182" t="s">
        <v>1892</v>
      </c>
      <c r="C1182" t="s">
        <v>1894</v>
      </c>
      <c r="D1182">
        <v>22</v>
      </c>
      <c r="E1182" t="s">
        <v>1447</v>
      </c>
      <c r="F1182" t="s">
        <v>1895</v>
      </c>
      <c r="G1182" t="s">
        <v>1737</v>
      </c>
      <c r="H1182" t="s">
        <v>2277</v>
      </c>
      <c r="I1182" t="s">
        <v>2277</v>
      </c>
      <c r="J1182" t="s">
        <v>2277</v>
      </c>
      <c r="K1182" t="s">
        <v>2277</v>
      </c>
      <c r="L1182" t="s">
        <v>1434</v>
      </c>
      <c r="M1182" t="s">
        <v>2277</v>
      </c>
      <c r="N1182" t="s">
        <v>2277</v>
      </c>
      <c r="O1182" s="190" t="str">
        <f t="shared" si="18"/>
        <v>[S05_InherentCarbonTransferredDetail][22][TransferType]</v>
      </c>
    </row>
    <row r="1183" spans="1:15" x14ac:dyDescent="0.3">
      <c r="A1183" t="s">
        <v>2278</v>
      </c>
      <c r="B1183" t="s">
        <v>1892</v>
      </c>
      <c r="C1183" t="s">
        <v>1894</v>
      </c>
      <c r="D1183">
        <v>23</v>
      </c>
      <c r="E1183" t="s">
        <v>1447</v>
      </c>
      <c r="F1183" t="s">
        <v>1895</v>
      </c>
      <c r="G1183" t="s">
        <v>1737</v>
      </c>
      <c r="H1183" t="s">
        <v>2277</v>
      </c>
      <c r="I1183" t="s">
        <v>2277</v>
      </c>
      <c r="J1183" t="s">
        <v>2277</v>
      </c>
      <c r="K1183" t="s">
        <v>2277</v>
      </c>
      <c r="L1183" t="s">
        <v>1434</v>
      </c>
      <c r="M1183" t="s">
        <v>2277</v>
      </c>
      <c r="N1183" t="s">
        <v>2277</v>
      </c>
      <c r="O1183" s="190" t="str">
        <f t="shared" si="18"/>
        <v>[S05_InherentCarbonTransferredDetail][23][TransferType]</v>
      </c>
    </row>
    <row r="1184" spans="1:15" x14ac:dyDescent="0.3">
      <c r="A1184" t="s">
        <v>2278</v>
      </c>
      <c r="B1184" t="s">
        <v>1892</v>
      </c>
      <c r="C1184" t="s">
        <v>1894</v>
      </c>
      <c r="D1184">
        <v>24</v>
      </c>
      <c r="E1184" t="s">
        <v>1447</v>
      </c>
      <c r="F1184" t="s">
        <v>1895</v>
      </c>
      <c r="G1184" t="s">
        <v>1737</v>
      </c>
      <c r="H1184" t="s">
        <v>2277</v>
      </c>
      <c r="I1184" t="s">
        <v>2277</v>
      </c>
      <c r="J1184" t="s">
        <v>2277</v>
      </c>
      <c r="K1184" t="s">
        <v>2277</v>
      </c>
      <c r="L1184" t="s">
        <v>1434</v>
      </c>
      <c r="M1184" t="s">
        <v>2277</v>
      </c>
      <c r="N1184" t="s">
        <v>2277</v>
      </c>
      <c r="O1184" s="190" t="str">
        <f t="shared" si="18"/>
        <v>[S05_InherentCarbonTransferredDetail][24][TransferType]</v>
      </c>
    </row>
    <row r="1185" spans="1:15" x14ac:dyDescent="0.3">
      <c r="A1185" t="s">
        <v>2278</v>
      </c>
      <c r="B1185" t="s">
        <v>1892</v>
      </c>
      <c r="C1185" t="s">
        <v>1894</v>
      </c>
      <c r="D1185">
        <v>25</v>
      </c>
      <c r="E1185" t="s">
        <v>1447</v>
      </c>
      <c r="F1185" t="s">
        <v>1895</v>
      </c>
      <c r="G1185" t="s">
        <v>1737</v>
      </c>
      <c r="H1185" t="s">
        <v>2277</v>
      </c>
      <c r="I1185" t="s">
        <v>2277</v>
      </c>
      <c r="J1185" t="s">
        <v>2277</v>
      </c>
      <c r="K1185" t="s">
        <v>2277</v>
      </c>
      <c r="L1185" t="s">
        <v>1434</v>
      </c>
      <c r="M1185" t="s">
        <v>2277</v>
      </c>
      <c r="N1185" t="s">
        <v>2277</v>
      </c>
      <c r="O1185" s="190" t="str">
        <f t="shared" si="18"/>
        <v>[S05_InherentCarbonTransferredDetail][25][TransferType]</v>
      </c>
    </row>
    <row r="1186" spans="1:15" x14ac:dyDescent="0.3">
      <c r="A1186" t="s">
        <v>2278</v>
      </c>
      <c r="B1186" t="s">
        <v>1892</v>
      </c>
      <c r="C1186" t="s">
        <v>1894</v>
      </c>
      <c r="D1186">
        <v>26</v>
      </c>
      <c r="E1186" t="s">
        <v>1447</v>
      </c>
      <c r="F1186" t="s">
        <v>1895</v>
      </c>
      <c r="G1186" t="s">
        <v>1737</v>
      </c>
      <c r="H1186" t="s">
        <v>2277</v>
      </c>
      <c r="I1186" t="s">
        <v>2277</v>
      </c>
      <c r="J1186" t="s">
        <v>2277</v>
      </c>
      <c r="K1186" t="s">
        <v>2277</v>
      </c>
      <c r="L1186" t="s">
        <v>1434</v>
      </c>
      <c r="M1186" t="s">
        <v>2277</v>
      </c>
      <c r="N1186" t="s">
        <v>2277</v>
      </c>
      <c r="O1186" s="190" t="str">
        <f t="shared" si="18"/>
        <v>[S05_InherentCarbonTransferredDetail][26][TransferType]</v>
      </c>
    </row>
    <row r="1187" spans="1:15" x14ac:dyDescent="0.3">
      <c r="A1187" t="s">
        <v>2278</v>
      </c>
      <c r="B1187" t="s">
        <v>1892</v>
      </c>
      <c r="C1187" t="s">
        <v>1894</v>
      </c>
      <c r="D1187">
        <v>27</v>
      </c>
      <c r="E1187" t="s">
        <v>1447</v>
      </c>
      <c r="F1187" t="s">
        <v>1895</v>
      </c>
      <c r="G1187" t="s">
        <v>1737</v>
      </c>
      <c r="H1187" t="s">
        <v>2277</v>
      </c>
      <c r="I1187" t="s">
        <v>2277</v>
      </c>
      <c r="J1187" t="s">
        <v>2277</v>
      </c>
      <c r="K1187" t="s">
        <v>2277</v>
      </c>
      <c r="L1187" t="s">
        <v>1434</v>
      </c>
      <c r="M1187" t="s">
        <v>2277</v>
      </c>
      <c r="N1187" t="s">
        <v>2277</v>
      </c>
      <c r="O1187" s="190" t="str">
        <f t="shared" si="18"/>
        <v>[S05_InherentCarbonTransferredDetail][27][TransferType]</v>
      </c>
    </row>
    <row r="1188" spans="1:15" x14ac:dyDescent="0.3">
      <c r="A1188" t="s">
        <v>2278</v>
      </c>
      <c r="B1188" t="s">
        <v>1892</v>
      </c>
      <c r="C1188" t="s">
        <v>1894</v>
      </c>
      <c r="D1188">
        <v>28</v>
      </c>
      <c r="E1188" t="s">
        <v>1447</v>
      </c>
      <c r="F1188" t="s">
        <v>1895</v>
      </c>
      <c r="G1188" t="s">
        <v>1737</v>
      </c>
      <c r="H1188" t="s">
        <v>2277</v>
      </c>
      <c r="I1188" t="s">
        <v>2277</v>
      </c>
      <c r="J1188" t="s">
        <v>2277</v>
      </c>
      <c r="K1188" t="s">
        <v>2277</v>
      </c>
      <c r="L1188" t="s">
        <v>1434</v>
      </c>
      <c r="M1188" t="s">
        <v>2277</v>
      </c>
      <c r="N1188" t="s">
        <v>2277</v>
      </c>
      <c r="O1188" s="190" t="str">
        <f t="shared" si="18"/>
        <v>[S05_InherentCarbonTransferredDetail][28][TransferType]</v>
      </c>
    </row>
    <row r="1189" spans="1:15" x14ac:dyDescent="0.3">
      <c r="A1189" t="s">
        <v>2278</v>
      </c>
      <c r="B1189" t="s">
        <v>1892</v>
      </c>
      <c r="C1189" t="s">
        <v>1894</v>
      </c>
      <c r="D1189">
        <v>29</v>
      </c>
      <c r="E1189" t="s">
        <v>1447</v>
      </c>
      <c r="F1189" t="s">
        <v>1895</v>
      </c>
      <c r="G1189" t="s">
        <v>1737</v>
      </c>
      <c r="H1189" t="s">
        <v>2277</v>
      </c>
      <c r="I1189" t="s">
        <v>2277</v>
      </c>
      <c r="J1189" t="s">
        <v>2277</v>
      </c>
      <c r="K1189" t="s">
        <v>2277</v>
      </c>
      <c r="L1189" t="s">
        <v>1434</v>
      </c>
      <c r="M1189" t="s">
        <v>2277</v>
      </c>
      <c r="N1189" t="s">
        <v>2277</v>
      </c>
      <c r="O1189" s="190" t="str">
        <f t="shared" si="18"/>
        <v>[S05_InherentCarbonTransferredDetail][29][TransferType]</v>
      </c>
    </row>
    <row r="1190" spans="1:15" x14ac:dyDescent="0.3">
      <c r="A1190" t="s">
        <v>2278</v>
      </c>
      <c r="B1190" t="s">
        <v>1892</v>
      </c>
      <c r="C1190" t="s">
        <v>1894</v>
      </c>
      <c r="D1190">
        <v>30</v>
      </c>
      <c r="E1190" t="s">
        <v>1447</v>
      </c>
      <c r="F1190" t="s">
        <v>1895</v>
      </c>
      <c r="G1190" t="s">
        <v>1737</v>
      </c>
      <c r="H1190" t="s">
        <v>2277</v>
      </c>
      <c r="I1190" t="s">
        <v>2277</v>
      </c>
      <c r="J1190" t="s">
        <v>2277</v>
      </c>
      <c r="K1190" t="s">
        <v>2277</v>
      </c>
      <c r="L1190" t="s">
        <v>1434</v>
      </c>
      <c r="M1190" t="s">
        <v>2277</v>
      </c>
      <c r="N1190" t="s">
        <v>2277</v>
      </c>
      <c r="O1190" s="190" t="str">
        <f t="shared" si="18"/>
        <v>[S05_InherentCarbonTransferredDetail][30][TransferType]</v>
      </c>
    </row>
    <row r="1191" spans="1:15" x14ac:dyDescent="0.3">
      <c r="A1191" t="s">
        <v>2278</v>
      </c>
      <c r="B1191" t="s">
        <v>1892</v>
      </c>
      <c r="C1191" t="s">
        <v>1894</v>
      </c>
      <c r="D1191">
        <v>31</v>
      </c>
      <c r="E1191" t="s">
        <v>1447</v>
      </c>
      <c r="F1191" t="s">
        <v>1895</v>
      </c>
      <c r="G1191" t="s">
        <v>1737</v>
      </c>
      <c r="H1191" t="s">
        <v>2277</v>
      </c>
      <c r="I1191" t="s">
        <v>2277</v>
      </c>
      <c r="J1191" t="s">
        <v>2277</v>
      </c>
      <c r="K1191" t="s">
        <v>2277</v>
      </c>
      <c r="L1191" t="s">
        <v>1434</v>
      </c>
      <c r="M1191" t="s">
        <v>2277</v>
      </c>
      <c r="N1191" t="s">
        <v>2277</v>
      </c>
      <c r="O1191" s="190" t="str">
        <f t="shared" si="18"/>
        <v>[S05_InherentCarbonTransferredDetail][31][TransferType]</v>
      </c>
    </row>
    <row r="1192" spans="1:15" x14ac:dyDescent="0.3">
      <c r="A1192" t="s">
        <v>2278</v>
      </c>
      <c r="B1192" t="s">
        <v>1892</v>
      </c>
      <c r="C1192" t="s">
        <v>1894</v>
      </c>
      <c r="D1192">
        <v>32</v>
      </c>
      <c r="E1192" t="s">
        <v>1447</v>
      </c>
      <c r="F1192" t="s">
        <v>1895</v>
      </c>
      <c r="G1192" t="s">
        <v>1737</v>
      </c>
      <c r="H1192" t="s">
        <v>2277</v>
      </c>
      <c r="I1192" t="s">
        <v>2277</v>
      </c>
      <c r="J1192" t="s">
        <v>2277</v>
      </c>
      <c r="K1192" t="s">
        <v>2277</v>
      </c>
      <c r="L1192" t="s">
        <v>1434</v>
      </c>
      <c r="M1192" t="s">
        <v>2277</v>
      </c>
      <c r="N1192" t="s">
        <v>2277</v>
      </c>
      <c r="O1192" s="190" t="str">
        <f t="shared" si="18"/>
        <v>[S05_InherentCarbonTransferredDetail][32][TransferType]</v>
      </c>
    </row>
    <row r="1193" spans="1:15" x14ac:dyDescent="0.3">
      <c r="A1193" t="s">
        <v>2278</v>
      </c>
      <c r="B1193" t="s">
        <v>1892</v>
      </c>
      <c r="C1193" t="s">
        <v>1894</v>
      </c>
      <c r="D1193">
        <v>1</v>
      </c>
      <c r="E1193" t="s">
        <v>1447</v>
      </c>
      <c r="F1193" t="s">
        <v>1896</v>
      </c>
      <c r="G1193" t="s">
        <v>1741</v>
      </c>
      <c r="H1193" t="s">
        <v>2371</v>
      </c>
      <c r="I1193" t="s">
        <v>2277</v>
      </c>
      <c r="J1193" t="s">
        <v>2277</v>
      </c>
      <c r="K1193" t="s">
        <v>2277</v>
      </c>
      <c r="L1193" t="s">
        <v>2277</v>
      </c>
      <c r="M1193" t="s">
        <v>2277</v>
      </c>
      <c r="N1193" t="s">
        <v>2277</v>
      </c>
      <c r="O1193" s="190" t="str">
        <f t="shared" si="18"/>
        <v>[S05_InherentCarbonTransferredDetail][1][InstallationIdTransferring]</v>
      </c>
    </row>
    <row r="1194" spans="1:15" x14ac:dyDescent="0.3">
      <c r="A1194" t="s">
        <v>2278</v>
      </c>
      <c r="B1194" t="s">
        <v>1892</v>
      </c>
      <c r="C1194" t="s">
        <v>1894</v>
      </c>
      <c r="D1194">
        <v>2</v>
      </c>
      <c r="E1194" t="s">
        <v>1447</v>
      </c>
      <c r="F1194" t="s">
        <v>1896</v>
      </c>
      <c r="G1194" t="s">
        <v>1741</v>
      </c>
      <c r="H1194" t="s">
        <v>2371</v>
      </c>
      <c r="I1194" t="s">
        <v>2277</v>
      </c>
      <c r="J1194" t="s">
        <v>2277</v>
      </c>
      <c r="K1194" t="s">
        <v>2277</v>
      </c>
      <c r="L1194" t="s">
        <v>2277</v>
      </c>
      <c r="M1194" t="s">
        <v>2277</v>
      </c>
      <c r="N1194" t="s">
        <v>2277</v>
      </c>
      <c r="O1194" s="190" t="str">
        <f t="shared" si="18"/>
        <v>[S05_InherentCarbonTransferredDetail][2][InstallationIdTransferring]</v>
      </c>
    </row>
    <row r="1195" spans="1:15" x14ac:dyDescent="0.3">
      <c r="A1195" t="s">
        <v>2278</v>
      </c>
      <c r="B1195" t="s">
        <v>1892</v>
      </c>
      <c r="C1195" t="s">
        <v>1894</v>
      </c>
      <c r="D1195">
        <v>3</v>
      </c>
      <c r="E1195" t="s">
        <v>1447</v>
      </c>
      <c r="F1195" t="s">
        <v>1896</v>
      </c>
      <c r="G1195" t="s">
        <v>1741</v>
      </c>
      <c r="H1195" t="s">
        <v>2370</v>
      </c>
      <c r="I1195" t="s">
        <v>2277</v>
      </c>
      <c r="J1195" t="s">
        <v>2277</v>
      </c>
      <c r="K1195" t="s">
        <v>2277</v>
      </c>
      <c r="L1195" t="s">
        <v>2277</v>
      </c>
      <c r="M1195" t="s">
        <v>2277</v>
      </c>
      <c r="N1195" t="s">
        <v>2277</v>
      </c>
      <c r="O1195" s="190" t="str">
        <f t="shared" si="18"/>
        <v>[S05_InherentCarbonTransferredDetail][3][InstallationIdTransferring]</v>
      </c>
    </row>
    <row r="1196" spans="1:15" x14ac:dyDescent="0.3">
      <c r="A1196" t="s">
        <v>2278</v>
      </c>
      <c r="B1196" t="s">
        <v>1892</v>
      </c>
      <c r="C1196" t="s">
        <v>1894</v>
      </c>
      <c r="D1196">
        <v>4</v>
      </c>
      <c r="E1196" t="s">
        <v>1447</v>
      </c>
      <c r="F1196" t="s">
        <v>1896</v>
      </c>
      <c r="G1196" t="s">
        <v>1741</v>
      </c>
      <c r="H1196" t="s">
        <v>2369</v>
      </c>
      <c r="I1196" t="s">
        <v>2277</v>
      </c>
      <c r="J1196" t="s">
        <v>2277</v>
      </c>
      <c r="K1196" t="s">
        <v>2277</v>
      </c>
      <c r="L1196" t="s">
        <v>2277</v>
      </c>
      <c r="M1196" t="s">
        <v>2277</v>
      </c>
      <c r="N1196" t="s">
        <v>2277</v>
      </c>
      <c r="O1196" s="190" t="str">
        <f t="shared" si="18"/>
        <v>[S05_InherentCarbonTransferredDetail][4][InstallationIdTransferring]</v>
      </c>
    </row>
    <row r="1197" spans="1:15" x14ac:dyDescent="0.3">
      <c r="A1197" t="s">
        <v>2278</v>
      </c>
      <c r="B1197" t="s">
        <v>1892</v>
      </c>
      <c r="C1197" t="s">
        <v>1894</v>
      </c>
      <c r="D1197">
        <v>5</v>
      </c>
      <c r="E1197" t="s">
        <v>1447</v>
      </c>
      <c r="F1197" t="s">
        <v>1896</v>
      </c>
      <c r="G1197" t="s">
        <v>1741</v>
      </c>
      <c r="H1197" t="s">
        <v>2368</v>
      </c>
      <c r="I1197" t="s">
        <v>2277</v>
      </c>
      <c r="J1197" t="s">
        <v>2277</v>
      </c>
      <c r="K1197" t="s">
        <v>2277</v>
      </c>
      <c r="L1197" t="s">
        <v>2277</v>
      </c>
      <c r="M1197" t="s">
        <v>2277</v>
      </c>
      <c r="N1197" t="s">
        <v>2277</v>
      </c>
      <c r="O1197" s="190" t="str">
        <f t="shared" si="18"/>
        <v>[S05_InherentCarbonTransferredDetail][5][InstallationIdTransferring]</v>
      </c>
    </row>
    <row r="1198" spans="1:15" x14ac:dyDescent="0.3">
      <c r="A1198" t="s">
        <v>2278</v>
      </c>
      <c r="B1198" t="s">
        <v>1892</v>
      </c>
      <c r="C1198" t="s">
        <v>1894</v>
      </c>
      <c r="D1198">
        <v>6</v>
      </c>
      <c r="E1198" t="s">
        <v>1447</v>
      </c>
      <c r="F1198" t="s">
        <v>1896</v>
      </c>
      <c r="G1198" t="s">
        <v>1741</v>
      </c>
      <c r="H1198" t="s">
        <v>2368</v>
      </c>
      <c r="I1198" t="s">
        <v>2277</v>
      </c>
      <c r="J1198" t="s">
        <v>2277</v>
      </c>
      <c r="K1198" t="s">
        <v>2277</v>
      </c>
      <c r="L1198" t="s">
        <v>2277</v>
      </c>
      <c r="M1198" t="s">
        <v>2277</v>
      </c>
      <c r="N1198" t="s">
        <v>2277</v>
      </c>
      <c r="O1198" s="190" t="str">
        <f t="shared" si="18"/>
        <v>[S05_InherentCarbonTransferredDetail][6][InstallationIdTransferring]</v>
      </c>
    </row>
    <row r="1199" spans="1:15" x14ac:dyDescent="0.3">
      <c r="A1199" t="s">
        <v>2278</v>
      </c>
      <c r="B1199" t="s">
        <v>1892</v>
      </c>
      <c r="C1199" t="s">
        <v>1894</v>
      </c>
      <c r="D1199">
        <v>7</v>
      </c>
      <c r="E1199" t="s">
        <v>1447</v>
      </c>
      <c r="F1199" t="s">
        <v>1896</v>
      </c>
      <c r="G1199" t="s">
        <v>1741</v>
      </c>
      <c r="H1199" t="s">
        <v>2368</v>
      </c>
      <c r="I1199" t="s">
        <v>2277</v>
      </c>
      <c r="J1199" t="s">
        <v>2277</v>
      </c>
      <c r="K1199" t="s">
        <v>2277</v>
      </c>
      <c r="L1199" t="s">
        <v>2277</v>
      </c>
      <c r="M1199" t="s">
        <v>2277</v>
      </c>
      <c r="N1199" t="s">
        <v>2277</v>
      </c>
      <c r="O1199" s="190" t="str">
        <f t="shared" si="18"/>
        <v>[S05_InherentCarbonTransferredDetail][7][InstallationIdTransferring]</v>
      </c>
    </row>
    <row r="1200" spans="1:15" x14ac:dyDescent="0.3">
      <c r="A1200" t="s">
        <v>2278</v>
      </c>
      <c r="B1200" t="s">
        <v>1892</v>
      </c>
      <c r="C1200" t="s">
        <v>1894</v>
      </c>
      <c r="D1200">
        <v>8</v>
      </c>
      <c r="E1200" t="s">
        <v>1447</v>
      </c>
      <c r="F1200" t="s">
        <v>1896</v>
      </c>
      <c r="G1200" t="s">
        <v>1741</v>
      </c>
      <c r="H1200" t="s">
        <v>2368</v>
      </c>
      <c r="I1200" t="s">
        <v>2277</v>
      </c>
      <c r="J1200" t="s">
        <v>2277</v>
      </c>
      <c r="K1200" t="s">
        <v>2277</v>
      </c>
      <c r="L1200" t="s">
        <v>2277</v>
      </c>
      <c r="M1200" t="s">
        <v>2277</v>
      </c>
      <c r="N1200" t="s">
        <v>2277</v>
      </c>
      <c r="O1200" s="190" t="str">
        <f t="shared" si="18"/>
        <v>[S05_InherentCarbonTransferredDetail][8][InstallationIdTransferring]</v>
      </c>
    </row>
    <row r="1201" spans="1:15" x14ac:dyDescent="0.3">
      <c r="A1201" t="s">
        <v>2278</v>
      </c>
      <c r="B1201" t="s">
        <v>1892</v>
      </c>
      <c r="C1201" t="s">
        <v>1894</v>
      </c>
      <c r="D1201">
        <v>9</v>
      </c>
      <c r="E1201" t="s">
        <v>1447</v>
      </c>
      <c r="F1201" t="s">
        <v>1896</v>
      </c>
      <c r="G1201" t="s">
        <v>1741</v>
      </c>
      <c r="H1201" t="s">
        <v>2367</v>
      </c>
      <c r="I1201" t="s">
        <v>2277</v>
      </c>
      <c r="J1201" t="s">
        <v>2277</v>
      </c>
      <c r="K1201" t="s">
        <v>2277</v>
      </c>
      <c r="L1201" t="s">
        <v>2277</v>
      </c>
      <c r="M1201" t="s">
        <v>2277</v>
      </c>
      <c r="N1201" t="s">
        <v>2277</v>
      </c>
      <c r="O1201" s="190" t="str">
        <f t="shared" si="18"/>
        <v>[S05_InherentCarbonTransferredDetail][9][InstallationIdTransferring]</v>
      </c>
    </row>
    <row r="1202" spans="1:15" x14ac:dyDescent="0.3">
      <c r="A1202" t="s">
        <v>2278</v>
      </c>
      <c r="B1202" t="s">
        <v>1892</v>
      </c>
      <c r="C1202" t="s">
        <v>1894</v>
      </c>
      <c r="D1202">
        <v>10</v>
      </c>
      <c r="E1202" t="s">
        <v>1447</v>
      </c>
      <c r="F1202" t="s">
        <v>1896</v>
      </c>
      <c r="G1202" t="s">
        <v>1741</v>
      </c>
      <c r="H1202" t="s">
        <v>2366</v>
      </c>
      <c r="I1202" t="s">
        <v>2277</v>
      </c>
      <c r="J1202" t="s">
        <v>2277</v>
      </c>
      <c r="K1202" t="s">
        <v>2277</v>
      </c>
      <c r="L1202" t="s">
        <v>2277</v>
      </c>
      <c r="M1202" t="s">
        <v>2277</v>
      </c>
      <c r="N1202" t="s">
        <v>2277</v>
      </c>
      <c r="O1202" s="190" t="str">
        <f t="shared" si="18"/>
        <v>[S05_InherentCarbonTransferredDetail][10][InstallationIdTransferring]</v>
      </c>
    </row>
    <row r="1203" spans="1:15" x14ac:dyDescent="0.3">
      <c r="A1203" t="s">
        <v>2278</v>
      </c>
      <c r="B1203" t="s">
        <v>1892</v>
      </c>
      <c r="C1203" t="s">
        <v>1894</v>
      </c>
      <c r="D1203">
        <v>11</v>
      </c>
      <c r="E1203" t="s">
        <v>1447</v>
      </c>
      <c r="F1203" t="s">
        <v>1896</v>
      </c>
      <c r="G1203" t="s">
        <v>1741</v>
      </c>
      <c r="H1203" t="s">
        <v>2366</v>
      </c>
      <c r="I1203" t="s">
        <v>2277</v>
      </c>
      <c r="J1203" t="s">
        <v>2277</v>
      </c>
      <c r="K1203" t="s">
        <v>2277</v>
      </c>
      <c r="L1203" t="s">
        <v>2277</v>
      </c>
      <c r="M1203" t="s">
        <v>2277</v>
      </c>
      <c r="N1203" t="s">
        <v>2277</v>
      </c>
      <c r="O1203" s="190" t="str">
        <f t="shared" si="18"/>
        <v>[S05_InherentCarbonTransferredDetail][11][InstallationIdTransferring]</v>
      </c>
    </row>
    <row r="1204" spans="1:15" x14ac:dyDescent="0.3">
      <c r="A1204" t="s">
        <v>2278</v>
      </c>
      <c r="B1204" t="s">
        <v>1892</v>
      </c>
      <c r="C1204" t="s">
        <v>1894</v>
      </c>
      <c r="D1204">
        <v>12</v>
      </c>
      <c r="E1204" t="s">
        <v>1447</v>
      </c>
      <c r="F1204" t="s">
        <v>1896</v>
      </c>
      <c r="G1204" t="s">
        <v>1741</v>
      </c>
      <c r="H1204" t="s">
        <v>2366</v>
      </c>
      <c r="I1204" t="s">
        <v>2277</v>
      </c>
      <c r="J1204" t="s">
        <v>2277</v>
      </c>
      <c r="K1204" t="s">
        <v>2277</v>
      </c>
      <c r="L1204" t="s">
        <v>2277</v>
      </c>
      <c r="M1204" t="s">
        <v>2277</v>
      </c>
      <c r="N1204" t="s">
        <v>2277</v>
      </c>
      <c r="O1204" s="190" t="str">
        <f t="shared" si="18"/>
        <v>[S05_InherentCarbonTransferredDetail][12][InstallationIdTransferring]</v>
      </c>
    </row>
    <row r="1205" spans="1:15" x14ac:dyDescent="0.3">
      <c r="A1205" t="s">
        <v>2278</v>
      </c>
      <c r="B1205" t="s">
        <v>1892</v>
      </c>
      <c r="C1205" t="s">
        <v>1894</v>
      </c>
      <c r="D1205">
        <v>13</v>
      </c>
      <c r="E1205" t="s">
        <v>1447</v>
      </c>
      <c r="F1205" t="s">
        <v>1896</v>
      </c>
      <c r="G1205" t="s">
        <v>1741</v>
      </c>
      <c r="H1205" t="s">
        <v>2366</v>
      </c>
      <c r="I1205" t="s">
        <v>2277</v>
      </c>
      <c r="J1205" t="s">
        <v>2277</v>
      </c>
      <c r="K1205" t="s">
        <v>2277</v>
      </c>
      <c r="L1205" t="s">
        <v>2277</v>
      </c>
      <c r="M1205" t="s">
        <v>2277</v>
      </c>
      <c r="N1205" t="s">
        <v>2277</v>
      </c>
      <c r="O1205" s="190" t="str">
        <f t="shared" si="18"/>
        <v>[S05_InherentCarbonTransferredDetail][13][InstallationIdTransferring]</v>
      </c>
    </row>
    <row r="1206" spans="1:15" x14ac:dyDescent="0.3">
      <c r="A1206" t="s">
        <v>2278</v>
      </c>
      <c r="B1206" t="s">
        <v>1892</v>
      </c>
      <c r="C1206" t="s">
        <v>1894</v>
      </c>
      <c r="D1206">
        <v>14</v>
      </c>
      <c r="E1206" t="s">
        <v>1447</v>
      </c>
      <c r="F1206" t="s">
        <v>1896</v>
      </c>
      <c r="G1206" t="s">
        <v>1741</v>
      </c>
      <c r="H1206" t="s">
        <v>2366</v>
      </c>
      <c r="I1206" t="s">
        <v>2277</v>
      </c>
      <c r="J1206" t="s">
        <v>2277</v>
      </c>
      <c r="K1206" t="s">
        <v>2277</v>
      </c>
      <c r="L1206" t="s">
        <v>2277</v>
      </c>
      <c r="M1206" t="s">
        <v>2277</v>
      </c>
      <c r="N1206" t="s">
        <v>2277</v>
      </c>
      <c r="O1206" s="190" t="str">
        <f t="shared" si="18"/>
        <v>[S05_InherentCarbonTransferredDetail][14][InstallationIdTransferring]</v>
      </c>
    </row>
    <row r="1207" spans="1:15" x14ac:dyDescent="0.3">
      <c r="A1207" t="s">
        <v>2278</v>
      </c>
      <c r="B1207" t="s">
        <v>1892</v>
      </c>
      <c r="C1207" t="s">
        <v>1894</v>
      </c>
      <c r="D1207">
        <v>15</v>
      </c>
      <c r="E1207" t="s">
        <v>1447</v>
      </c>
      <c r="F1207" t="s">
        <v>1896</v>
      </c>
      <c r="G1207" t="s">
        <v>1741</v>
      </c>
      <c r="H1207" t="s">
        <v>2365</v>
      </c>
      <c r="I1207" t="s">
        <v>2277</v>
      </c>
      <c r="J1207" t="s">
        <v>2277</v>
      </c>
      <c r="K1207" t="s">
        <v>2277</v>
      </c>
      <c r="L1207" t="s">
        <v>2277</v>
      </c>
      <c r="M1207" t="s">
        <v>2277</v>
      </c>
      <c r="N1207" t="s">
        <v>2277</v>
      </c>
      <c r="O1207" s="190" t="str">
        <f t="shared" si="18"/>
        <v>[S05_InherentCarbonTransferredDetail][15][InstallationIdTransferring]</v>
      </c>
    </row>
    <row r="1208" spans="1:15" x14ac:dyDescent="0.3">
      <c r="A1208" t="s">
        <v>2278</v>
      </c>
      <c r="B1208" t="s">
        <v>1892</v>
      </c>
      <c r="C1208" t="s">
        <v>1894</v>
      </c>
      <c r="D1208">
        <v>16</v>
      </c>
      <c r="E1208" t="s">
        <v>1447</v>
      </c>
      <c r="F1208" t="s">
        <v>1896</v>
      </c>
      <c r="G1208" t="s">
        <v>1741</v>
      </c>
      <c r="H1208" t="s">
        <v>2364</v>
      </c>
      <c r="I1208" t="s">
        <v>2277</v>
      </c>
      <c r="J1208" t="s">
        <v>2277</v>
      </c>
      <c r="K1208" t="s">
        <v>2277</v>
      </c>
      <c r="L1208" t="s">
        <v>2277</v>
      </c>
      <c r="M1208" t="s">
        <v>2277</v>
      </c>
      <c r="N1208" t="s">
        <v>2277</v>
      </c>
      <c r="O1208" s="190" t="str">
        <f t="shared" si="18"/>
        <v>[S05_InherentCarbonTransferredDetail][16][InstallationIdTransferring]</v>
      </c>
    </row>
    <row r="1209" spans="1:15" x14ac:dyDescent="0.3">
      <c r="A1209" t="s">
        <v>2278</v>
      </c>
      <c r="B1209" t="s">
        <v>1892</v>
      </c>
      <c r="C1209" t="s">
        <v>1894</v>
      </c>
      <c r="D1209">
        <v>17</v>
      </c>
      <c r="E1209" t="s">
        <v>1447</v>
      </c>
      <c r="F1209" t="s">
        <v>1896</v>
      </c>
      <c r="G1209" t="s">
        <v>1741</v>
      </c>
      <c r="H1209" t="s">
        <v>2364</v>
      </c>
      <c r="I1209" t="s">
        <v>2277</v>
      </c>
      <c r="J1209" t="s">
        <v>2277</v>
      </c>
      <c r="K1209" t="s">
        <v>2277</v>
      </c>
      <c r="L1209" t="s">
        <v>2277</v>
      </c>
      <c r="M1209" t="s">
        <v>2277</v>
      </c>
      <c r="N1209" t="s">
        <v>2277</v>
      </c>
      <c r="O1209" s="190" t="str">
        <f t="shared" si="18"/>
        <v>[S05_InherentCarbonTransferredDetail][17][InstallationIdTransferring]</v>
      </c>
    </row>
    <row r="1210" spans="1:15" x14ac:dyDescent="0.3">
      <c r="A1210" t="s">
        <v>2278</v>
      </c>
      <c r="B1210" t="s">
        <v>1892</v>
      </c>
      <c r="C1210" t="s">
        <v>1894</v>
      </c>
      <c r="D1210">
        <v>18</v>
      </c>
      <c r="E1210" t="s">
        <v>1447</v>
      </c>
      <c r="F1210" t="s">
        <v>1896</v>
      </c>
      <c r="G1210" t="s">
        <v>1741</v>
      </c>
      <c r="H1210" t="s">
        <v>2364</v>
      </c>
      <c r="I1210" t="s">
        <v>2277</v>
      </c>
      <c r="J1210" t="s">
        <v>2277</v>
      </c>
      <c r="K1210" t="s">
        <v>2277</v>
      </c>
      <c r="L1210" t="s">
        <v>2277</v>
      </c>
      <c r="M1210" t="s">
        <v>2277</v>
      </c>
      <c r="N1210" t="s">
        <v>2277</v>
      </c>
      <c r="O1210" s="190" t="str">
        <f t="shared" si="18"/>
        <v>[S05_InherentCarbonTransferredDetail][18][InstallationIdTransferring]</v>
      </c>
    </row>
    <row r="1211" spans="1:15" x14ac:dyDescent="0.3">
      <c r="A1211" t="s">
        <v>2278</v>
      </c>
      <c r="B1211" t="s">
        <v>1892</v>
      </c>
      <c r="C1211" t="s">
        <v>1894</v>
      </c>
      <c r="D1211">
        <v>19</v>
      </c>
      <c r="E1211" t="s">
        <v>1447</v>
      </c>
      <c r="F1211" t="s">
        <v>1896</v>
      </c>
      <c r="G1211" t="s">
        <v>1741</v>
      </c>
      <c r="H1211" t="s">
        <v>2364</v>
      </c>
      <c r="I1211" t="s">
        <v>2277</v>
      </c>
      <c r="J1211" t="s">
        <v>2277</v>
      </c>
      <c r="K1211" t="s">
        <v>2277</v>
      </c>
      <c r="L1211" t="s">
        <v>2277</v>
      </c>
      <c r="M1211" t="s">
        <v>2277</v>
      </c>
      <c r="N1211" t="s">
        <v>2277</v>
      </c>
      <c r="O1211" s="190" t="str">
        <f t="shared" si="18"/>
        <v>[S05_InherentCarbonTransferredDetail][19][InstallationIdTransferring]</v>
      </c>
    </row>
    <row r="1212" spans="1:15" x14ac:dyDescent="0.3">
      <c r="A1212" t="s">
        <v>2278</v>
      </c>
      <c r="B1212" t="s">
        <v>1892</v>
      </c>
      <c r="C1212" t="s">
        <v>1894</v>
      </c>
      <c r="D1212">
        <v>20</v>
      </c>
      <c r="E1212" t="s">
        <v>1447</v>
      </c>
      <c r="F1212" t="s">
        <v>1896</v>
      </c>
      <c r="G1212" t="s">
        <v>1741</v>
      </c>
      <c r="H1212" t="s">
        <v>2364</v>
      </c>
      <c r="I1212" t="s">
        <v>2277</v>
      </c>
      <c r="J1212" t="s">
        <v>2277</v>
      </c>
      <c r="K1212" t="s">
        <v>2277</v>
      </c>
      <c r="L1212" t="s">
        <v>2277</v>
      </c>
      <c r="M1212" t="s">
        <v>2277</v>
      </c>
      <c r="N1212" t="s">
        <v>2277</v>
      </c>
      <c r="O1212" s="190" t="str">
        <f t="shared" si="18"/>
        <v>[S05_InherentCarbonTransferredDetail][20][InstallationIdTransferring]</v>
      </c>
    </row>
    <row r="1213" spans="1:15" x14ac:dyDescent="0.3">
      <c r="A1213" t="s">
        <v>2278</v>
      </c>
      <c r="B1213" t="s">
        <v>1892</v>
      </c>
      <c r="C1213" t="s">
        <v>1894</v>
      </c>
      <c r="D1213">
        <v>21</v>
      </c>
      <c r="E1213" t="s">
        <v>1447</v>
      </c>
      <c r="F1213" t="s">
        <v>1896</v>
      </c>
      <c r="G1213" t="s">
        <v>1741</v>
      </c>
      <c r="H1213" t="s">
        <v>2364</v>
      </c>
      <c r="I1213" t="s">
        <v>2277</v>
      </c>
      <c r="J1213" t="s">
        <v>2277</v>
      </c>
      <c r="K1213" t="s">
        <v>2277</v>
      </c>
      <c r="L1213" t="s">
        <v>2277</v>
      </c>
      <c r="M1213" t="s">
        <v>2277</v>
      </c>
      <c r="N1213" t="s">
        <v>2277</v>
      </c>
      <c r="O1213" s="190" t="str">
        <f t="shared" si="18"/>
        <v>[S05_InherentCarbonTransferredDetail][21][InstallationIdTransferring]</v>
      </c>
    </row>
    <row r="1214" spans="1:15" x14ac:dyDescent="0.3">
      <c r="A1214" t="s">
        <v>2278</v>
      </c>
      <c r="B1214" t="s">
        <v>1892</v>
      </c>
      <c r="C1214" t="s">
        <v>1894</v>
      </c>
      <c r="D1214">
        <v>22</v>
      </c>
      <c r="E1214" t="s">
        <v>1447</v>
      </c>
      <c r="F1214" t="s">
        <v>1896</v>
      </c>
      <c r="G1214" t="s">
        <v>1741</v>
      </c>
      <c r="H1214" t="s">
        <v>2364</v>
      </c>
      <c r="I1214" t="s">
        <v>2277</v>
      </c>
      <c r="J1214" t="s">
        <v>2277</v>
      </c>
      <c r="K1214" t="s">
        <v>2277</v>
      </c>
      <c r="L1214" t="s">
        <v>2277</v>
      </c>
      <c r="M1214" t="s">
        <v>2277</v>
      </c>
      <c r="N1214" t="s">
        <v>2277</v>
      </c>
      <c r="O1214" s="190" t="str">
        <f t="shared" si="18"/>
        <v>[S05_InherentCarbonTransferredDetail][22][InstallationIdTransferring]</v>
      </c>
    </row>
    <row r="1215" spans="1:15" x14ac:dyDescent="0.3">
      <c r="A1215" t="s">
        <v>2278</v>
      </c>
      <c r="B1215" t="s">
        <v>1892</v>
      </c>
      <c r="C1215" t="s">
        <v>1894</v>
      </c>
      <c r="D1215">
        <v>23</v>
      </c>
      <c r="E1215" t="s">
        <v>1447</v>
      </c>
      <c r="F1215" t="s">
        <v>1896</v>
      </c>
      <c r="G1215" t="s">
        <v>1741</v>
      </c>
      <c r="H1215" t="s">
        <v>2364</v>
      </c>
      <c r="I1215" t="s">
        <v>2277</v>
      </c>
      <c r="J1215" t="s">
        <v>2277</v>
      </c>
      <c r="K1215" t="s">
        <v>2277</v>
      </c>
      <c r="L1215" t="s">
        <v>2277</v>
      </c>
      <c r="M1215" t="s">
        <v>2277</v>
      </c>
      <c r="N1215" t="s">
        <v>2277</v>
      </c>
      <c r="O1215" s="190" t="str">
        <f t="shared" si="18"/>
        <v>[S05_InherentCarbonTransferredDetail][23][InstallationIdTransferring]</v>
      </c>
    </row>
    <row r="1216" spans="1:15" x14ac:dyDescent="0.3">
      <c r="A1216" t="s">
        <v>2278</v>
      </c>
      <c r="B1216" t="s">
        <v>1892</v>
      </c>
      <c r="C1216" t="s">
        <v>1894</v>
      </c>
      <c r="D1216">
        <v>24</v>
      </c>
      <c r="E1216" t="s">
        <v>1447</v>
      </c>
      <c r="F1216" t="s">
        <v>1896</v>
      </c>
      <c r="G1216" t="s">
        <v>1741</v>
      </c>
      <c r="H1216" t="s">
        <v>2348</v>
      </c>
      <c r="I1216" t="s">
        <v>2277</v>
      </c>
      <c r="J1216" t="s">
        <v>2277</v>
      </c>
      <c r="K1216" t="s">
        <v>2277</v>
      </c>
      <c r="L1216" t="s">
        <v>2277</v>
      </c>
      <c r="M1216" t="s">
        <v>2277</v>
      </c>
      <c r="N1216" t="s">
        <v>2277</v>
      </c>
      <c r="O1216" s="190" t="str">
        <f t="shared" si="18"/>
        <v>[S05_InherentCarbonTransferredDetail][24][InstallationIdTransferring]</v>
      </c>
    </row>
    <row r="1217" spans="1:15" x14ac:dyDescent="0.3">
      <c r="A1217" t="s">
        <v>2278</v>
      </c>
      <c r="B1217" t="s">
        <v>1892</v>
      </c>
      <c r="C1217" t="s">
        <v>1894</v>
      </c>
      <c r="D1217">
        <v>25</v>
      </c>
      <c r="E1217" t="s">
        <v>1447</v>
      </c>
      <c r="F1217" t="s">
        <v>1896</v>
      </c>
      <c r="G1217" t="s">
        <v>1741</v>
      </c>
      <c r="H1217" t="s">
        <v>2348</v>
      </c>
      <c r="I1217" t="s">
        <v>2277</v>
      </c>
      <c r="J1217" t="s">
        <v>2277</v>
      </c>
      <c r="K1217" t="s">
        <v>2277</v>
      </c>
      <c r="L1217" t="s">
        <v>2277</v>
      </c>
      <c r="M1217" t="s">
        <v>2277</v>
      </c>
      <c r="N1217" t="s">
        <v>2277</v>
      </c>
      <c r="O1217" s="190" t="str">
        <f t="shared" si="18"/>
        <v>[S05_InherentCarbonTransferredDetail][25][InstallationIdTransferring]</v>
      </c>
    </row>
    <row r="1218" spans="1:15" x14ac:dyDescent="0.3">
      <c r="A1218" t="s">
        <v>2278</v>
      </c>
      <c r="B1218" t="s">
        <v>1892</v>
      </c>
      <c r="C1218" t="s">
        <v>1894</v>
      </c>
      <c r="D1218">
        <v>26</v>
      </c>
      <c r="E1218" t="s">
        <v>1447</v>
      </c>
      <c r="F1218" t="s">
        <v>1896</v>
      </c>
      <c r="G1218" t="s">
        <v>1741</v>
      </c>
      <c r="H1218" t="s">
        <v>2348</v>
      </c>
      <c r="I1218" t="s">
        <v>2277</v>
      </c>
      <c r="J1218" t="s">
        <v>2277</v>
      </c>
      <c r="K1218" t="s">
        <v>2277</v>
      </c>
      <c r="L1218" t="s">
        <v>2277</v>
      </c>
      <c r="M1218" t="s">
        <v>2277</v>
      </c>
      <c r="N1218" t="s">
        <v>2277</v>
      </c>
      <c r="O1218" s="190" t="str">
        <f t="shared" ref="O1218:O1281" si="19">"["&amp;$C1218&amp;"]["&amp;$D1218&amp;"]["&amp;$F1218&amp;"]"</f>
        <v>[S05_InherentCarbonTransferredDetail][26][InstallationIdTransferring]</v>
      </c>
    </row>
    <row r="1219" spans="1:15" x14ac:dyDescent="0.3">
      <c r="A1219" t="s">
        <v>2278</v>
      </c>
      <c r="B1219" t="s">
        <v>1892</v>
      </c>
      <c r="C1219" t="s">
        <v>1894</v>
      </c>
      <c r="D1219">
        <v>27</v>
      </c>
      <c r="E1219" t="s">
        <v>1447</v>
      </c>
      <c r="F1219" t="s">
        <v>1896</v>
      </c>
      <c r="G1219" t="s">
        <v>1741</v>
      </c>
      <c r="H1219" t="s">
        <v>2348</v>
      </c>
      <c r="I1219" t="s">
        <v>2277</v>
      </c>
      <c r="J1219" t="s">
        <v>2277</v>
      </c>
      <c r="K1219" t="s">
        <v>2277</v>
      </c>
      <c r="L1219" t="s">
        <v>2277</v>
      </c>
      <c r="M1219" t="s">
        <v>2277</v>
      </c>
      <c r="N1219" t="s">
        <v>2277</v>
      </c>
      <c r="O1219" s="190" t="str">
        <f t="shared" si="19"/>
        <v>[S05_InherentCarbonTransferredDetail][27][InstallationIdTransferring]</v>
      </c>
    </row>
    <row r="1220" spans="1:15" x14ac:dyDescent="0.3">
      <c r="A1220" t="s">
        <v>2278</v>
      </c>
      <c r="B1220" t="s">
        <v>1892</v>
      </c>
      <c r="C1220" t="s">
        <v>1894</v>
      </c>
      <c r="D1220">
        <v>28</v>
      </c>
      <c r="E1220" t="s">
        <v>1447</v>
      </c>
      <c r="F1220" t="s">
        <v>1896</v>
      </c>
      <c r="G1220" t="s">
        <v>1741</v>
      </c>
      <c r="H1220" t="s">
        <v>2348</v>
      </c>
      <c r="I1220" t="s">
        <v>2277</v>
      </c>
      <c r="J1220" t="s">
        <v>2277</v>
      </c>
      <c r="K1220" t="s">
        <v>2277</v>
      </c>
      <c r="L1220" t="s">
        <v>2277</v>
      </c>
      <c r="M1220" t="s">
        <v>2277</v>
      </c>
      <c r="N1220" t="s">
        <v>2277</v>
      </c>
      <c r="O1220" s="190" t="str">
        <f t="shared" si="19"/>
        <v>[S05_InherentCarbonTransferredDetail][28][InstallationIdTransferring]</v>
      </c>
    </row>
    <row r="1221" spans="1:15" x14ac:dyDescent="0.3">
      <c r="A1221" t="s">
        <v>2278</v>
      </c>
      <c r="B1221" t="s">
        <v>1892</v>
      </c>
      <c r="C1221" t="s">
        <v>1894</v>
      </c>
      <c r="D1221">
        <v>29</v>
      </c>
      <c r="E1221" t="s">
        <v>1447</v>
      </c>
      <c r="F1221" t="s">
        <v>1896</v>
      </c>
      <c r="G1221" t="s">
        <v>1741</v>
      </c>
      <c r="H1221" t="s">
        <v>2348</v>
      </c>
      <c r="I1221" t="s">
        <v>2277</v>
      </c>
      <c r="J1221" t="s">
        <v>2277</v>
      </c>
      <c r="K1221" t="s">
        <v>2277</v>
      </c>
      <c r="L1221" t="s">
        <v>2277</v>
      </c>
      <c r="M1221" t="s">
        <v>2277</v>
      </c>
      <c r="N1221" t="s">
        <v>2277</v>
      </c>
      <c r="O1221" s="190" t="str">
        <f t="shared" si="19"/>
        <v>[S05_InherentCarbonTransferredDetail][29][InstallationIdTransferring]</v>
      </c>
    </row>
    <row r="1222" spans="1:15" x14ac:dyDescent="0.3">
      <c r="A1222" t="s">
        <v>2278</v>
      </c>
      <c r="B1222" t="s">
        <v>1892</v>
      </c>
      <c r="C1222" t="s">
        <v>1894</v>
      </c>
      <c r="D1222">
        <v>30</v>
      </c>
      <c r="E1222" t="s">
        <v>1447</v>
      </c>
      <c r="F1222" t="s">
        <v>1896</v>
      </c>
      <c r="G1222" t="s">
        <v>1741</v>
      </c>
      <c r="H1222" t="s">
        <v>2348</v>
      </c>
      <c r="I1222" t="s">
        <v>2277</v>
      </c>
      <c r="J1222" t="s">
        <v>2277</v>
      </c>
      <c r="K1222" t="s">
        <v>2277</v>
      </c>
      <c r="L1222" t="s">
        <v>2277</v>
      </c>
      <c r="M1222" t="s">
        <v>2277</v>
      </c>
      <c r="N1222" t="s">
        <v>2277</v>
      </c>
      <c r="O1222" s="190" t="str">
        <f t="shared" si="19"/>
        <v>[S05_InherentCarbonTransferredDetail][30][InstallationIdTransferring]</v>
      </c>
    </row>
    <row r="1223" spans="1:15" x14ac:dyDescent="0.3">
      <c r="A1223" t="s">
        <v>2278</v>
      </c>
      <c r="B1223" t="s">
        <v>1892</v>
      </c>
      <c r="C1223" t="s">
        <v>1894</v>
      </c>
      <c r="D1223">
        <v>31</v>
      </c>
      <c r="E1223" t="s">
        <v>1447</v>
      </c>
      <c r="F1223" t="s">
        <v>1896</v>
      </c>
      <c r="G1223" t="s">
        <v>1741</v>
      </c>
      <c r="H1223" t="s">
        <v>2363</v>
      </c>
      <c r="I1223" t="s">
        <v>2277</v>
      </c>
      <c r="J1223" t="s">
        <v>2277</v>
      </c>
      <c r="K1223" t="s">
        <v>2277</v>
      </c>
      <c r="L1223" t="s">
        <v>2277</v>
      </c>
      <c r="M1223" t="s">
        <v>2277</v>
      </c>
      <c r="N1223" t="s">
        <v>2277</v>
      </c>
      <c r="O1223" s="190" t="str">
        <f t="shared" si="19"/>
        <v>[S05_InherentCarbonTransferredDetail][31][InstallationIdTransferring]</v>
      </c>
    </row>
    <row r="1224" spans="1:15" x14ac:dyDescent="0.3">
      <c r="A1224" t="s">
        <v>2278</v>
      </c>
      <c r="B1224" t="s">
        <v>1892</v>
      </c>
      <c r="C1224" t="s">
        <v>1894</v>
      </c>
      <c r="D1224">
        <v>32</v>
      </c>
      <c r="E1224" t="s">
        <v>1447</v>
      </c>
      <c r="F1224" t="s">
        <v>1896</v>
      </c>
      <c r="G1224" t="s">
        <v>1741</v>
      </c>
      <c r="H1224" t="s">
        <v>2338</v>
      </c>
      <c r="I1224" t="s">
        <v>2277</v>
      </c>
      <c r="J1224" t="s">
        <v>2277</v>
      </c>
      <c r="K1224" t="s">
        <v>2277</v>
      </c>
      <c r="L1224" t="s">
        <v>2277</v>
      </c>
      <c r="M1224" t="s">
        <v>2277</v>
      </c>
      <c r="N1224" t="s">
        <v>2277</v>
      </c>
      <c r="O1224" s="190" t="str">
        <f t="shared" si="19"/>
        <v>[S05_InherentCarbonTransferredDetail][32][InstallationIdTransferring]</v>
      </c>
    </row>
    <row r="1225" spans="1:15" x14ac:dyDescent="0.3">
      <c r="A1225" t="s">
        <v>2278</v>
      </c>
      <c r="B1225" t="s">
        <v>1892</v>
      </c>
      <c r="C1225" t="s">
        <v>1894</v>
      </c>
      <c r="D1225">
        <v>1</v>
      </c>
      <c r="E1225" t="s">
        <v>1447</v>
      </c>
      <c r="F1225" t="s">
        <v>1897</v>
      </c>
      <c r="G1225" t="s">
        <v>1741</v>
      </c>
      <c r="H1225" t="s">
        <v>2362</v>
      </c>
      <c r="I1225" t="s">
        <v>2277</v>
      </c>
      <c r="J1225" t="s">
        <v>2277</v>
      </c>
      <c r="K1225" t="s">
        <v>2277</v>
      </c>
      <c r="L1225" t="s">
        <v>2277</v>
      </c>
      <c r="M1225" t="s">
        <v>2277</v>
      </c>
      <c r="N1225" t="s">
        <v>2277</v>
      </c>
      <c r="O1225" s="190" t="str">
        <f t="shared" si="19"/>
        <v>[S05_InherentCarbonTransferredDetail][1][InstallationIdReceiving]</v>
      </c>
    </row>
    <row r="1226" spans="1:15" x14ac:dyDescent="0.3">
      <c r="A1226" t="s">
        <v>2278</v>
      </c>
      <c r="B1226" t="s">
        <v>1892</v>
      </c>
      <c r="C1226" t="s">
        <v>1894</v>
      </c>
      <c r="D1226">
        <v>2</v>
      </c>
      <c r="E1226" t="s">
        <v>1447</v>
      </c>
      <c r="F1226" t="s">
        <v>1897</v>
      </c>
      <c r="G1226" t="s">
        <v>1741</v>
      </c>
      <c r="H1226" t="s">
        <v>2361</v>
      </c>
      <c r="I1226" t="s">
        <v>2277</v>
      </c>
      <c r="J1226" t="s">
        <v>2277</v>
      </c>
      <c r="K1226" t="s">
        <v>2277</v>
      </c>
      <c r="L1226" t="s">
        <v>2277</v>
      </c>
      <c r="M1226" t="s">
        <v>2277</v>
      </c>
      <c r="N1226" t="s">
        <v>2277</v>
      </c>
      <c r="O1226" s="190" t="str">
        <f t="shared" si="19"/>
        <v>[S05_InherentCarbonTransferredDetail][2][InstallationIdReceiving]</v>
      </c>
    </row>
    <row r="1227" spans="1:15" x14ac:dyDescent="0.3">
      <c r="A1227" t="s">
        <v>2278</v>
      </c>
      <c r="B1227" t="s">
        <v>1892</v>
      </c>
      <c r="C1227" t="s">
        <v>1894</v>
      </c>
      <c r="D1227">
        <v>3</v>
      </c>
      <c r="E1227" t="s">
        <v>1447</v>
      </c>
      <c r="F1227" t="s">
        <v>1897</v>
      </c>
      <c r="G1227" t="s">
        <v>1741</v>
      </c>
      <c r="H1227" t="s">
        <v>2360</v>
      </c>
      <c r="I1227" t="s">
        <v>2277</v>
      </c>
      <c r="J1227" t="s">
        <v>2277</v>
      </c>
      <c r="K1227" t="s">
        <v>2277</v>
      </c>
      <c r="L1227" t="s">
        <v>2277</v>
      </c>
      <c r="M1227" t="s">
        <v>2277</v>
      </c>
      <c r="N1227" t="s">
        <v>2277</v>
      </c>
      <c r="O1227" s="190" t="str">
        <f t="shared" si="19"/>
        <v>[S05_InherentCarbonTransferredDetail][3][InstallationIdReceiving]</v>
      </c>
    </row>
    <row r="1228" spans="1:15" x14ac:dyDescent="0.3">
      <c r="A1228" t="s">
        <v>2278</v>
      </c>
      <c r="B1228" t="s">
        <v>1892</v>
      </c>
      <c r="C1228" t="s">
        <v>1894</v>
      </c>
      <c r="D1228">
        <v>4</v>
      </c>
      <c r="E1228" t="s">
        <v>1447</v>
      </c>
      <c r="F1228" t="s">
        <v>1897</v>
      </c>
      <c r="G1228" t="s">
        <v>1741</v>
      </c>
      <c r="H1228" t="s">
        <v>2359</v>
      </c>
      <c r="I1228" t="s">
        <v>2277</v>
      </c>
      <c r="J1228" t="s">
        <v>2277</v>
      </c>
      <c r="K1228" t="s">
        <v>2277</v>
      </c>
      <c r="L1228" t="s">
        <v>2277</v>
      </c>
      <c r="M1228" t="s">
        <v>2277</v>
      </c>
      <c r="N1228" t="s">
        <v>2277</v>
      </c>
      <c r="O1228" s="190" t="str">
        <f t="shared" si="19"/>
        <v>[S05_InherentCarbonTransferredDetail][4][InstallationIdReceiving]</v>
      </c>
    </row>
    <row r="1229" spans="1:15" x14ac:dyDescent="0.3">
      <c r="A1229" t="s">
        <v>2278</v>
      </c>
      <c r="B1229" t="s">
        <v>1892</v>
      </c>
      <c r="C1229" t="s">
        <v>1894</v>
      </c>
      <c r="D1229">
        <v>5</v>
      </c>
      <c r="E1229" t="s">
        <v>1447</v>
      </c>
      <c r="F1229" t="s">
        <v>1897</v>
      </c>
      <c r="G1229" t="s">
        <v>1741</v>
      </c>
      <c r="H1229" t="s">
        <v>2358</v>
      </c>
      <c r="I1229" t="s">
        <v>2277</v>
      </c>
      <c r="J1229" t="s">
        <v>2277</v>
      </c>
      <c r="K1229" t="s">
        <v>2277</v>
      </c>
      <c r="L1229" t="s">
        <v>2277</v>
      </c>
      <c r="M1229" t="s">
        <v>2277</v>
      </c>
      <c r="N1229" t="s">
        <v>2277</v>
      </c>
      <c r="O1229" s="190" t="str">
        <f t="shared" si="19"/>
        <v>[S05_InherentCarbonTransferredDetail][5][InstallationIdReceiving]</v>
      </c>
    </row>
    <row r="1230" spans="1:15" x14ac:dyDescent="0.3">
      <c r="A1230" t="s">
        <v>2278</v>
      </c>
      <c r="B1230" t="s">
        <v>1892</v>
      </c>
      <c r="C1230" t="s">
        <v>1894</v>
      </c>
      <c r="D1230">
        <v>6</v>
      </c>
      <c r="E1230" t="s">
        <v>1447</v>
      </c>
      <c r="F1230" t="s">
        <v>1897</v>
      </c>
      <c r="G1230" t="s">
        <v>1741</v>
      </c>
      <c r="H1230" t="s">
        <v>2357</v>
      </c>
      <c r="I1230" t="s">
        <v>2277</v>
      </c>
      <c r="J1230" t="s">
        <v>2277</v>
      </c>
      <c r="K1230" t="s">
        <v>2277</v>
      </c>
      <c r="L1230" t="s">
        <v>2277</v>
      </c>
      <c r="M1230" t="s">
        <v>2277</v>
      </c>
      <c r="N1230" t="s">
        <v>2277</v>
      </c>
      <c r="O1230" s="190" t="str">
        <f t="shared" si="19"/>
        <v>[S05_InherentCarbonTransferredDetail][6][InstallationIdReceiving]</v>
      </c>
    </row>
    <row r="1231" spans="1:15" x14ac:dyDescent="0.3">
      <c r="A1231" t="s">
        <v>2278</v>
      </c>
      <c r="B1231" t="s">
        <v>1892</v>
      </c>
      <c r="C1231" t="s">
        <v>1894</v>
      </c>
      <c r="D1231">
        <v>7</v>
      </c>
      <c r="E1231" t="s">
        <v>1447</v>
      </c>
      <c r="F1231" t="s">
        <v>1897</v>
      </c>
      <c r="G1231" t="s">
        <v>1741</v>
      </c>
      <c r="H1231" t="s">
        <v>2356</v>
      </c>
      <c r="I1231" t="s">
        <v>2277</v>
      </c>
      <c r="J1231" t="s">
        <v>2277</v>
      </c>
      <c r="K1231" t="s">
        <v>2277</v>
      </c>
      <c r="L1231" t="s">
        <v>2277</v>
      </c>
      <c r="M1231" t="s">
        <v>2277</v>
      </c>
      <c r="N1231" t="s">
        <v>2277</v>
      </c>
      <c r="O1231" s="190" t="str">
        <f t="shared" si="19"/>
        <v>[S05_InherentCarbonTransferredDetail][7][InstallationIdReceiving]</v>
      </c>
    </row>
    <row r="1232" spans="1:15" x14ac:dyDescent="0.3">
      <c r="A1232" t="s">
        <v>2278</v>
      </c>
      <c r="B1232" t="s">
        <v>1892</v>
      </c>
      <c r="C1232" t="s">
        <v>1894</v>
      </c>
      <c r="D1232">
        <v>8</v>
      </c>
      <c r="E1232" t="s">
        <v>1447</v>
      </c>
      <c r="F1232" t="s">
        <v>1897</v>
      </c>
      <c r="G1232" t="s">
        <v>1741</v>
      </c>
      <c r="H1232" t="s">
        <v>2355</v>
      </c>
      <c r="I1232" t="s">
        <v>2277</v>
      </c>
      <c r="J1232" t="s">
        <v>2277</v>
      </c>
      <c r="K1232" t="s">
        <v>2277</v>
      </c>
      <c r="L1232" t="s">
        <v>2277</v>
      </c>
      <c r="M1232" t="s">
        <v>2277</v>
      </c>
      <c r="N1232" t="s">
        <v>2277</v>
      </c>
      <c r="O1232" s="190" t="str">
        <f t="shared" si="19"/>
        <v>[S05_InherentCarbonTransferredDetail][8][InstallationIdReceiving]</v>
      </c>
    </row>
    <row r="1233" spans="1:15" x14ac:dyDescent="0.3">
      <c r="A1233" t="s">
        <v>2278</v>
      </c>
      <c r="B1233" t="s">
        <v>1892</v>
      </c>
      <c r="C1233" t="s">
        <v>1894</v>
      </c>
      <c r="D1233">
        <v>9</v>
      </c>
      <c r="E1233" t="s">
        <v>1447</v>
      </c>
      <c r="F1233" t="s">
        <v>1897</v>
      </c>
      <c r="G1233" t="s">
        <v>1741</v>
      </c>
      <c r="H1233" t="s">
        <v>2354</v>
      </c>
      <c r="I1233" t="s">
        <v>2277</v>
      </c>
      <c r="J1233" t="s">
        <v>2277</v>
      </c>
      <c r="K1233" t="s">
        <v>2277</v>
      </c>
      <c r="L1233" t="s">
        <v>2277</v>
      </c>
      <c r="M1233" t="s">
        <v>2277</v>
      </c>
      <c r="N1233" t="s">
        <v>2277</v>
      </c>
      <c r="O1233" s="190" t="str">
        <f t="shared" si="19"/>
        <v>[S05_InherentCarbonTransferredDetail][9][InstallationIdReceiving]</v>
      </c>
    </row>
    <row r="1234" spans="1:15" x14ac:dyDescent="0.3">
      <c r="A1234" t="s">
        <v>2278</v>
      </c>
      <c r="B1234" t="s">
        <v>1892</v>
      </c>
      <c r="C1234" t="s">
        <v>1894</v>
      </c>
      <c r="D1234">
        <v>10</v>
      </c>
      <c r="E1234" t="s">
        <v>1447</v>
      </c>
      <c r="F1234" t="s">
        <v>1897</v>
      </c>
      <c r="G1234" t="s">
        <v>1741</v>
      </c>
      <c r="H1234" t="s">
        <v>2353</v>
      </c>
      <c r="I1234" t="s">
        <v>2277</v>
      </c>
      <c r="J1234" t="s">
        <v>2277</v>
      </c>
      <c r="K1234" t="s">
        <v>2277</v>
      </c>
      <c r="L1234" t="s">
        <v>2277</v>
      </c>
      <c r="M1234" t="s">
        <v>2277</v>
      </c>
      <c r="N1234" t="s">
        <v>2277</v>
      </c>
      <c r="O1234" s="190" t="str">
        <f t="shared" si="19"/>
        <v>[S05_InherentCarbonTransferredDetail][10][InstallationIdReceiving]</v>
      </c>
    </row>
    <row r="1235" spans="1:15" x14ac:dyDescent="0.3">
      <c r="A1235" t="s">
        <v>2278</v>
      </c>
      <c r="B1235" t="s">
        <v>1892</v>
      </c>
      <c r="C1235" t="s">
        <v>1894</v>
      </c>
      <c r="D1235">
        <v>11</v>
      </c>
      <c r="E1235" t="s">
        <v>1447</v>
      </c>
      <c r="F1235" t="s">
        <v>1897</v>
      </c>
      <c r="G1235" t="s">
        <v>1741</v>
      </c>
      <c r="H1235" t="s">
        <v>2352</v>
      </c>
      <c r="I1235" t="s">
        <v>2277</v>
      </c>
      <c r="J1235" t="s">
        <v>2277</v>
      </c>
      <c r="K1235" t="s">
        <v>2277</v>
      </c>
      <c r="L1235" t="s">
        <v>2277</v>
      </c>
      <c r="M1235" t="s">
        <v>2277</v>
      </c>
      <c r="N1235" t="s">
        <v>2277</v>
      </c>
      <c r="O1235" s="190" t="str">
        <f t="shared" si="19"/>
        <v>[S05_InherentCarbonTransferredDetail][11][InstallationIdReceiving]</v>
      </c>
    </row>
    <row r="1236" spans="1:15" x14ac:dyDescent="0.3">
      <c r="A1236" t="s">
        <v>2278</v>
      </c>
      <c r="B1236" t="s">
        <v>1892</v>
      </c>
      <c r="C1236" t="s">
        <v>1894</v>
      </c>
      <c r="D1236">
        <v>12</v>
      </c>
      <c r="E1236" t="s">
        <v>1447</v>
      </c>
      <c r="F1236" t="s">
        <v>1897</v>
      </c>
      <c r="G1236" t="s">
        <v>1741</v>
      </c>
      <c r="H1236" t="s">
        <v>2351</v>
      </c>
      <c r="I1236" t="s">
        <v>2277</v>
      </c>
      <c r="J1236" t="s">
        <v>2277</v>
      </c>
      <c r="K1236" t="s">
        <v>2277</v>
      </c>
      <c r="L1236" t="s">
        <v>2277</v>
      </c>
      <c r="M1236" t="s">
        <v>2277</v>
      </c>
      <c r="N1236" t="s">
        <v>2277</v>
      </c>
      <c r="O1236" s="190" t="str">
        <f t="shared" si="19"/>
        <v>[S05_InherentCarbonTransferredDetail][12][InstallationIdReceiving]</v>
      </c>
    </row>
    <row r="1237" spans="1:15" x14ac:dyDescent="0.3">
      <c r="A1237" t="s">
        <v>2278</v>
      </c>
      <c r="B1237" t="s">
        <v>1892</v>
      </c>
      <c r="C1237" t="s">
        <v>1894</v>
      </c>
      <c r="D1237">
        <v>13</v>
      </c>
      <c r="E1237" t="s">
        <v>1447</v>
      </c>
      <c r="F1237" t="s">
        <v>1897</v>
      </c>
      <c r="G1237" t="s">
        <v>1741</v>
      </c>
      <c r="H1237" t="s">
        <v>2350</v>
      </c>
      <c r="I1237" t="s">
        <v>2277</v>
      </c>
      <c r="J1237" t="s">
        <v>2277</v>
      </c>
      <c r="K1237" t="s">
        <v>2277</v>
      </c>
      <c r="L1237" t="s">
        <v>2277</v>
      </c>
      <c r="M1237" t="s">
        <v>2277</v>
      </c>
      <c r="N1237" t="s">
        <v>2277</v>
      </c>
      <c r="O1237" s="190" t="str">
        <f t="shared" si="19"/>
        <v>[S05_InherentCarbonTransferredDetail][13][InstallationIdReceiving]</v>
      </c>
    </row>
    <row r="1238" spans="1:15" x14ac:dyDescent="0.3">
      <c r="A1238" t="s">
        <v>2278</v>
      </c>
      <c r="B1238" t="s">
        <v>1892</v>
      </c>
      <c r="C1238" t="s">
        <v>1894</v>
      </c>
      <c r="D1238">
        <v>14</v>
      </c>
      <c r="E1238" t="s">
        <v>1447</v>
      </c>
      <c r="F1238" t="s">
        <v>1897</v>
      </c>
      <c r="G1238" t="s">
        <v>1741</v>
      </c>
      <c r="H1238" t="s">
        <v>2339</v>
      </c>
      <c r="I1238" t="s">
        <v>2277</v>
      </c>
      <c r="J1238" t="s">
        <v>2277</v>
      </c>
      <c r="K1238" t="s">
        <v>2277</v>
      </c>
      <c r="L1238" t="s">
        <v>2277</v>
      </c>
      <c r="M1238" t="s">
        <v>2277</v>
      </c>
      <c r="N1238" t="s">
        <v>2277</v>
      </c>
      <c r="O1238" s="190" t="str">
        <f t="shared" si="19"/>
        <v>[S05_InherentCarbonTransferredDetail][14][InstallationIdReceiving]</v>
      </c>
    </row>
    <row r="1239" spans="1:15" x14ac:dyDescent="0.3">
      <c r="A1239" t="s">
        <v>2278</v>
      </c>
      <c r="B1239" t="s">
        <v>1892</v>
      </c>
      <c r="C1239" t="s">
        <v>1894</v>
      </c>
      <c r="D1239">
        <v>15</v>
      </c>
      <c r="E1239" t="s">
        <v>1447</v>
      </c>
      <c r="F1239" t="s">
        <v>1897</v>
      </c>
      <c r="G1239" t="s">
        <v>1741</v>
      </c>
      <c r="H1239" t="s">
        <v>2349</v>
      </c>
      <c r="I1239" t="s">
        <v>2277</v>
      </c>
      <c r="J1239" t="s">
        <v>2277</v>
      </c>
      <c r="K1239" t="s">
        <v>2277</v>
      </c>
      <c r="L1239" t="s">
        <v>2277</v>
      </c>
      <c r="M1239" t="s">
        <v>2277</v>
      </c>
      <c r="N1239" t="s">
        <v>2277</v>
      </c>
      <c r="O1239" s="190" t="str">
        <f t="shared" si="19"/>
        <v>[S05_InherentCarbonTransferredDetail][15][InstallationIdReceiving]</v>
      </c>
    </row>
    <row r="1240" spans="1:15" x14ac:dyDescent="0.3">
      <c r="A1240" t="s">
        <v>2278</v>
      </c>
      <c r="B1240" t="s">
        <v>1892</v>
      </c>
      <c r="C1240" t="s">
        <v>1894</v>
      </c>
      <c r="D1240">
        <v>16</v>
      </c>
      <c r="E1240" t="s">
        <v>1447</v>
      </c>
      <c r="F1240" t="s">
        <v>1897</v>
      </c>
      <c r="G1240" t="s">
        <v>1741</v>
      </c>
      <c r="H1240" t="s">
        <v>2345</v>
      </c>
      <c r="I1240" t="s">
        <v>2277</v>
      </c>
      <c r="J1240" t="s">
        <v>2277</v>
      </c>
      <c r="K1240" t="s">
        <v>2277</v>
      </c>
      <c r="L1240" t="s">
        <v>2277</v>
      </c>
      <c r="M1240" t="s">
        <v>2277</v>
      </c>
      <c r="N1240" t="s">
        <v>2277</v>
      </c>
      <c r="O1240" s="190" t="str">
        <f t="shared" si="19"/>
        <v>[S05_InherentCarbonTransferredDetail][16][InstallationIdReceiving]</v>
      </c>
    </row>
    <row r="1241" spans="1:15" x14ac:dyDescent="0.3">
      <c r="A1241" t="s">
        <v>2278</v>
      </c>
      <c r="B1241" t="s">
        <v>1892</v>
      </c>
      <c r="C1241" t="s">
        <v>1894</v>
      </c>
      <c r="D1241">
        <v>17</v>
      </c>
      <c r="E1241" t="s">
        <v>1447</v>
      </c>
      <c r="F1241" t="s">
        <v>1897</v>
      </c>
      <c r="G1241" t="s">
        <v>1741</v>
      </c>
      <c r="H1241" t="s">
        <v>2348</v>
      </c>
      <c r="I1241" t="s">
        <v>2277</v>
      </c>
      <c r="J1241" t="s">
        <v>2277</v>
      </c>
      <c r="K1241" t="s">
        <v>2277</v>
      </c>
      <c r="L1241" t="s">
        <v>2277</v>
      </c>
      <c r="M1241" t="s">
        <v>2277</v>
      </c>
      <c r="N1241" t="s">
        <v>2277</v>
      </c>
      <c r="O1241" s="190" t="str">
        <f t="shared" si="19"/>
        <v>[S05_InherentCarbonTransferredDetail][17][InstallationIdReceiving]</v>
      </c>
    </row>
    <row r="1242" spans="1:15" x14ac:dyDescent="0.3">
      <c r="A1242" t="s">
        <v>2278</v>
      </c>
      <c r="B1242" t="s">
        <v>1892</v>
      </c>
      <c r="C1242" t="s">
        <v>1894</v>
      </c>
      <c r="D1242">
        <v>18</v>
      </c>
      <c r="E1242" t="s">
        <v>1447</v>
      </c>
      <c r="F1242" t="s">
        <v>1897</v>
      </c>
      <c r="G1242" t="s">
        <v>1741</v>
      </c>
      <c r="H1242" t="s">
        <v>2344</v>
      </c>
      <c r="I1242" t="s">
        <v>2277</v>
      </c>
      <c r="J1242" t="s">
        <v>2277</v>
      </c>
      <c r="K1242" t="s">
        <v>2277</v>
      </c>
      <c r="L1242" t="s">
        <v>2277</v>
      </c>
      <c r="M1242" t="s">
        <v>2277</v>
      </c>
      <c r="N1242" t="s">
        <v>2277</v>
      </c>
      <c r="O1242" s="190" t="str">
        <f t="shared" si="19"/>
        <v>[S05_InherentCarbonTransferredDetail][18][InstallationIdReceiving]</v>
      </c>
    </row>
    <row r="1243" spans="1:15" x14ac:dyDescent="0.3">
      <c r="A1243" t="s">
        <v>2278</v>
      </c>
      <c r="B1243" t="s">
        <v>1892</v>
      </c>
      <c r="C1243" t="s">
        <v>1894</v>
      </c>
      <c r="D1243">
        <v>19</v>
      </c>
      <c r="E1243" t="s">
        <v>1447</v>
      </c>
      <c r="F1243" t="s">
        <v>1897</v>
      </c>
      <c r="G1243" t="s">
        <v>1741</v>
      </c>
      <c r="H1243" t="s">
        <v>2343</v>
      </c>
      <c r="I1243" t="s">
        <v>2277</v>
      </c>
      <c r="J1243" t="s">
        <v>2277</v>
      </c>
      <c r="K1243" t="s">
        <v>2277</v>
      </c>
      <c r="L1243" t="s">
        <v>2277</v>
      </c>
      <c r="M1243" t="s">
        <v>2277</v>
      </c>
      <c r="N1243" t="s">
        <v>2277</v>
      </c>
      <c r="O1243" s="190" t="str">
        <f t="shared" si="19"/>
        <v>[S05_InherentCarbonTransferredDetail][19][InstallationIdReceiving]</v>
      </c>
    </row>
    <row r="1244" spans="1:15" x14ac:dyDescent="0.3">
      <c r="A1244" t="s">
        <v>2278</v>
      </c>
      <c r="B1244" t="s">
        <v>1892</v>
      </c>
      <c r="C1244" t="s">
        <v>1894</v>
      </c>
      <c r="D1244">
        <v>20</v>
      </c>
      <c r="E1244" t="s">
        <v>1447</v>
      </c>
      <c r="F1244" t="s">
        <v>1897</v>
      </c>
      <c r="G1244" t="s">
        <v>1741</v>
      </c>
      <c r="H1244" t="s">
        <v>2347</v>
      </c>
      <c r="I1244" t="s">
        <v>2277</v>
      </c>
      <c r="J1244" t="s">
        <v>2277</v>
      </c>
      <c r="K1244" t="s">
        <v>2277</v>
      </c>
      <c r="L1244" t="s">
        <v>2277</v>
      </c>
      <c r="M1244" t="s">
        <v>2277</v>
      </c>
      <c r="N1244" t="s">
        <v>2277</v>
      </c>
      <c r="O1244" s="190" t="str">
        <f t="shared" si="19"/>
        <v>[S05_InherentCarbonTransferredDetail][20][InstallationIdReceiving]</v>
      </c>
    </row>
    <row r="1245" spans="1:15" x14ac:dyDescent="0.3">
      <c r="A1245" t="s">
        <v>2278</v>
      </c>
      <c r="B1245" t="s">
        <v>1892</v>
      </c>
      <c r="C1245" t="s">
        <v>1894</v>
      </c>
      <c r="D1245">
        <v>21</v>
      </c>
      <c r="E1245" t="s">
        <v>1447</v>
      </c>
      <c r="F1245" t="s">
        <v>1897</v>
      </c>
      <c r="G1245" t="s">
        <v>1741</v>
      </c>
      <c r="H1245" t="s">
        <v>2347</v>
      </c>
      <c r="I1245" t="s">
        <v>2277</v>
      </c>
      <c r="J1245" t="s">
        <v>2277</v>
      </c>
      <c r="K1245" t="s">
        <v>2277</v>
      </c>
      <c r="L1245" t="s">
        <v>2277</v>
      </c>
      <c r="M1245" t="s">
        <v>2277</v>
      </c>
      <c r="N1245" t="s">
        <v>2277</v>
      </c>
      <c r="O1245" s="190" t="str">
        <f t="shared" si="19"/>
        <v>[S05_InherentCarbonTransferredDetail][21][InstallationIdReceiving]</v>
      </c>
    </row>
    <row r="1246" spans="1:15" x14ac:dyDescent="0.3">
      <c r="A1246" t="s">
        <v>2278</v>
      </c>
      <c r="B1246" t="s">
        <v>1892</v>
      </c>
      <c r="C1246" t="s">
        <v>1894</v>
      </c>
      <c r="D1246">
        <v>22</v>
      </c>
      <c r="E1246" t="s">
        <v>1447</v>
      </c>
      <c r="F1246" t="s">
        <v>1897</v>
      </c>
      <c r="G1246" t="s">
        <v>1741</v>
      </c>
      <c r="H1246" t="s">
        <v>2346</v>
      </c>
      <c r="I1246" t="s">
        <v>2277</v>
      </c>
      <c r="J1246" t="s">
        <v>2277</v>
      </c>
      <c r="K1246" t="s">
        <v>2277</v>
      </c>
      <c r="L1246" t="s">
        <v>2277</v>
      </c>
      <c r="M1246" t="s">
        <v>2277</v>
      </c>
      <c r="N1246" t="s">
        <v>2277</v>
      </c>
      <c r="O1246" s="190" t="str">
        <f t="shared" si="19"/>
        <v>[S05_InherentCarbonTransferredDetail][22][InstallationIdReceiving]</v>
      </c>
    </row>
    <row r="1247" spans="1:15" x14ac:dyDescent="0.3">
      <c r="A1247" t="s">
        <v>2278</v>
      </c>
      <c r="B1247" t="s">
        <v>1892</v>
      </c>
      <c r="C1247" t="s">
        <v>1894</v>
      </c>
      <c r="D1247">
        <v>23</v>
      </c>
      <c r="E1247" t="s">
        <v>1447</v>
      </c>
      <c r="F1247" t="s">
        <v>1897</v>
      </c>
      <c r="G1247" t="s">
        <v>1741</v>
      </c>
      <c r="H1247" t="s">
        <v>2342</v>
      </c>
      <c r="I1247" t="s">
        <v>2277</v>
      </c>
      <c r="J1247" t="s">
        <v>2277</v>
      </c>
      <c r="K1247" t="s">
        <v>2277</v>
      </c>
      <c r="L1247" t="s">
        <v>2277</v>
      </c>
      <c r="M1247" t="s">
        <v>2277</v>
      </c>
      <c r="N1247" t="s">
        <v>2277</v>
      </c>
      <c r="O1247" s="190" t="str">
        <f t="shared" si="19"/>
        <v>[S05_InherentCarbonTransferredDetail][23][InstallationIdReceiving]</v>
      </c>
    </row>
    <row r="1248" spans="1:15" x14ac:dyDescent="0.3">
      <c r="A1248" t="s">
        <v>2278</v>
      </c>
      <c r="B1248" t="s">
        <v>1892</v>
      </c>
      <c r="C1248" t="s">
        <v>1894</v>
      </c>
      <c r="D1248">
        <v>24</v>
      </c>
      <c r="E1248" t="s">
        <v>1447</v>
      </c>
      <c r="F1248" t="s">
        <v>1897</v>
      </c>
      <c r="G1248" t="s">
        <v>1741</v>
      </c>
      <c r="H1248" t="s">
        <v>2345</v>
      </c>
      <c r="I1248" t="s">
        <v>2277</v>
      </c>
      <c r="J1248" t="s">
        <v>2277</v>
      </c>
      <c r="K1248" t="s">
        <v>2277</v>
      </c>
      <c r="L1248" t="s">
        <v>2277</v>
      </c>
      <c r="M1248" t="s">
        <v>2277</v>
      </c>
      <c r="N1248" t="s">
        <v>2277</v>
      </c>
      <c r="O1248" s="190" t="str">
        <f t="shared" si="19"/>
        <v>[S05_InherentCarbonTransferredDetail][24][InstallationIdReceiving]</v>
      </c>
    </row>
    <row r="1249" spans="1:15" x14ac:dyDescent="0.3">
      <c r="A1249" t="s">
        <v>2278</v>
      </c>
      <c r="B1249" t="s">
        <v>1892</v>
      </c>
      <c r="C1249" t="s">
        <v>1894</v>
      </c>
      <c r="D1249">
        <v>25</v>
      </c>
      <c r="E1249" t="s">
        <v>1447</v>
      </c>
      <c r="F1249" t="s">
        <v>1897</v>
      </c>
      <c r="G1249" t="s">
        <v>1741</v>
      </c>
      <c r="H1249" t="s">
        <v>2345</v>
      </c>
      <c r="I1249" t="s">
        <v>2277</v>
      </c>
      <c r="J1249" t="s">
        <v>2277</v>
      </c>
      <c r="K1249" t="s">
        <v>2277</v>
      </c>
      <c r="L1249" t="s">
        <v>2277</v>
      </c>
      <c r="M1249" t="s">
        <v>2277</v>
      </c>
      <c r="N1249" t="s">
        <v>2277</v>
      </c>
      <c r="O1249" s="190" t="str">
        <f t="shared" si="19"/>
        <v>[S05_InherentCarbonTransferredDetail][25][InstallationIdReceiving]</v>
      </c>
    </row>
    <row r="1250" spans="1:15" x14ac:dyDescent="0.3">
      <c r="A1250" t="s">
        <v>2278</v>
      </c>
      <c r="B1250" t="s">
        <v>1892</v>
      </c>
      <c r="C1250" t="s">
        <v>1894</v>
      </c>
      <c r="D1250">
        <v>26</v>
      </c>
      <c r="E1250" t="s">
        <v>1447</v>
      </c>
      <c r="F1250" t="s">
        <v>1897</v>
      </c>
      <c r="G1250" t="s">
        <v>1741</v>
      </c>
      <c r="H1250" t="s">
        <v>2344</v>
      </c>
      <c r="I1250" t="s">
        <v>2277</v>
      </c>
      <c r="J1250" t="s">
        <v>2277</v>
      </c>
      <c r="K1250" t="s">
        <v>2277</v>
      </c>
      <c r="L1250" t="s">
        <v>2277</v>
      </c>
      <c r="M1250" t="s">
        <v>2277</v>
      </c>
      <c r="N1250" t="s">
        <v>2277</v>
      </c>
      <c r="O1250" s="190" t="str">
        <f t="shared" si="19"/>
        <v>[S05_InherentCarbonTransferredDetail][26][InstallationIdReceiving]</v>
      </c>
    </row>
    <row r="1251" spans="1:15" x14ac:dyDescent="0.3">
      <c r="A1251" t="s">
        <v>2278</v>
      </c>
      <c r="B1251" t="s">
        <v>1892</v>
      </c>
      <c r="C1251" t="s">
        <v>1894</v>
      </c>
      <c r="D1251">
        <v>27</v>
      </c>
      <c r="E1251" t="s">
        <v>1447</v>
      </c>
      <c r="F1251" t="s">
        <v>1897</v>
      </c>
      <c r="G1251" t="s">
        <v>1741</v>
      </c>
      <c r="H1251" t="s">
        <v>2343</v>
      </c>
      <c r="I1251" t="s">
        <v>2277</v>
      </c>
      <c r="J1251" t="s">
        <v>2277</v>
      </c>
      <c r="K1251" t="s">
        <v>2277</v>
      </c>
      <c r="L1251" t="s">
        <v>2277</v>
      </c>
      <c r="M1251" t="s">
        <v>2277</v>
      </c>
      <c r="N1251" t="s">
        <v>2277</v>
      </c>
      <c r="O1251" s="190" t="str">
        <f t="shared" si="19"/>
        <v>[S05_InherentCarbonTransferredDetail][27][InstallationIdReceiving]</v>
      </c>
    </row>
    <row r="1252" spans="1:15" x14ac:dyDescent="0.3">
      <c r="A1252" t="s">
        <v>2278</v>
      </c>
      <c r="B1252" t="s">
        <v>1892</v>
      </c>
      <c r="C1252" t="s">
        <v>1894</v>
      </c>
      <c r="D1252">
        <v>28</v>
      </c>
      <c r="E1252" t="s">
        <v>1447</v>
      </c>
      <c r="F1252" t="s">
        <v>1897</v>
      </c>
      <c r="G1252" t="s">
        <v>1741</v>
      </c>
      <c r="H1252" t="s">
        <v>2344</v>
      </c>
      <c r="I1252" t="s">
        <v>2277</v>
      </c>
      <c r="J1252" t="s">
        <v>2277</v>
      </c>
      <c r="K1252" t="s">
        <v>2277</v>
      </c>
      <c r="L1252" t="s">
        <v>2277</v>
      </c>
      <c r="M1252" t="s">
        <v>2277</v>
      </c>
      <c r="N1252" t="s">
        <v>2277</v>
      </c>
      <c r="O1252" s="190" t="str">
        <f t="shared" si="19"/>
        <v>[S05_InherentCarbonTransferredDetail][28][InstallationIdReceiving]</v>
      </c>
    </row>
    <row r="1253" spans="1:15" x14ac:dyDescent="0.3">
      <c r="A1253" t="s">
        <v>2278</v>
      </c>
      <c r="B1253" t="s">
        <v>1892</v>
      </c>
      <c r="C1253" t="s">
        <v>1894</v>
      </c>
      <c r="D1253">
        <v>29</v>
      </c>
      <c r="E1253" t="s">
        <v>1447</v>
      </c>
      <c r="F1253" t="s">
        <v>1897</v>
      </c>
      <c r="G1253" t="s">
        <v>1741</v>
      </c>
      <c r="H1253" t="s">
        <v>2343</v>
      </c>
      <c r="I1253" t="s">
        <v>2277</v>
      </c>
      <c r="J1253" t="s">
        <v>2277</v>
      </c>
      <c r="K1253" t="s">
        <v>2277</v>
      </c>
      <c r="L1253" t="s">
        <v>2277</v>
      </c>
      <c r="M1253" t="s">
        <v>2277</v>
      </c>
      <c r="N1253" t="s">
        <v>2277</v>
      </c>
      <c r="O1253" s="190" t="str">
        <f t="shared" si="19"/>
        <v>[S05_InherentCarbonTransferredDetail][29][InstallationIdReceiving]</v>
      </c>
    </row>
    <row r="1254" spans="1:15" x14ac:dyDescent="0.3">
      <c r="A1254" t="s">
        <v>2278</v>
      </c>
      <c r="B1254" t="s">
        <v>1892</v>
      </c>
      <c r="C1254" t="s">
        <v>1894</v>
      </c>
      <c r="D1254">
        <v>30</v>
      </c>
      <c r="E1254" t="s">
        <v>1447</v>
      </c>
      <c r="F1254" t="s">
        <v>1897</v>
      </c>
      <c r="G1254" t="s">
        <v>1741</v>
      </c>
      <c r="H1254" t="s">
        <v>2342</v>
      </c>
      <c r="I1254" t="s">
        <v>2277</v>
      </c>
      <c r="J1254" t="s">
        <v>2277</v>
      </c>
      <c r="K1254" t="s">
        <v>2277</v>
      </c>
      <c r="L1254" t="s">
        <v>2277</v>
      </c>
      <c r="M1254" t="s">
        <v>2277</v>
      </c>
      <c r="N1254" t="s">
        <v>2277</v>
      </c>
      <c r="O1254" s="190" t="str">
        <f t="shared" si="19"/>
        <v>[S05_InherentCarbonTransferredDetail][30][InstallationIdReceiving]</v>
      </c>
    </row>
    <row r="1255" spans="1:15" x14ac:dyDescent="0.3">
      <c r="A1255" t="s">
        <v>2278</v>
      </c>
      <c r="B1255" t="s">
        <v>1892</v>
      </c>
      <c r="C1255" t="s">
        <v>1894</v>
      </c>
      <c r="D1255">
        <v>31</v>
      </c>
      <c r="E1255" t="s">
        <v>1447</v>
      </c>
      <c r="F1255" t="s">
        <v>1897</v>
      </c>
      <c r="G1255" t="s">
        <v>1741</v>
      </c>
      <c r="H1255" t="s">
        <v>2341</v>
      </c>
      <c r="I1255" t="s">
        <v>2277</v>
      </c>
      <c r="J1255" t="s">
        <v>2277</v>
      </c>
      <c r="K1255" t="s">
        <v>2277</v>
      </c>
      <c r="L1255" t="s">
        <v>2277</v>
      </c>
      <c r="M1255" t="s">
        <v>2277</v>
      </c>
      <c r="N1255" t="s">
        <v>2277</v>
      </c>
      <c r="O1255" s="190" t="str">
        <f t="shared" si="19"/>
        <v>[S05_InherentCarbonTransferredDetail][31][InstallationIdReceiving]</v>
      </c>
    </row>
    <row r="1256" spans="1:15" x14ac:dyDescent="0.3">
      <c r="A1256" t="s">
        <v>2278</v>
      </c>
      <c r="B1256" t="s">
        <v>1892</v>
      </c>
      <c r="C1256" t="s">
        <v>1894</v>
      </c>
      <c r="D1256">
        <v>32</v>
      </c>
      <c r="E1256" t="s">
        <v>1447</v>
      </c>
      <c r="F1256" t="s">
        <v>1897</v>
      </c>
      <c r="G1256" t="s">
        <v>1741</v>
      </c>
      <c r="H1256" t="s">
        <v>2340</v>
      </c>
      <c r="I1256" t="s">
        <v>2277</v>
      </c>
      <c r="J1256" t="s">
        <v>2277</v>
      </c>
      <c r="K1256" t="s">
        <v>2277</v>
      </c>
      <c r="L1256" t="s">
        <v>2277</v>
      </c>
      <c r="M1256" t="s">
        <v>2277</v>
      </c>
      <c r="N1256" t="s">
        <v>2277</v>
      </c>
      <c r="O1256" s="190" t="str">
        <f t="shared" si="19"/>
        <v>[S05_InherentCarbonTransferredDetail][32][InstallationIdReceiving]</v>
      </c>
    </row>
    <row r="1257" spans="1:15" x14ac:dyDescent="0.3">
      <c r="A1257" t="s">
        <v>2278</v>
      </c>
      <c r="B1257" t="s">
        <v>1892</v>
      </c>
      <c r="C1257" t="s">
        <v>1894</v>
      </c>
      <c r="D1257">
        <v>1</v>
      </c>
      <c r="E1257" t="s">
        <v>1447</v>
      </c>
      <c r="F1257" t="s">
        <v>1898</v>
      </c>
      <c r="G1257" t="s">
        <v>1806</v>
      </c>
      <c r="H1257" t="s">
        <v>2277</v>
      </c>
      <c r="I1257" t="s">
        <v>2277</v>
      </c>
      <c r="J1257">
        <v>-843</v>
      </c>
      <c r="K1257" t="s">
        <v>2277</v>
      </c>
      <c r="L1257" t="s">
        <v>2277</v>
      </c>
      <c r="M1257" t="s">
        <v>2277</v>
      </c>
      <c r="N1257" t="s">
        <v>2277</v>
      </c>
      <c r="O1257" s="190" t="str">
        <f t="shared" si="19"/>
        <v>[S05_InherentCarbonTransferredDetail][1][AmountCO2Transferred]</v>
      </c>
    </row>
    <row r="1258" spans="1:15" x14ac:dyDescent="0.3">
      <c r="A1258" t="s">
        <v>2278</v>
      </c>
      <c r="B1258" t="s">
        <v>1892</v>
      </c>
      <c r="C1258" t="s">
        <v>1894</v>
      </c>
      <c r="D1258">
        <v>2</v>
      </c>
      <c r="E1258" t="s">
        <v>1447</v>
      </c>
      <c r="F1258" t="s">
        <v>1898</v>
      </c>
      <c r="G1258" t="s">
        <v>1806</v>
      </c>
      <c r="H1258" t="s">
        <v>2277</v>
      </c>
      <c r="I1258" t="s">
        <v>2277</v>
      </c>
      <c r="J1258">
        <v>-2523</v>
      </c>
      <c r="K1258" t="s">
        <v>2277</v>
      </c>
      <c r="L1258" t="s">
        <v>2277</v>
      </c>
      <c r="M1258" t="s">
        <v>2277</v>
      </c>
      <c r="N1258" t="s">
        <v>2277</v>
      </c>
      <c r="O1258" s="190" t="str">
        <f t="shared" si="19"/>
        <v>[S05_InherentCarbonTransferredDetail][2][AmountCO2Transferred]</v>
      </c>
    </row>
    <row r="1259" spans="1:15" x14ac:dyDescent="0.3">
      <c r="A1259" t="s">
        <v>2278</v>
      </c>
      <c r="B1259" t="s">
        <v>1892</v>
      </c>
      <c r="C1259" t="s">
        <v>1894</v>
      </c>
      <c r="D1259">
        <v>3</v>
      </c>
      <c r="E1259" t="s">
        <v>1447</v>
      </c>
      <c r="F1259" t="s">
        <v>1898</v>
      </c>
      <c r="G1259" t="s">
        <v>1806</v>
      </c>
      <c r="H1259" t="s">
        <v>2277</v>
      </c>
      <c r="I1259" t="s">
        <v>2277</v>
      </c>
      <c r="J1259">
        <v>-4674</v>
      </c>
      <c r="K1259" t="s">
        <v>2277</v>
      </c>
      <c r="L1259" t="s">
        <v>2277</v>
      </c>
      <c r="M1259" t="s">
        <v>2277</v>
      </c>
      <c r="N1259" t="s">
        <v>2277</v>
      </c>
      <c r="O1259" s="190" t="str">
        <f t="shared" si="19"/>
        <v>[S05_InherentCarbonTransferredDetail][3][AmountCO2Transferred]</v>
      </c>
    </row>
    <row r="1260" spans="1:15" x14ac:dyDescent="0.3">
      <c r="A1260" t="s">
        <v>2278</v>
      </c>
      <c r="B1260" t="s">
        <v>1892</v>
      </c>
      <c r="C1260" t="s">
        <v>1894</v>
      </c>
      <c r="D1260">
        <v>4</v>
      </c>
      <c r="E1260" t="s">
        <v>1447</v>
      </c>
      <c r="F1260" t="s">
        <v>1898</v>
      </c>
      <c r="G1260" t="s">
        <v>1806</v>
      </c>
      <c r="H1260" t="s">
        <v>2277</v>
      </c>
      <c r="I1260" t="s">
        <v>2277</v>
      </c>
      <c r="J1260">
        <v>-1125</v>
      </c>
      <c r="K1260" t="s">
        <v>2277</v>
      </c>
      <c r="L1260" t="s">
        <v>2277</v>
      </c>
      <c r="M1260" t="s">
        <v>2277</v>
      </c>
      <c r="N1260" t="s">
        <v>2277</v>
      </c>
      <c r="O1260" s="190" t="str">
        <f t="shared" si="19"/>
        <v>[S05_InherentCarbonTransferredDetail][4][AmountCO2Transferred]</v>
      </c>
    </row>
    <row r="1261" spans="1:15" x14ac:dyDescent="0.3">
      <c r="A1261" t="s">
        <v>2278</v>
      </c>
      <c r="B1261" t="s">
        <v>1892</v>
      </c>
      <c r="C1261" t="s">
        <v>1894</v>
      </c>
      <c r="D1261">
        <v>5</v>
      </c>
      <c r="E1261" t="s">
        <v>1447</v>
      </c>
      <c r="F1261" t="s">
        <v>1898</v>
      </c>
      <c r="G1261" t="s">
        <v>1806</v>
      </c>
      <c r="H1261" t="s">
        <v>2277</v>
      </c>
      <c r="I1261" t="s">
        <v>2277</v>
      </c>
      <c r="J1261">
        <v>-140</v>
      </c>
      <c r="K1261" t="s">
        <v>2277</v>
      </c>
      <c r="L1261" t="s">
        <v>2277</v>
      </c>
      <c r="M1261" t="s">
        <v>2277</v>
      </c>
      <c r="N1261" t="s">
        <v>2277</v>
      </c>
      <c r="O1261" s="190" t="str">
        <f t="shared" si="19"/>
        <v>[S05_InherentCarbonTransferredDetail][5][AmountCO2Transferred]</v>
      </c>
    </row>
    <row r="1262" spans="1:15" x14ac:dyDescent="0.3">
      <c r="A1262" t="s">
        <v>2278</v>
      </c>
      <c r="B1262" t="s">
        <v>1892</v>
      </c>
      <c r="C1262" t="s">
        <v>1894</v>
      </c>
      <c r="D1262">
        <v>6</v>
      </c>
      <c r="E1262" t="s">
        <v>1447</v>
      </c>
      <c r="F1262" t="s">
        <v>1898</v>
      </c>
      <c r="G1262" t="s">
        <v>1806</v>
      </c>
      <c r="H1262" t="s">
        <v>2277</v>
      </c>
      <c r="I1262" t="s">
        <v>2277</v>
      </c>
      <c r="J1262">
        <v>-1421</v>
      </c>
      <c r="K1262" t="s">
        <v>2277</v>
      </c>
      <c r="L1262" t="s">
        <v>2277</v>
      </c>
      <c r="M1262" t="s">
        <v>2277</v>
      </c>
      <c r="N1262" t="s">
        <v>2277</v>
      </c>
      <c r="O1262" s="190" t="str">
        <f t="shared" si="19"/>
        <v>[S05_InherentCarbonTransferredDetail][6][AmountCO2Transferred]</v>
      </c>
    </row>
    <row r="1263" spans="1:15" x14ac:dyDescent="0.3">
      <c r="A1263" t="s">
        <v>2278</v>
      </c>
      <c r="B1263" t="s">
        <v>1892</v>
      </c>
      <c r="C1263" t="s">
        <v>1894</v>
      </c>
      <c r="D1263">
        <v>7</v>
      </c>
      <c r="E1263" t="s">
        <v>1447</v>
      </c>
      <c r="F1263" t="s">
        <v>1898</v>
      </c>
      <c r="G1263" t="s">
        <v>1806</v>
      </c>
      <c r="H1263" t="s">
        <v>2277</v>
      </c>
      <c r="I1263" t="s">
        <v>2277</v>
      </c>
      <c r="J1263">
        <v>-597</v>
      </c>
      <c r="K1263" t="s">
        <v>2277</v>
      </c>
      <c r="L1263" t="s">
        <v>2277</v>
      </c>
      <c r="M1263" t="s">
        <v>2277</v>
      </c>
      <c r="N1263" t="s">
        <v>2277</v>
      </c>
      <c r="O1263" s="190" t="str">
        <f t="shared" si="19"/>
        <v>[S05_InherentCarbonTransferredDetail][7][AmountCO2Transferred]</v>
      </c>
    </row>
    <row r="1264" spans="1:15" x14ac:dyDescent="0.3">
      <c r="A1264" t="s">
        <v>2278</v>
      </c>
      <c r="B1264" t="s">
        <v>1892</v>
      </c>
      <c r="C1264" t="s">
        <v>1894</v>
      </c>
      <c r="D1264">
        <v>8</v>
      </c>
      <c r="E1264" t="s">
        <v>1447</v>
      </c>
      <c r="F1264" t="s">
        <v>1898</v>
      </c>
      <c r="G1264" t="s">
        <v>1806</v>
      </c>
      <c r="H1264" t="s">
        <v>2277</v>
      </c>
      <c r="I1264" t="s">
        <v>2277</v>
      </c>
      <c r="J1264">
        <v>-2184</v>
      </c>
      <c r="K1264" t="s">
        <v>2277</v>
      </c>
      <c r="L1264" t="s">
        <v>2277</v>
      </c>
      <c r="M1264" t="s">
        <v>2277</v>
      </c>
      <c r="N1264" t="s">
        <v>2277</v>
      </c>
      <c r="O1264" s="190" t="str">
        <f t="shared" si="19"/>
        <v>[S05_InherentCarbonTransferredDetail][8][AmountCO2Transferred]</v>
      </c>
    </row>
    <row r="1265" spans="1:15" x14ac:dyDescent="0.3">
      <c r="A1265" t="s">
        <v>2278</v>
      </c>
      <c r="B1265" t="s">
        <v>1892</v>
      </c>
      <c r="C1265" t="s">
        <v>1894</v>
      </c>
      <c r="D1265">
        <v>9</v>
      </c>
      <c r="E1265" t="s">
        <v>1447</v>
      </c>
      <c r="F1265" t="s">
        <v>1898</v>
      </c>
      <c r="G1265" t="s">
        <v>1806</v>
      </c>
      <c r="H1265" t="s">
        <v>2277</v>
      </c>
      <c r="I1265" t="s">
        <v>2277</v>
      </c>
      <c r="J1265">
        <v>-2799</v>
      </c>
      <c r="K1265" t="s">
        <v>2277</v>
      </c>
      <c r="L1265" t="s">
        <v>2277</v>
      </c>
      <c r="M1265" t="s">
        <v>2277</v>
      </c>
      <c r="N1265" t="s">
        <v>2277</v>
      </c>
      <c r="O1265" s="190" t="str">
        <f t="shared" si="19"/>
        <v>[S05_InherentCarbonTransferredDetail][9][AmountCO2Transferred]</v>
      </c>
    </row>
    <row r="1266" spans="1:15" x14ac:dyDescent="0.3">
      <c r="A1266" t="s">
        <v>2278</v>
      </c>
      <c r="B1266" t="s">
        <v>1892</v>
      </c>
      <c r="C1266" t="s">
        <v>1894</v>
      </c>
      <c r="D1266">
        <v>10</v>
      </c>
      <c r="E1266" t="s">
        <v>1447</v>
      </c>
      <c r="F1266" t="s">
        <v>1898</v>
      </c>
      <c r="G1266" t="s">
        <v>1806</v>
      </c>
      <c r="H1266" t="s">
        <v>2277</v>
      </c>
      <c r="I1266" t="s">
        <v>2277</v>
      </c>
      <c r="J1266">
        <v>-14327.79</v>
      </c>
      <c r="K1266" t="s">
        <v>2277</v>
      </c>
      <c r="L1266" t="s">
        <v>2277</v>
      </c>
      <c r="M1266" t="s">
        <v>2277</v>
      </c>
      <c r="N1266" t="s">
        <v>2277</v>
      </c>
      <c r="O1266" s="190" t="str">
        <f t="shared" si="19"/>
        <v>[S05_InherentCarbonTransferredDetail][10][AmountCO2Transferred]</v>
      </c>
    </row>
    <row r="1267" spans="1:15" x14ac:dyDescent="0.3">
      <c r="A1267" t="s">
        <v>2278</v>
      </c>
      <c r="B1267" t="s">
        <v>1892</v>
      </c>
      <c r="C1267" t="s">
        <v>1894</v>
      </c>
      <c r="D1267">
        <v>11</v>
      </c>
      <c r="E1267" t="s">
        <v>1447</v>
      </c>
      <c r="F1267" t="s">
        <v>1898</v>
      </c>
      <c r="G1267" t="s">
        <v>1806</v>
      </c>
      <c r="H1267" t="s">
        <v>2277</v>
      </c>
      <c r="I1267" t="s">
        <v>2277</v>
      </c>
      <c r="J1267">
        <v>-12761.63</v>
      </c>
      <c r="K1267" t="s">
        <v>2277</v>
      </c>
      <c r="L1267" t="s">
        <v>2277</v>
      </c>
      <c r="M1267" t="s">
        <v>2277</v>
      </c>
      <c r="N1267" t="s">
        <v>2277</v>
      </c>
      <c r="O1267" s="190" t="str">
        <f t="shared" si="19"/>
        <v>[S05_InherentCarbonTransferredDetail][11][AmountCO2Transferred]</v>
      </c>
    </row>
    <row r="1268" spans="1:15" x14ac:dyDescent="0.3">
      <c r="A1268" t="s">
        <v>2278</v>
      </c>
      <c r="B1268" t="s">
        <v>1892</v>
      </c>
      <c r="C1268" t="s">
        <v>1894</v>
      </c>
      <c r="D1268">
        <v>12</v>
      </c>
      <c r="E1268" t="s">
        <v>1447</v>
      </c>
      <c r="F1268" t="s">
        <v>1898</v>
      </c>
      <c r="G1268" t="s">
        <v>1806</v>
      </c>
      <c r="H1268" t="s">
        <v>2277</v>
      </c>
      <c r="I1268" t="s">
        <v>2277</v>
      </c>
      <c r="J1268">
        <v>-2057.4899999999998</v>
      </c>
      <c r="K1268" t="s">
        <v>2277</v>
      </c>
      <c r="L1268" t="s">
        <v>2277</v>
      </c>
      <c r="M1268" t="s">
        <v>2277</v>
      </c>
      <c r="N1268" t="s">
        <v>2277</v>
      </c>
      <c r="O1268" s="190" t="str">
        <f t="shared" si="19"/>
        <v>[S05_InherentCarbonTransferredDetail][12][AmountCO2Transferred]</v>
      </c>
    </row>
    <row r="1269" spans="1:15" x14ac:dyDescent="0.3">
      <c r="A1269" t="s">
        <v>2278</v>
      </c>
      <c r="B1269" t="s">
        <v>1892</v>
      </c>
      <c r="C1269" t="s">
        <v>1894</v>
      </c>
      <c r="D1269">
        <v>13</v>
      </c>
      <c r="E1269" t="s">
        <v>1447</v>
      </c>
      <c r="F1269" t="s">
        <v>1898</v>
      </c>
      <c r="G1269" t="s">
        <v>1806</v>
      </c>
      <c r="H1269" t="s">
        <v>2277</v>
      </c>
      <c r="I1269" t="s">
        <v>2277</v>
      </c>
      <c r="J1269">
        <v>-1584.49</v>
      </c>
      <c r="K1269" t="s">
        <v>2277</v>
      </c>
      <c r="L1269" t="s">
        <v>2277</v>
      </c>
      <c r="M1269" t="s">
        <v>2277</v>
      </c>
      <c r="N1269" t="s">
        <v>2277</v>
      </c>
      <c r="O1269" s="190" t="str">
        <f t="shared" si="19"/>
        <v>[S05_InherentCarbonTransferredDetail][13][AmountCO2Transferred]</v>
      </c>
    </row>
    <row r="1270" spans="1:15" x14ac:dyDescent="0.3">
      <c r="A1270" t="s">
        <v>2278</v>
      </c>
      <c r="B1270" t="s">
        <v>1892</v>
      </c>
      <c r="C1270" t="s">
        <v>1894</v>
      </c>
      <c r="D1270">
        <v>14</v>
      </c>
      <c r="E1270" t="s">
        <v>1447</v>
      </c>
      <c r="F1270" t="s">
        <v>1898</v>
      </c>
      <c r="G1270" t="s">
        <v>1806</v>
      </c>
      <c r="H1270" t="s">
        <v>2277</v>
      </c>
      <c r="I1270" t="s">
        <v>2277</v>
      </c>
      <c r="J1270">
        <v>-1075.92</v>
      </c>
      <c r="K1270" t="s">
        <v>2277</v>
      </c>
      <c r="L1270" t="s">
        <v>2277</v>
      </c>
      <c r="M1270" t="s">
        <v>2277</v>
      </c>
      <c r="N1270" t="s">
        <v>2277</v>
      </c>
      <c r="O1270" s="190" t="str">
        <f t="shared" si="19"/>
        <v>[S05_InherentCarbonTransferredDetail][14][AmountCO2Transferred]</v>
      </c>
    </row>
    <row r="1271" spans="1:15" x14ac:dyDescent="0.3">
      <c r="A1271" t="s">
        <v>2278</v>
      </c>
      <c r="B1271" t="s">
        <v>1892</v>
      </c>
      <c r="C1271" t="s">
        <v>1894</v>
      </c>
      <c r="D1271">
        <v>15</v>
      </c>
      <c r="E1271" t="s">
        <v>1447</v>
      </c>
      <c r="F1271" t="s">
        <v>1898</v>
      </c>
      <c r="G1271" t="s">
        <v>1806</v>
      </c>
      <c r="H1271" t="s">
        <v>2277</v>
      </c>
      <c r="I1271" t="s">
        <v>2277</v>
      </c>
      <c r="J1271">
        <v>-414.06</v>
      </c>
      <c r="K1271" t="s">
        <v>2277</v>
      </c>
      <c r="L1271" t="s">
        <v>2277</v>
      </c>
      <c r="M1271" t="s">
        <v>2277</v>
      </c>
      <c r="N1271" t="s">
        <v>2277</v>
      </c>
      <c r="O1271" s="190" t="str">
        <f t="shared" si="19"/>
        <v>[S05_InherentCarbonTransferredDetail][15][AmountCO2Transferred]</v>
      </c>
    </row>
    <row r="1272" spans="1:15" x14ac:dyDescent="0.3">
      <c r="A1272" t="s">
        <v>2278</v>
      </c>
      <c r="B1272" t="s">
        <v>1892</v>
      </c>
      <c r="C1272" t="s">
        <v>1894</v>
      </c>
      <c r="D1272">
        <v>16</v>
      </c>
      <c r="E1272" t="s">
        <v>1447</v>
      </c>
      <c r="F1272" t="s">
        <v>1898</v>
      </c>
      <c r="G1272" t="s">
        <v>1806</v>
      </c>
      <c r="H1272" t="s">
        <v>2277</v>
      </c>
      <c r="I1272" t="s">
        <v>2277</v>
      </c>
      <c r="J1272">
        <v>-1066.9000000000001</v>
      </c>
      <c r="K1272" t="s">
        <v>2277</v>
      </c>
      <c r="L1272" t="s">
        <v>2277</v>
      </c>
      <c r="M1272" t="s">
        <v>2277</v>
      </c>
      <c r="N1272" t="s">
        <v>2277</v>
      </c>
      <c r="O1272" s="190" t="str">
        <f t="shared" si="19"/>
        <v>[S05_InherentCarbonTransferredDetail][16][AmountCO2Transferred]</v>
      </c>
    </row>
    <row r="1273" spans="1:15" x14ac:dyDescent="0.3">
      <c r="A1273" t="s">
        <v>2278</v>
      </c>
      <c r="B1273" t="s">
        <v>1892</v>
      </c>
      <c r="C1273" t="s">
        <v>1894</v>
      </c>
      <c r="D1273">
        <v>17</v>
      </c>
      <c r="E1273" t="s">
        <v>1447</v>
      </c>
      <c r="F1273" t="s">
        <v>1898</v>
      </c>
      <c r="G1273" t="s">
        <v>1806</v>
      </c>
      <c r="H1273" t="s">
        <v>2277</v>
      </c>
      <c r="I1273" t="s">
        <v>2277</v>
      </c>
      <c r="J1273">
        <v>-4110.3900000000003</v>
      </c>
      <c r="K1273" t="s">
        <v>2277</v>
      </c>
      <c r="L1273" t="s">
        <v>2277</v>
      </c>
      <c r="M1273" t="s">
        <v>2277</v>
      </c>
      <c r="N1273" t="s">
        <v>2277</v>
      </c>
      <c r="O1273" s="190" t="str">
        <f t="shared" si="19"/>
        <v>[S05_InherentCarbonTransferredDetail][17][AmountCO2Transferred]</v>
      </c>
    </row>
    <row r="1274" spans="1:15" x14ac:dyDescent="0.3">
      <c r="A1274" t="s">
        <v>2278</v>
      </c>
      <c r="B1274" t="s">
        <v>1892</v>
      </c>
      <c r="C1274" t="s">
        <v>1894</v>
      </c>
      <c r="D1274">
        <v>18</v>
      </c>
      <c r="E1274" t="s">
        <v>1447</v>
      </c>
      <c r="F1274" t="s">
        <v>1898</v>
      </c>
      <c r="G1274" t="s">
        <v>1806</v>
      </c>
      <c r="H1274" t="s">
        <v>2277</v>
      </c>
      <c r="I1274" t="s">
        <v>2277</v>
      </c>
      <c r="J1274">
        <v>-214.23</v>
      </c>
      <c r="K1274" t="s">
        <v>2277</v>
      </c>
      <c r="L1274" t="s">
        <v>2277</v>
      </c>
      <c r="M1274" t="s">
        <v>2277</v>
      </c>
      <c r="N1274" t="s">
        <v>2277</v>
      </c>
      <c r="O1274" s="190" t="str">
        <f t="shared" si="19"/>
        <v>[S05_InherentCarbonTransferredDetail][18][AmountCO2Transferred]</v>
      </c>
    </row>
    <row r="1275" spans="1:15" x14ac:dyDescent="0.3">
      <c r="A1275" t="s">
        <v>2278</v>
      </c>
      <c r="B1275" t="s">
        <v>1892</v>
      </c>
      <c r="C1275" t="s">
        <v>1894</v>
      </c>
      <c r="D1275">
        <v>19</v>
      </c>
      <c r="E1275" t="s">
        <v>1447</v>
      </c>
      <c r="F1275" t="s">
        <v>1898</v>
      </c>
      <c r="G1275" t="s">
        <v>1806</v>
      </c>
      <c r="H1275" t="s">
        <v>2277</v>
      </c>
      <c r="I1275" t="s">
        <v>2277</v>
      </c>
      <c r="J1275">
        <v>-4097.47</v>
      </c>
      <c r="K1275" t="s">
        <v>2277</v>
      </c>
      <c r="L1275" t="s">
        <v>2277</v>
      </c>
      <c r="M1275" t="s">
        <v>2277</v>
      </c>
      <c r="N1275" t="s">
        <v>2277</v>
      </c>
      <c r="O1275" s="190" t="str">
        <f t="shared" si="19"/>
        <v>[S05_InherentCarbonTransferredDetail][19][AmountCO2Transferred]</v>
      </c>
    </row>
    <row r="1276" spans="1:15" x14ac:dyDescent="0.3">
      <c r="A1276" t="s">
        <v>2278</v>
      </c>
      <c r="B1276" t="s">
        <v>1892</v>
      </c>
      <c r="C1276" t="s">
        <v>1894</v>
      </c>
      <c r="D1276">
        <v>20</v>
      </c>
      <c r="E1276" t="s">
        <v>1447</v>
      </c>
      <c r="F1276" t="s">
        <v>1898</v>
      </c>
      <c r="G1276" t="s">
        <v>1806</v>
      </c>
      <c r="H1276" t="s">
        <v>2277</v>
      </c>
      <c r="I1276" t="s">
        <v>2277</v>
      </c>
      <c r="J1276">
        <v>-5033.9399999999996</v>
      </c>
      <c r="K1276" t="s">
        <v>2277</v>
      </c>
      <c r="L1276" t="s">
        <v>2277</v>
      </c>
      <c r="M1276" t="s">
        <v>2277</v>
      </c>
      <c r="N1276" t="s">
        <v>2277</v>
      </c>
      <c r="O1276" s="190" t="str">
        <f t="shared" si="19"/>
        <v>[S05_InherentCarbonTransferredDetail][20][AmountCO2Transferred]</v>
      </c>
    </row>
    <row r="1277" spans="1:15" x14ac:dyDescent="0.3">
      <c r="A1277" t="s">
        <v>2278</v>
      </c>
      <c r="B1277" t="s">
        <v>1892</v>
      </c>
      <c r="C1277" t="s">
        <v>1894</v>
      </c>
      <c r="D1277">
        <v>21</v>
      </c>
      <c r="E1277" t="s">
        <v>1447</v>
      </c>
      <c r="F1277" t="s">
        <v>1898</v>
      </c>
      <c r="G1277" t="s">
        <v>1806</v>
      </c>
      <c r="H1277" t="s">
        <v>2277</v>
      </c>
      <c r="I1277" t="s">
        <v>2277</v>
      </c>
      <c r="J1277">
        <v>-5095.66</v>
      </c>
      <c r="K1277" t="s">
        <v>2277</v>
      </c>
      <c r="L1277" t="s">
        <v>2277</v>
      </c>
      <c r="M1277" t="s">
        <v>2277</v>
      </c>
      <c r="N1277" t="s">
        <v>2277</v>
      </c>
      <c r="O1277" s="190" t="str">
        <f t="shared" si="19"/>
        <v>[S05_InherentCarbonTransferredDetail][21][AmountCO2Transferred]</v>
      </c>
    </row>
    <row r="1278" spans="1:15" x14ac:dyDescent="0.3">
      <c r="A1278" t="s">
        <v>2278</v>
      </c>
      <c r="B1278" t="s">
        <v>1892</v>
      </c>
      <c r="C1278" t="s">
        <v>1894</v>
      </c>
      <c r="D1278">
        <v>22</v>
      </c>
      <c r="E1278" t="s">
        <v>1447</v>
      </c>
      <c r="F1278" t="s">
        <v>1898</v>
      </c>
      <c r="G1278" t="s">
        <v>1806</v>
      </c>
      <c r="H1278" t="s">
        <v>2277</v>
      </c>
      <c r="I1278" t="s">
        <v>2277</v>
      </c>
      <c r="J1278">
        <v>-14080.51</v>
      </c>
      <c r="K1278" t="s">
        <v>2277</v>
      </c>
      <c r="L1278" t="s">
        <v>2277</v>
      </c>
      <c r="M1278" t="s">
        <v>2277</v>
      </c>
      <c r="N1278" t="s">
        <v>2277</v>
      </c>
      <c r="O1278" s="190" t="str">
        <f t="shared" si="19"/>
        <v>[S05_InherentCarbonTransferredDetail][22][AmountCO2Transferred]</v>
      </c>
    </row>
    <row r="1279" spans="1:15" x14ac:dyDescent="0.3">
      <c r="A1279" t="s">
        <v>2278</v>
      </c>
      <c r="B1279" t="s">
        <v>1892</v>
      </c>
      <c r="C1279" t="s">
        <v>1894</v>
      </c>
      <c r="D1279">
        <v>23</v>
      </c>
      <c r="E1279" t="s">
        <v>1447</v>
      </c>
      <c r="F1279" t="s">
        <v>1898</v>
      </c>
      <c r="G1279" t="s">
        <v>1806</v>
      </c>
      <c r="H1279" t="s">
        <v>2277</v>
      </c>
      <c r="I1279" t="s">
        <v>2277</v>
      </c>
      <c r="J1279">
        <v>-843.2</v>
      </c>
      <c r="K1279" t="s">
        <v>2277</v>
      </c>
      <c r="L1279" t="s">
        <v>2277</v>
      </c>
      <c r="M1279" t="s">
        <v>2277</v>
      </c>
      <c r="N1279" t="s">
        <v>2277</v>
      </c>
      <c r="O1279" s="190" t="str">
        <f t="shared" si="19"/>
        <v>[S05_InherentCarbonTransferredDetail][23][AmountCO2Transferred]</v>
      </c>
    </row>
    <row r="1280" spans="1:15" x14ac:dyDescent="0.3">
      <c r="A1280" t="s">
        <v>2278</v>
      </c>
      <c r="B1280" t="s">
        <v>1892</v>
      </c>
      <c r="C1280" t="s">
        <v>1894</v>
      </c>
      <c r="D1280">
        <v>24</v>
      </c>
      <c r="E1280" t="s">
        <v>1447</v>
      </c>
      <c r="F1280" t="s">
        <v>1898</v>
      </c>
      <c r="G1280" t="s">
        <v>1806</v>
      </c>
      <c r="H1280" t="s">
        <v>2277</v>
      </c>
      <c r="I1280" t="s">
        <v>2277</v>
      </c>
      <c r="J1280">
        <v>-6891.36</v>
      </c>
      <c r="K1280" t="s">
        <v>2277</v>
      </c>
      <c r="L1280" t="s">
        <v>2277</v>
      </c>
      <c r="M1280" t="s">
        <v>2277</v>
      </c>
      <c r="N1280" t="s">
        <v>2277</v>
      </c>
      <c r="O1280" s="190" t="str">
        <f t="shared" si="19"/>
        <v>[S05_InherentCarbonTransferredDetail][24][AmountCO2Transferred]</v>
      </c>
    </row>
    <row r="1281" spans="1:15" x14ac:dyDescent="0.3">
      <c r="A1281" t="s">
        <v>2278</v>
      </c>
      <c r="B1281" t="s">
        <v>1892</v>
      </c>
      <c r="C1281" t="s">
        <v>1894</v>
      </c>
      <c r="D1281">
        <v>25</v>
      </c>
      <c r="E1281" t="s">
        <v>1447</v>
      </c>
      <c r="F1281" t="s">
        <v>1898</v>
      </c>
      <c r="G1281" t="s">
        <v>1806</v>
      </c>
      <c r="H1281" t="s">
        <v>2277</v>
      </c>
      <c r="I1281" t="s">
        <v>2277</v>
      </c>
      <c r="J1281">
        <v>-3579.68</v>
      </c>
      <c r="K1281" t="s">
        <v>2277</v>
      </c>
      <c r="L1281" t="s">
        <v>2277</v>
      </c>
      <c r="M1281" t="s">
        <v>2277</v>
      </c>
      <c r="N1281" t="s">
        <v>2277</v>
      </c>
      <c r="O1281" s="190" t="str">
        <f t="shared" si="19"/>
        <v>[S05_InherentCarbonTransferredDetail][25][AmountCO2Transferred]</v>
      </c>
    </row>
    <row r="1282" spans="1:15" x14ac:dyDescent="0.3">
      <c r="A1282" t="s">
        <v>2278</v>
      </c>
      <c r="B1282" t="s">
        <v>1892</v>
      </c>
      <c r="C1282" t="s">
        <v>1894</v>
      </c>
      <c r="D1282">
        <v>26</v>
      </c>
      <c r="E1282" t="s">
        <v>1447</v>
      </c>
      <c r="F1282" t="s">
        <v>1898</v>
      </c>
      <c r="G1282" t="s">
        <v>1806</v>
      </c>
      <c r="H1282" t="s">
        <v>2277</v>
      </c>
      <c r="I1282" t="s">
        <v>2277</v>
      </c>
      <c r="J1282">
        <v>-1394.49</v>
      </c>
      <c r="K1282" t="s">
        <v>2277</v>
      </c>
      <c r="L1282" t="s">
        <v>2277</v>
      </c>
      <c r="M1282" t="s">
        <v>2277</v>
      </c>
      <c r="N1282" t="s">
        <v>2277</v>
      </c>
      <c r="O1282" s="190" t="str">
        <f t="shared" ref="O1282:O1345" si="20">"["&amp;$C1282&amp;"]["&amp;$D1282&amp;"]["&amp;$F1282&amp;"]"</f>
        <v>[S05_InherentCarbonTransferredDetail][26][AmountCO2Transferred]</v>
      </c>
    </row>
    <row r="1283" spans="1:15" x14ac:dyDescent="0.3">
      <c r="A1283" t="s">
        <v>2278</v>
      </c>
      <c r="B1283" t="s">
        <v>1892</v>
      </c>
      <c r="C1283" t="s">
        <v>1894</v>
      </c>
      <c r="D1283">
        <v>27</v>
      </c>
      <c r="E1283" t="s">
        <v>1447</v>
      </c>
      <c r="F1283" t="s">
        <v>1898</v>
      </c>
      <c r="G1283" t="s">
        <v>1806</v>
      </c>
      <c r="H1283" t="s">
        <v>2277</v>
      </c>
      <c r="I1283" t="s">
        <v>2277</v>
      </c>
      <c r="J1283">
        <v>-19935.14</v>
      </c>
      <c r="K1283" t="s">
        <v>2277</v>
      </c>
      <c r="L1283" t="s">
        <v>2277</v>
      </c>
      <c r="M1283" t="s">
        <v>2277</v>
      </c>
      <c r="N1283" t="s">
        <v>2277</v>
      </c>
      <c r="O1283" s="190" t="str">
        <f t="shared" si="20"/>
        <v>[S05_InherentCarbonTransferredDetail][27][AmountCO2Transferred]</v>
      </c>
    </row>
    <row r="1284" spans="1:15" x14ac:dyDescent="0.3">
      <c r="A1284" t="s">
        <v>2278</v>
      </c>
      <c r="B1284" t="s">
        <v>1892</v>
      </c>
      <c r="C1284" t="s">
        <v>1894</v>
      </c>
      <c r="D1284">
        <v>28</v>
      </c>
      <c r="E1284" t="s">
        <v>1447</v>
      </c>
      <c r="F1284" t="s">
        <v>1898</v>
      </c>
      <c r="G1284" t="s">
        <v>1806</v>
      </c>
      <c r="H1284" t="s">
        <v>2277</v>
      </c>
      <c r="I1284" t="s">
        <v>2277</v>
      </c>
      <c r="J1284">
        <v>-698.65</v>
      </c>
      <c r="K1284" t="s">
        <v>2277</v>
      </c>
      <c r="L1284" t="s">
        <v>2277</v>
      </c>
      <c r="M1284" t="s">
        <v>2277</v>
      </c>
      <c r="N1284" t="s">
        <v>2277</v>
      </c>
      <c r="O1284" s="190" t="str">
        <f t="shared" si="20"/>
        <v>[S05_InherentCarbonTransferredDetail][28][AmountCO2Transferred]</v>
      </c>
    </row>
    <row r="1285" spans="1:15" x14ac:dyDescent="0.3">
      <c r="A1285" t="s">
        <v>2278</v>
      </c>
      <c r="B1285" t="s">
        <v>1892</v>
      </c>
      <c r="C1285" t="s">
        <v>1894</v>
      </c>
      <c r="D1285">
        <v>29</v>
      </c>
      <c r="E1285" t="s">
        <v>1447</v>
      </c>
      <c r="F1285" t="s">
        <v>1898</v>
      </c>
      <c r="G1285" t="s">
        <v>1806</v>
      </c>
      <c r="H1285" t="s">
        <v>2277</v>
      </c>
      <c r="I1285" t="s">
        <v>2277</v>
      </c>
      <c r="J1285">
        <v>-20469.36</v>
      </c>
      <c r="K1285" t="s">
        <v>2277</v>
      </c>
      <c r="L1285" t="s">
        <v>2277</v>
      </c>
      <c r="M1285" t="s">
        <v>2277</v>
      </c>
      <c r="N1285" t="s">
        <v>2277</v>
      </c>
      <c r="O1285" s="190" t="str">
        <f t="shared" si="20"/>
        <v>[S05_InherentCarbonTransferredDetail][29][AmountCO2Transferred]</v>
      </c>
    </row>
    <row r="1286" spans="1:15" x14ac:dyDescent="0.3">
      <c r="A1286" t="s">
        <v>2278</v>
      </c>
      <c r="B1286" t="s">
        <v>1892</v>
      </c>
      <c r="C1286" t="s">
        <v>1894</v>
      </c>
      <c r="D1286">
        <v>30</v>
      </c>
      <c r="E1286" t="s">
        <v>1447</v>
      </c>
      <c r="F1286" t="s">
        <v>1898</v>
      </c>
      <c r="G1286" t="s">
        <v>1806</v>
      </c>
      <c r="H1286" t="s">
        <v>2277</v>
      </c>
      <c r="I1286" t="s">
        <v>2277</v>
      </c>
      <c r="J1286">
        <v>-1375646.89</v>
      </c>
      <c r="K1286" t="s">
        <v>2277</v>
      </c>
      <c r="L1286" t="s">
        <v>2277</v>
      </c>
      <c r="M1286" t="s">
        <v>2277</v>
      </c>
      <c r="N1286" t="s">
        <v>2277</v>
      </c>
      <c r="O1286" s="190" t="str">
        <f t="shared" si="20"/>
        <v>[S05_InherentCarbonTransferredDetail][30][AmountCO2Transferred]</v>
      </c>
    </row>
    <row r="1287" spans="1:15" x14ac:dyDescent="0.3">
      <c r="A1287" t="s">
        <v>2278</v>
      </c>
      <c r="B1287" t="s">
        <v>1892</v>
      </c>
      <c r="C1287" t="s">
        <v>1894</v>
      </c>
      <c r="D1287">
        <v>31</v>
      </c>
      <c r="E1287" t="s">
        <v>1447</v>
      </c>
      <c r="F1287" t="s">
        <v>1898</v>
      </c>
      <c r="G1287" t="s">
        <v>1806</v>
      </c>
      <c r="H1287" t="s">
        <v>2277</v>
      </c>
      <c r="I1287" t="s">
        <v>2277</v>
      </c>
      <c r="J1287">
        <v>-116837.51</v>
      </c>
      <c r="K1287" t="s">
        <v>2277</v>
      </c>
      <c r="L1287" t="s">
        <v>2277</v>
      </c>
      <c r="M1287" t="s">
        <v>2277</v>
      </c>
      <c r="N1287" t="s">
        <v>2277</v>
      </c>
      <c r="O1287" s="190" t="str">
        <f t="shared" si="20"/>
        <v>[S05_InherentCarbonTransferredDetail][31][AmountCO2Transferred]</v>
      </c>
    </row>
    <row r="1288" spans="1:15" x14ac:dyDescent="0.3">
      <c r="A1288" t="s">
        <v>2278</v>
      </c>
      <c r="B1288" t="s">
        <v>1892</v>
      </c>
      <c r="C1288" t="s">
        <v>1894</v>
      </c>
      <c r="D1288">
        <v>32</v>
      </c>
      <c r="E1288" t="s">
        <v>1447</v>
      </c>
      <c r="F1288" t="s">
        <v>1898</v>
      </c>
      <c r="G1288" t="s">
        <v>1806</v>
      </c>
      <c r="H1288" t="s">
        <v>2277</v>
      </c>
      <c r="I1288" t="s">
        <v>2277</v>
      </c>
      <c r="J1288">
        <v>-1164</v>
      </c>
      <c r="K1288" t="s">
        <v>2277</v>
      </c>
      <c r="L1288" t="s">
        <v>2277</v>
      </c>
      <c r="M1288" t="s">
        <v>2277</v>
      </c>
      <c r="N1288" t="s">
        <v>2277</v>
      </c>
      <c r="O1288" s="190" t="str">
        <f t="shared" si="20"/>
        <v>[S05_InherentCarbonTransferredDetail][32][AmountCO2Transferred]</v>
      </c>
    </row>
    <row r="1289" spans="1:15" x14ac:dyDescent="0.3">
      <c r="A1289" t="s">
        <v>2278</v>
      </c>
      <c r="B1289" t="s">
        <v>1892</v>
      </c>
      <c r="C1289" t="s">
        <v>1894</v>
      </c>
      <c r="D1289">
        <v>1</v>
      </c>
      <c r="E1289" t="s">
        <v>1447</v>
      </c>
      <c r="F1289" t="s">
        <v>1899</v>
      </c>
      <c r="G1289" t="s">
        <v>1806</v>
      </c>
      <c r="H1289" t="s">
        <v>2277</v>
      </c>
      <c r="I1289" t="s">
        <v>2277</v>
      </c>
      <c r="J1289">
        <v>843</v>
      </c>
      <c r="K1289" t="s">
        <v>2277</v>
      </c>
      <c r="L1289" t="s">
        <v>2277</v>
      </c>
      <c r="M1289" t="s">
        <v>2277</v>
      </c>
      <c r="N1289" t="s">
        <v>2277</v>
      </c>
      <c r="O1289" s="190" t="str">
        <f t="shared" si="20"/>
        <v>[S05_InherentCarbonTransferredDetail][1][InherentCO2Received]</v>
      </c>
    </row>
    <row r="1290" spans="1:15" x14ac:dyDescent="0.3">
      <c r="A1290" t="s">
        <v>2278</v>
      </c>
      <c r="B1290" t="s">
        <v>1892</v>
      </c>
      <c r="C1290" t="s">
        <v>1894</v>
      </c>
      <c r="D1290">
        <v>2</v>
      </c>
      <c r="E1290" t="s">
        <v>1447</v>
      </c>
      <c r="F1290" t="s">
        <v>1899</v>
      </c>
      <c r="G1290" t="s">
        <v>1806</v>
      </c>
      <c r="H1290" t="s">
        <v>2277</v>
      </c>
      <c r="I1290" t="s">
        <v>2277</v>
      </c>
      <c r="J1290">
        <v>2523.29</v>
      </c>
      <c r="K1290" t="s">
        <v>2277</v>
      </c>
      <c r="L1290" t="s">
        <v>2277</v>
      </c>
      <c r="M1290" t="s">
        <v>2277</v>
      </c>
      <c r="N1290" t="s">
        <v>2277</v>
      </c>
      <c r="O1290" s="190" t="str">
        <f t="shared" si="20"/>
        <v>[S05_InherentCarbonTransferredDetail][2][InherentCO2Received]</v>
      </c>
    </row>
    <row r="1291" spans="1:15" x14ac:dyDescent="0.3">
      <c r="A1291" t="s">
        <v>2278</v>
      </c>
      <c r="B1291" t="s">
        <v>1892</v>
      </c>
      <c r="C1291" t="s">
        <v>1894</v>
      </c>
      <c r="D1291">
        <v>3</v>
      </c>
      <c r="E1291" t="s">
        <v>1447</v>
      </c>
      <c r="F1291" t="s">
        <v>1899</v>
      </c>
      <c r="G1291" t="s">
        <v>1806</v>
      </c>
      <c r="H1291" t="s">
        <v>2277</v>
      </c>
      <c r="I1291" t="s">
        <v>2277</v>
      </c>
      <c r="J1291">
        <v>4674</v>
      </c>
      <c r="K1291" t="s">
        <v>2277</v>
      </c>
      <c r="L1291" t="s">
        <v>2277</v>
      </c>
      <c r="M1291" t="s">
        <v>2277</v>
      </c>
      <c r="N1291" t="s">
        <v>2277</v>
      </c>
      <c r="O1291" s="190" t="str">
        <f t="shared" si="20"/>
        <v>[S05_InherentCarbonTransferredDetail][3][InherentCO2Received]</v>
      </c>
    </row>
    <row r="1292" spans="1:15" x14ac:dyDescent="0.3">
      <c r="A1292" t="s">
        <v>2278</v>
      </c>
      <c r="B1292" t="s">
        <v>1892</v>
      </c>
      <c r="C1292" t="s">
        <v>1894</v>
      </c>
      <c r="D1292">
        <v>4</v>
      </c>
      <c r="E1292" t="s">
        <v>1447</v>
      </c>
      <c r="F1292" t="s">
        <v>1899</v>
      </c>
      <c r="G1292" t="s">
        <v>1806</v>
      </c>
      <c r="H1292" t="s">
        <v>2277</v>
      </c>
      <c r="I1292" t="s">
        <v>2277</v>
      </c>
      <c r="J1292">
        <v>1125</v>
      </c>
      <c r="K1292" t="s">
        <v>2277</v>
      </c>
      <c r="L1292" t="s">
        <v>2277</v>
      </c>
      <c r="M1292" t="s">
        <v>2277</v>
      </c>
      <c r="N1292" t="s">
        <v>2277</v>
      </c>
      <c r="O1292" s="190" t="str">
        <f t="shared" si="20"/>
        <v>[S05_InherentCarbonTransferredDetail][4][InherentCO2Received]</v>
      </c>
    </row>
    <row r="1293" spans="1:15" x14ac:dyDescent="0.3">
      <c r="A1293" t="s">
        <v>2278</v>
      </c>
      <c r="B1293" t="s">
        <v>1892</v>
      </c>
      <c r="C1293" t="s">
        <v>1894</v>
      </c>
      <c r="D1293">
        <v>5</v>
      </c>
      <c r="E1293" t="s">
        <v>1447</v>
      </c>
      <c r="F1293" t="s">
        <v>1899</v>
      </c>
      <c r="G1293" t="s">
        <v>1806</v>
      </c>
      <c r="H1293" t="s">
        <v>2277</v>
      </c>
      <c r="I1293" t="s">
        <v>2277</v>
      </c>
      <c r="J1293">
        <v>140</v>
      </c>
      <c r="K1293" t="s">
        <v>2277</v>
      </c>
      <c r="L1293" t="s">
        <v>2277</v>
      </c>
      <c r="M1293" t="s">
        <v>2277</v>
      </c>
      <c r="N1293" t="s">
        <v>2277</v>
      </c>
      <c r="O1293" s="190" t="str">
        <f t="shared" si="20"/>
        <v>[S05_InherentCarbonTransferredDetail][5][InherentCO2Received]</v>
      </c>
    </row>
    <row r="1294" spans="1:15" x14ac:dyDescent="0.3">
      <c r="A1294" t="s">
        <v>2278</v>
      </c>
      <c r="B1294" t="s">
        <v>1892</v>
      </c>
      <c r="C1294" t="s">
        <v>1894</v>
      </c>
      <c r="D1294">
        <v>6</v>
      </c>
      <c r="E1294" t="s">
        <v>1447</v>
      </c>
      <c r="F1294" t="s">
        <v>1899</v>
      </c>
      <c r="G1294" t="s">
        <v>1806</v>
      </c>
      <c r="H1294" t="s">
        <v>2277</v>
      </c>
      <c r="I1294" t="s">
        <v>2277</v>
      </c>
      <c r="J1294">
        <v>1421</v>
      </c>
      <c r="K1294" t="s">
        <v>2277</v>
      </c>
      <c r="L1294" t="s">
        <v>2277</v>
      </c>
      <c r="M1294" t="s">
        <v>2277</v>
      </c>
      <c r="N1294" t="s">
        <v>2277</v>
      </c>
      <c r="O1294" s="190" t="str">
        <f t="shared" si="20"/>
        <v>[S05_InherentCarbonTransferredDetail][6][InherentCO2Received]</v>
      </c>
    </row>
    <row r="1295" spans="1:15" x14ac:dyDescent="0.3">
      <c r="A1295" t="s">
        <v>2278</v>
      </c>
      <c r="B1295" t="s">
        <v>1892</v>
      </c>
      <c r="C1295" t="s">
        <v>1894</v>
      </c>
      <c r="D1295">
        <v>7</v>
      </c>
      <c r="E1295" t="s">
        <v>1447</v>
      </c>
      <c r="F1295" t="s">
        <v>1899</v>
      </c>
      <c r="G1295" t="s">
        <v>1806</v>
      </c>
      <c r="H1295" t="s">
        <v>2277</v>
      </c>
      <c r="I1295" t="s">
        <v>2277</v>
      </c>
      <c r="J1295">
        <v>597</v>
      </c>
      <c r="K1295" t="s">
        <v>2277</v>
      </c>
      <c r="L1295" t="s">
        <v>2277</v>
      </c>
      <c r="M1295" t="s">
        <v>2277</v>
      </c>
      <c r="N1295" t="s">
        <v>2277</v>
      </c>
      <c r="O1295" s="190" t="str">
        <f t="shared" si="20"/>
        <v>[S05_InherentCarbonTransferredDetail][7][InherentCO2Received]</v>
      </c>
    </row>
    <row r="1296" spans="1:15" x14ac:dyDescent="0.3">
      <c r="A1296" t="s">
        <v>2278</v>
      </c>
      <c r="B1296" t="s">
        <v>1892</v>
      </c>
      <c r="C1296" t="s">
        <v>1894</v>
      </c>
      <c r="D1296">
        <v>8</v>
      </c>
      <c r="E1296" t="s">
        <v>1447</v>
      </c>
      <c r="F1296" t="s">
        <v>1899</v>
      </c>
      <c r="G1296" t="s">
        <v>1806</v>
      </c>
      <c r="H1296" t="s">
        <v>2277</v>
      </c>
      <c r="I1296" t="s">
        <v>2277</v>
      </c>
      <c r="J1296">
        <v>2184</v>
      </c>
      <c r="K1296" t="s">
        <v>2277</v>
      </c>
      <c r="L1296" t="s">
        <v>2277</v>
      </c>
      <c r="M1296" t="s">
        <v>2277</v>
      </c>
      <c r="N1296" t="s">
        <v>2277</v>
      </c>
      <c r="O1296" s="190" t="str">
        <f t="shared" si="20"/>
        <v>[S05_InherentCarbonTransferredDetail][8][InherentCO2Received]</v>
      </c>
    </row>
    <row r="1297" spans="1:15" x14ac:dyDescent="0.3">
      <c r="A1297" t="s">
        <v>2278</v>
      </c>
      <c r="B1297" t="s">
        <v>1892</v>
      </c>
      <c r="C1297" t="s">
        <v>1894</v>
      </c>
      <c r="D1297">
        <v>9</v>
      </c>
      <c r="E1297" t="s">
        <v>1447</v>
      </c>
      <c r="F1297" t="s">
        <v>1899</v>
      </c>
      <c r="G1297" t="s">
        <v>1806</v>
      </c>
      <c r="H1297" t="s">
        <v>2277</v>
      </c>
      <c r="I1297" t="s">
        <v>2277</v>
      </c>
      <c r="J1297">
        <v>2799</v>
      </c>
      <c r="K1297" t="s">
        <v>2277</v>
      </c>
      <c r="L1297" t="s">
        <v>2277</v>
      </c>
      <c r="M1297" t="s">
        <v>2277</v>
      </c>
      <c r="N1297" t="s">
        <v>2277</v>
      </c>
      <c r="O1297" s="190" t="str">
        <f t="shared" si="20"/>
        <v>[S05_InherentCarbonTransferredDetail][9][InherentCO2Received]</v>
      </c>
    </row>
    <row r="1298" spans="1:15" x14ac:dyDescent="0.3">
      <c r="A1298" t="s">
        <v>2278</v>
      </c>
      <c r="B1298" t="s">
        <v>1892</v>
      </c>
      <c r="C1298" t="s">
        <v>1894</v>
      </c>
      <c r="D1298">
        <v>10</v>
      </c>
      <c r="E1298" t="s">
        <v>1447</v>
      </c>
      <c r="F1298" t="s">
        <v>1899</v>
      </c>
      <c r="G1298" t="s">
        <v>1806</v>
      </c>
      <c r="H1298" t="s">
        <v>2277</v>
      </c>
      <c r="I1298" t="s">
        <v>2277</v>
      </c>
      <c r="J1298">
        <v>14327.8</v>
      </c>
      <c r="K1298" t="s">
        <v>2277</v>
      </c>
      <c r="L1298" t="s">
        <v>2277</v>
      </c>
      <c r="M1298" t="s">
        <v>2277</v>
      </c>
      <c r="N1298" t="s">
        <v>2277</v>
      </c>
      <c r="O1298" s="190" t="str">
        <f t="shared" si="20"/>
        <v>[S05_InherentCarbonTransferredDetail][10][InherentCO2Received]</v>
      </c>
    </row>
    <row r="1299" spans="1:15" x14ac:dyDescent="0.3">
      <c r="A1299" t="s">
        <v>2278</v>
      </c>
      <c r="B1299" t="s">
        <v>1892</v>
      </c>
      <c r="C1299" t="s">
        <v>1894</v>
      </c>
      <c r="D1299">
        <v>11</v>
      </c>
      <c r="E1299" t="s">
        <v>1447</v>
      </c>
      <c r="F1299" t="s">
        <v>1899</v>
      </c>
      <c r="G1299" t="s">
        <v>1806</v>
      </c>
      <c r="H1299" t="s">
        <v>2277</v>
      </c>
      <c r="I1299" t="s">
        <v>2277</v>
      </c>
      <c r="J1299">
        <v>12761.63</v>
      </c>
      <c r="K1299" t="s">
        <v>2277</v>
      </c>
      <c r="L1299" t="s">
        <v>2277</v>
      </c>
      <c r="M1299" t="s">
        <v>2277</v>
      </c>
      <c r="N1299" t="s">
        <v>2277</v>
      </c>
      <c r="O1299" s="190" t="str">
        <f t="shared" si="20"/>
        <v>[S05_InherentCarbonTransferredDetail][11][InherentCO2Received]</v>
      </c>
    </row>
    <row r="1300" spans="1:15" x14ac:dyDescent="0.3">
      <c r="A1300" t="s">
        <v>2278</v>
      </c>
      <c r="B1300" t="s">
        <v>1892</v>
      </c>
      <c r="C1300" t="s">
        <v>1894</v>
      </c>
      <c r="D1300">
        <v>12</v>
      </c>
      <c r="E1300" t="s">
        <v>1447</v>
      </c>
      <c r="F1300" t="s">
        <v>1899</v>
      </c>
      <c r="G1300" t="s">
        <v>1806</v>
      </c>
      <c r="H1300" t="s">
        <v>2277</v>
      </c>
      <c r="I1300" t="s">
        <v>2277</v>
      </c>
      <c r="J1300">
        <v>2057.4899999999998</v>
      </c>
      <c r="K1300" t="s">
        <v>2277</v>
      </c>
      <c r="L1300" t="s">
        <v>2277</v>
      </c>
      <c r="M1300" t="s">
        <v>2277</v>
      </c>
      <c r="N1300" t="s">
        <v>2277</v>
      </c>
      <c r="O1300" s="190" t="str">
        <f t="shared" si="20"/>
        <v>[S05_InherentCarbonTransferredDetail][12][InherentCO2Received]</v>
      </c>
    </row>
    <row r="1301" spans="1:15" x14ac:dyDescent="0.3">
      <c r="A1301" t="s">
        <v>2278</v>
      </c>
      <c r="B1301" t="s">
        <v>1892</v>
      </c>
      <c r="C1301" t="s">
        <v>1894</v>
      </c>
      <c r="D1301">
        <v>13</v>
      </c>
      <c r="E1301" t="s">
        <v>1447</v>
      </c>
      <c r="F1301" t="s">
        <v>1899</v>
      </c>
      <c r="G1301" t="s">
        <v>1806</v>
      </c>
      <c r="H1301" t="s">
        <v>2277</v>
      </c>
      <c r="I1301" t="s">
        <v>2277</v>
      </c>
      <c r="J1301">
        <v>1584.49</v>
      </c>
      <c r="K1301" t="s">
        <v>2277</v>
      </c>
      <c r="L1301" t="s">
        <v>2277</v>
      </c>
      <c r="M1301" t="s">
        <v>2277</v>
      </c>
      <c r="N1301" t="s">
        <v>2277</v>
      </c>
      <c r="O1301" s="190" t="str">
        <f t="shared" si="20"/>
        <v>[S05_InherentCarbonTransferredDetail][13][InherentCO2Received]</v>
      </c>
    </row>
    <row r="1302" spans="1:15" x14ac:dyDescent="0.3">
      <c r="A1302" t="s">
        <v>2278</v>
      </c>
      <c r="B1302" t="s">
        <v>1892</v>
      </c>
      <c r="C1302" t="s">
        <v>1894</v>
      </c>
      <c r="D1302">
        <v>14</v>
      </c>
      <c r="E1302" t="s">
        <v>1447</v>
      </c>
      <c r="F1302" t="s">
        <v>1899</v>
      </c>
      <c r="G1302" t="s">
        <v>1806</v>
      </c>
      <c r="H1302" t="s">
        <v>2277</v>
      </c>
      <c r="I1302" t="s">
        <v>2277</v>
      </c>
      <c r="J1302">
        <v>1077</v>
      </c>
      <c r="K1302" t="s">
        <v>2277</v>
      </c>
      <c r="L1302" t="s">
        <v>2277</v>
      </c>
      <c r="M1302" t="s">
        <v>2277</v>
      </c>
      <c r="N1302" t="s">
        <v>2277</v>
      </c>
      <c r="O1302" s="190" t="str">
        <f t="shared" si="20"/>
        <v>[S05_InherentCarbonTransferredDetail][14][InherentCO2Received]</v>
      </c>
    </row>
    <row r="1303" spans="1:15" x14ac:dyDescent="0.3">
      <c r="A1303" t="s">
        <v>2278</v>
      </c>
      <c r="B1303" t="s">
        <v>1892</v>
      </c>
      <c r="C1303" t="s">
        <v>1894</v>
      </c>
      <c r="D1303">
        <v>15</v>
      </c>
      <c r="E1303" t="s">
        <v>1447</v>
      </c>
      <c r="F1303" t="s">
        <v>1899</v>
      </c>
      <c r="G1303" t="s">
        <v>1806</v>
      </c>
      <c r="H1303" t="s">
        <v>2277</v>
      </c>
      <c r="I1303" t="s">
        <v>2277</v>
      </c>
      <c r="J1303">
        <v>414.06</v>
      </c>
      <c r="K1303" t="s">
        <v>2277</v>
      </c>
      <c r="L1303" t="s">
        <v>2277</v>
      </c>
      <c r="M1303" t="s">
        <v>2277</v>
      </c>
      <c r="N1303" t="s">
        <v>2277</v>
      </c>
      <c r="O1303" s="190" t="str">
        <f t="shared" si="20"/>
        <v>[S05_InherentCarbonTransferredDetail][15][InherentCO2Received]</v>
      </c>
    </row>
    <row r="1304" spans="1:15" x14ac:dyDescent="0.3">
      <c r="A1304" t="s">
        <v>2278</v>
      </c>
      <c r="B1304" t="s">
        <v>1892</v>
      </c>
      <c r="C1304" t="s">
        <v>1894</v>
      </c>
      <c r="D1304">
        <v>16</v>
      </c>
      <c r="E1304" t="s">
        <v>1447</v>
      </c>
      <c r="F1304" t="s">
        <v>1899</v>
      </c>
      <c r="G1304" t="s">
        <v>1806</v>
      </c>
      <c r="H1304" t="s">
        <v>2277</v>
      </c>
      <c r="I1304" t="s">
        <v>2277</v>
      </c>
      <c r="J1304">
        <v>1093.6300000000001</v>
      </c>
      <c r="K1304" t="s">
        <v>2277</v>
      </c>
      <c r="L1304" t="s">
        <v>2277</v>
      </c>
      <c r="M1304" t="s">
        <v>2277</v>
      </c>
      <c r="N1304" t="s">
        <v>2277</v>
      </c>
      <c r="O1304" s="190" t="str">
        <f t="shared" si="20"/>
        <v>[S05_InherentCarbonTransferredDetail][16][InherentCO2Received]</v>
      </c>
    </row>
    <row r="1305" spans="1:15" x14ac:dyDescent="0.3">
      <c r="A1305" t="s">
        <v>2278</v>
      </c>
      <c r="B1305" t="s">
        <v>1892</v>
      </c>
      <c r="C1305" t="s">
        <v>1894</v>
      </c>
      <c r="D1305">
        <v>17</v>
      </c>
      <c r="E1305" t="s">
        <v>1447</v>
      </c>
      <c r="F1305" t="s">
        <v>1899</v>
      </c>
      <c r="G1305" t="s">
        <v>1806</v>
      </c>
      <c r="H1305" t="s">
        <v>2277</v>
      </c>
      <c r="I1305" t="s">
        <v>2277</v>
      </c>
      <c r="J1305">
        <v>4179.3900000000003</v>
      </c>
      <c r="K1305" t="s">
        <v>2277</v>
      </c>
      <c r="L1305" t="s">
        <v>2277</v>
      </c>
      <c r="M1305" t="s">
        <v>2277</v>
      </c>
      <c r="N1305" t="s">
        <v>2277</v>
      </c>
      <c r="O1305" s="190" t="str">
        <f t="shared" si="20"/>
        <v>[S05_InherentCarbonTransferredDetail][17][InherentCO2Received]</v>
      </c>
    </row>
    <row r="1306" spans="1:15" x14ac:dyDescent="0.3">
      <c r="A1306" t="s">
        <v>2278</v>
      </c>
      <c r="B1306" t="s">
        <v>1892</v>
      </c>
      <c r="C1306" t="s">
        <v>1894</v>
      </c>
      <c r="D1306">
        <v>18</v>
      </c>
      <c r="E1306" t="s">
        <v>1447</v>
      </c>
      <c r="F1306" t="s">
        <v>1899</v>
      </c>
      <c r="G1306" t="s">
        <v>1806</v>
      </c>
      <c r="H1306" t="s">
        <v>2277</v>
      </c>
      <c r="I1306" t="s">
        <v>2277</v>
      </c>
      <c r="J1306">
        <v>219.45</v>
      </c>
      <c r="K1306" t="s">
        <v>2277</v>
      </c>
      <c r="L1306" t="s">
        <v>2277</v>
      </c>
      <c r="M1306" t="s">
        <v>2277</v>
      </c>
      <c r="N1306" t="s">
        <v>2277</v>
      </c>
      <c r="O1306" s="190" t="str">
        <f t="shared" si="20"/>
        <v>[S05_InherentCarbonTransferredDetail][18][InherentCO2Received]</v>
      </c>
    </row>
    <row r="1307" spans="1:15" x14ac:dyDescent="0.3">
      <c r="A1307" t="s">
        <v>2278</v>
      </c>
      <c r="B1307" t="s">
        <v>1892</v>
      </c>
      <c r="C1307" t="s">
        <v>1894</v>
      </c>
      <c r="D1307">
        <v>19</v>
      </c>
      <c r="E1307" t="s">
        <v>1447</v>
      </c>
      <c r="F1307" t="s">
        <v>1899</v>
      </c>
      <c r="G1307" t="s">
        <v>1806</v>
      </c>
      <c r="H1307" t="s">
        <v>2277</v>
      </c>
      <c r="I1307" t="s">
        <v>2277</v>
      </c>
      <c r="J1307">
        <v>4179.3900000000003</v>
      </c>
      <c r="K1307" t="s">
        <v>2277</v>
      </c>
      <c r="L1307" t="s">
        <v>2277</v>
      </c>
      <c r="M1307" t="s">
        <v>2277</v>
      </c>
      <c r="N1307" t="s">
        <v>2277</v>
      </c>
      <c r="O1307" s="190" t="str">
        <f t="shared" si="20"/>
        <v>[S05_InherentCarbonTransferredDetail][19][InherentCO2Received]</v>
      </c>
    </row>
    <row r="1308" spans="1:15" x14ac:dyDescent="0.3">
      <c r="A1308" t="s">
        <v>2278</v>
      </c>
      <c r="B1308" t="s">
        <v>1892</v>
      </c>
      <c r="C1308" t="s">
        <v>1894</v>
      </c>
      <c r="D1308">
        <v>20</v>
      </c>
      <c r="E1308" t="s">
        <v>1447</v>
      </c>
      <c r="F1308" t="s">
        <v>1899</v>
      </c>
      <c r="G1308" t="s">
        <v>1806</v>
      </c>
      <c r="H1308" t="s">
        <v>2277</v>
      </c>
      <c r="I1308" t="s">
        <v>2277</v>
      </c>
      <c r="J1308">
        <v>5033.9399999999996</v>
      </c>
      <c r="K1308" t="s">
        <v>2277</v>
      </c>
      <c r="L1308" t="s">
        <v>2277</v>
      </c>
      <c r="M1308" t="s">
        <v>2277</v>
      </c>
      <c r="N1308" t="s">
        <v>2277</v>
      </c>
      <c r="O1308" s="190" t="str">
        <f t="shared" si="20"/>
        <v>[S05_InherentCarbonTransferredDetail][20][InherentCO2Received]</v>
      </c>
    </row>
    <row r="1309" spans="1:15" x14ac:dyDescent="0.3">
      <c r="A1309" t="s">
        <v>2278</v>
      </c>
      <c r="B1309" t="s">
        <v>1892</v>
      </c>
      <c r="C1309" t="s">
        <v>1894</v>
      </c>
      <c r="D1309">
        <v>21</v>
      </c>
      <c r="E1309" t="s">
        <v>1447</v>
      </c>
      <c r="F1309" t="s">
        <v>1899</v>
      </c>
      <c r="G1309" t="s">
        <v>1806</v>
      </c>
      <c r="H1309" t="s">
        <v>2277</v>
      </c>
      <c r="I1309" t="s">
        <v>2277</v>
      </c>
      <c r="J1309">
        <v>5095.66</v>
      </c>
      <c r="K1309" t="s">
        <v>2277</v>
      </c>
      <c r="L1309" t="s">
        <v>2277</v>
      </c>
      <c r="M1309" t="s">
        <v>2277</v>
      </c>
      <c r="N1309" t="s">
        <v>2277</v>
      </c>
      <c r="O1309" s="190" t="str">
        <f t="shared" si="20"/>
        <v>[S05_InherentCarbonTransferredDetail][21][InherentCO2Received]</v>
      </c>
    </row>
    <row r="1310" spans="1:15" x14ac:dyDescent="0.3">
      <c r="A1310" t="s">
        <v>2278</v>
      </c>
      <c r="B1310" t="s">
        <v>1892</v>
      </c>
      <c r="C1310" t="s">
        <v>1894</v>
      </c>
      <c r="D1310">
        <v>22</v>
      </c>
      <c r="E1310" t="s">
        <v>1447</v>
      </c>
      <c r="F1310" t="s">
        <v>1899</v>
      </c>
      <c r="G1310" t="s">
        <v>1806</v>
      </c>
      <c r="H1310" t="s">
        <v>2277</v>
      </c>
      <c r="I1310" t="s">
        <v>2277</v>
      </c>
      <c r="J1310">
        <v>14080.51</v>
      </c>
      <c r="K1310" t="s">
        <v>2277</v>
      </c>
      <c r="L1310" t="s">
        <v>2277</v>
      </c>
      <c r="M1310" t="s">
        <v>2277</v>
      </c>
      <c r="N1310" t="s">
        <v>2277</v>
      </c>
      <c r="O1310" s="190" t="str">
        <f t="shared" si="20"/>
        <v>[S05_InherentCarbonTransferredDetail][22][InherentCO2Received]</v>
      </c>
    </row>
    <row r="1311" spans="1:15" x14ac:dyDescent="0.3">
      <c r="A1311" t="s">
        <v>2278</v>
      </c>
      <c r="B1311" t="s">
        <v>1892</v>
      </c>
      <c r="C1311" t="s">
        <v>1894</v>
      </c>
      <c r="D1311">
        <v>23</v>
      </c>
      <c r="E1311" t="s">
        <v>1447</v>
      </c>
      <c r="F1311" t="s">
        <v>1899</v>
      </c>
      <c r="G1311" t="s">
        <v>1806</v>
      </c>
      <c r="H1311" t="s">
        <v>2277</v>
      </c>
      <c r="I1311" t="s">
        <v>2277</v>
      </c>
      <c r="J1311">
        <v>861.84</v>
      </c>
      <c r="K1311" t="s">
        <v>2277</v>
      </c>
      <c r="L1311" t="s">
        <v>2277</v>
      </c>
      <c r="M1311" t="s">
        <v>2277</v>
      </c>
      <c r="N1311" t="s">
        <v>2277</v>
      </c>
      <c r="O1311" s="190" t="str">
        <f t="shared" si="20"/>
        <v>[S05_InherentCarbonTransferredDetail][23][InherentCO2Received]</v>
      </c>
    </row>
    <row r="1312" spans="1:15" x14ac:dyDescent="0.3">
      <c r="A1312" t="s">
        <v>2278</v>
      </c>
      <c r="B1312" t="s">
        <v>1892</v>
      </c>
      <c r="C1312" t="s">
        <v>1894</v>
      </c>
      <c r="D1312">
        <v>24</v>
      </c>
      <c r="E1312" t="s">
        <v>1447</v>
      </c>
      <c r="F1312" t="s">
        <v>1899</v>
      </c>
      <c r="G1312" t="s">
        <v>1806</v>
      </c>
      <c r="H1312" t="s">
        <v>2277</v>
      </c>
      <c r="I1312" t="s">
        <v>2277</v>
      </c>
      <c r="J1312">
        <v>6891.36</v>
      </c>
      <c r="K1312" t="s">
        <v>2277</v>
      </c>
      <c r="L1312" t="s">
        <v>2277</v>
      </c>
      <c r="M1312" t="s">
        <v>2277</v>
      </c>
      <c r="N1312" t="s">
        <v>2277</v>
      </c>
      <c r="O1312" s="190" t="str">
        <f t="shared" si="20"/>
        <v>[S05_InherentCarbonTransferredDetail][24][InherentCO2Received]</v>
      </c>
    </row>
    <row r="1313" spans="1:15" x14ac:dyDescent="0.3">
      <c r="A1313" t="s">
        <v>2278</v>
      </c>
      <c r="B1313" t="s">
        <v>1892</v>
      </c>
      <c r="C1313" t="s">
        <v>1894</v>
      </c>
      <c r="D1313">
        <v>25</v>
      </c>
      <c r="E1313" t="s">
        <v>1447</v>
      </c>
      <c r="F1313" t="s">
        <v>1899</v>
      </c>
      <c r="G1313" t="s">
        <v>1806</v>
      </c>
      <c r="H1313" t="s">
        <v>2277</v>
      </c>
      <c r="I1313" t="s">
        <v>2277</v>
      </c>
      <c r="J1313">
        <v>3579.68</v>
      </c>
      <c r="K1313" t="s">
        <v>2277</v>
      </c>
      <c r="L1313" t="s">
        <v>2277</v>
      </c>
      <c r="M1313" t="s">
        <v>2277</v>
      </c>
      <c r="N1313" t="s">
        <v>2277</v>
      </c>
      <c r="O1313" s="190" t="str">
        <f t="shared" si="20"/>
        <v>[S05_InherentCarbonTransferredDetail][25][InherentCO2Received]</v>
      </c>
    </row>
    <row r="1314" spans="1:15" x14ac:dyDescent="0.3">
      <c r="A1314" t="s">
        <v>2278</v>
      </c>
      <c r="B1314" t="s">
        <v>1892</v>
      </c>
      <c r="C1314" t="s">
        <v>1894</v>
      </c>
      <c r="D1314">
        <v>26</v>
      </c>
      <c r="E1314" t="s">
        <v>1447</v>
      </c>
      <c r="F1314" t="s">
        <v>1899</v>
      </c>
      <c r="G1314" t="s">
        <v>1806</v>
      </c>
      <c r="H1314" t="s">
        <v>2277</v>
      </c>
      <c r="I1314" t="s">
        <v>2277</v>
      </c>
      <c r="J1314">
        <v>1394.49</v>
      </c>
      <c r="K1314" t="s">
        <v>2277</v>
      </c>
      <c r="L1314" t="s">
        <v>2277</v>
      </c>
      <c r="M1314" t="s">
        <v>2277</v>
      </c>
      <c r="N1314" t="s">
        <v>2277</v>
      </c>
      <c r="O1314" s="190" t="str">
        <f t="shared" si="20"/>
        <v>[S05_InherentCarbonTransferredDetail][26][InherentCO2Received]</v>
      </c>
    </row>
    <row r="1315" spans="1:15" x14ac:dyDescent="0.3">
      <c r="A1315" t="s">
        <v>2278</v>
      </c>
      <c r="B1315" t="s">
        <v>1892</v>
      </c>
      <c r="C1315" t="s">
        <v>1894</v>
      </c>
      <c r="D1315">
        <v>27</v>
      </c>
      <c r="E1315" t="s">
        <v>1447</v>
      </c>
      <c r="F1315" t="s">
        <v>1899</v>
      </c>
      <c r="G1315" t="s">
        <v>1806</v>
      </c>
      <c r="H1315" t="s">
        <v>2277</v>
      </c>
      <c r="I1315" t="s">
        <v>2277</v>
      </c>
      <c r="J1315">
        <v>19935.14</v>
      </c>
      <c r="K1315" t="s">
        <v>2277</v>
      </c>
      <c r="L1315" t="s">
        <v>2277</v>
      </c>
      <c r="M1315" t="s">
        <v>2277</v>
      </c>
      <c r="N1315" t="s">
        <v>2277</v>
      </c>
      <c r="O1315" s="190" t="str">
        <f t="shared" si="20"/>
        <v>[S05_InherentCarbonTransferredDetail][27][InherentCO2Received]</v>
      </c>
    </row>
    <row r="1316" spans="1:15" x14ac:dyDescent="0.3">
      <c r="A1316" t="s">
        <v>2278</v>
      </c>
      <c r="B1316" t="s">
        <v>1892</v>
      </c>
      <c r="C1316" t="s">
        <v>1894</v>
      </c>
      <c r="D1316">
        <v>28</v>
      </c>
      <c r="E1316" t="s">
        <v>1447</v>
      </c>
      <c r="F1316" t="s">
        <v>1899</v>
      </c>
      <c r="G1316" t="s">
        <v>1806</v>
      </c>
      <c r="H1316" t="s">
        <v>2277</v>
      </c>
      <c r="I1316" t="s">
        <v>2277</v>
      </c>
      <c r="J1316">
        <v>698.65</v>
      </c>
      <c r="K1316" t="s">
        <v>2277</v>
      </c>
      <c r="L1316" t="s">
        <v>2277</v>
      </c>
      <c r="M1316" t="s">
        <v>2277</v>
      </c>
      <c r="N1316" t="s">
        <v>2277</v>
      </c>
      <c r="O1316" s="190" t="str">
        <f t="shared" si="20"/>
        <v>[S05_InherentCarbonTransferredDetail][28][InherentCO2Received]</v>
      </c>
    </row>
    <row r="1317" spans="1:15" x14ac:dyDescent="0.3">
      <c r="A1317" t="s">
        <v>2278</v>
      </c>
      <c r="B1317" t="s">
        <v>1892</v>
      </c>
      <c r="C1317" t="s">
        <v>1894</v>
      </c>
      <c r="D1317">
        <v>29</v>
      </c>
      <c r="E1317" t="s">
        <v>1447</v>
      </c>
      <c r="F1317" t="s">
        <v>1899</v>
      </c>
      <c r="G1317" t="s">
        <v>1806</v>
      </c>
      <c r="H1317" t="s">
        <v>2277</v>
      </c>
      <c r="I1317" t="s">
        <v>2277</v>
      </c>
      <c r="J1317">
        <v>20469.36</v>
      </c>
      <c r="K1317" t="s">
        <v>2277</v>
      </c>
      <c r="L1317" t="s">
        <v>2277</v>
      </c>
      <c r="M1317" t="s">
        <v>2277</v>
      </c>
      <c r="N1317" t="s">
        <v>2277</v>
      </c>
      <c r="O1317" s="190" t="str">
        <f t="shared" si="20"/>
        <v>[S05_InherentCarbonTransferredDetail][29][InherentCO2Received]</v>
      </c>
    </row>
    <row r="1318" spans="1:15" x14ac:dyDescent="0.3">
      <c r="A1318" t="s">
        <v>2278</v>
      </c>
      <c r="B1318" t="s">
        <v>1892</v>
      </c>
      <c r="C1318" t="s">
        <v>1894</v>
      </c>
      <c r="D1318">
        <v>30</v>
      </c>
      <c r="E1318" t="s">
        <v>1447</v>
      </c>
      <c r="F1318" t="s">
        <v>1899</v>
      </c>
      <c r="G1318" t="s">
        <v>1806</v>
      </c>
      <c r="H1318" t="s">
        <v>2277</v>
      </c>
      <c r="I1318" t="s">
        <v>2277</v>
      </c>
      <c r="J1318">
        <v>1375646.89</v>
      </c>
      <c r="K1318" t="s">
        <v>2277</v>
      </c>
      <c r="L1318" t="s">
        <v>2277</v>
      </c>
      <c r="M1318" t="s">
        <v>2277</v>
      </c>
      <c r="N1318" t="s">
        <v>2277</v>
      </c>
      <c r="O1318" s="190" t="str">
        <f t="shared" si="20"/>
        <v>[S05_InherentCarbonTransferredDetail][30][InherentCO2Received]</v>
      </c>
    </row>
    <row r="1319" spans="1:15" x14ac:dyDescent="0.3">
      <c r="A1319" t="s">
        <v>2278</v>
      </c>
      <c r="B1319" t="s">
        <v>1892</v>
      </c>
      <c r="C1319" t="s">
        <v>1894</v>
      </c>
      <c r="D1319">
        <v>31</v>
      </c>
      <c r="E1319" t="s">
        <v>1447</v>
      </c>
      <c r="F1319" t="s">
        <v>1899</v>
      </c>
      <c r="G1319" t="s">
        <v>1806</v>
      </c>
      <c r="H1319" t="s">
        <v>2277</v>
      </c>
      <c r="I1319" t="s">
        <v>2277</v>
      </c>
      <c r="J1319">
        <v>116837.51</v>
      </c>
      <c r="K1319" t="s">
        <v>2277</v>
      </c>
      <c r="L1319" t="s">
        <v>2277</v>
      </c>
      <c r="M1319" t="s">
        <v>2277</v>
      </c>
      <c r="N1319" t="s">
        <v>2277</v>
      </c>
      <c r="O1319" s="190" t="str">
        <f t="shared" si="20"/>
        <v>[S05_InherentCarbonTransferredDetail][31][InherentCO2Received]</v>
      </c>
    </row>
    <row r="1320" spans="1:15" x14ac:dyDescent="0.3">
      <c r="A1320" t="s">
        <v>2278</v>
      </c>
      <c r="B1320" t="s">
        <v>1892</v>
      </c>
      <c r="C1320" t="s">
        <v>1894</v>
      </c>
      <c r="D1320">
        <v>32</v>
      </c>
      <c r="E1320" t="s">
        <v>1447</v>
      </c>
      <c r="F1320" t="s">
        <v>1899</v>
      </c>
      <c r="G1320" t="s">
        <v>1806</v>
      </c>
      <c r="H1320" t="s">
        <v>2277</v>
      </c>
      <c r="I1320" t="s">
        <v>2277</v>
      </c>
      <c r="J1320">
        <v>1164</v>
      </c>
      <c r="K1320" t="s">
        <v>2277</v>
      </c>
      <c r="L1320" t="s">
        <v>2277</v>
      </c>
      <c r="M1320" t="s">
        <v>2277</v>
      </c>
      <c r="N1320" t="s">
        <v>2277</v>
      </c>
      <c r="O1320" s="190" t="str">
        <f t="shared" si="20"/>
        <v>[S05_InherentCarbonTransferredDetail][32][InherentCO2Received]</v>
      </c>
    </row>
    <row r="1321" spans="1:15" x14ac:dyDescent="0.3">
      <c r="A1321" t="s">
        <v>2278</v>
      </c>
      <c r="B1321" t="s">
        <v>1892</v>
      </c>
      <c r="C1321" t="s">
        <v>1894</v>
      </c>
      <c r="D1321">
        <v>1</v>
      </c>
      <c r="E1321" t="s">
        <v>1447</v>
      </c>
      <c r="F1321" t="s">
        <v>1901</v>
      </c>
      <c r="G1321" t="s">
        <v>1741</v>
      </c>
      <c r="H1321" t="s">
        <v>2302</v>
      </c>
      <c r="I1321" t="s">
        <v>2277</v>
      </c>
      <c r="J1321" t="s">
        <v>2277</v>
      </c>
      <c r="K1321" t="s">
        <v>2277</v>
      </c>
      <c r="L1321" t="s">
        <v>2277</v>
      </c>
      <c r="M1321" t="s">
        <v>2277</v>
      </c>
      <c r="N1321" t="s">
        <v>2277</v>
      </c>
      <c r="O1321" s="190" t="str">
        <f t="shared" si="20"/>
        <v>[S05_InherentCarbonTransferredDetail][1][StorageSitePermitNumber]</v>
      </c>
    </row>
    <row r="1322" spans="1:15" x14ac:dyDescent="0.3">
      <c r="A1322" t="s">
        <v>2278</v>
      </c>
      <c r="B1322" t="s">
        <v>1892</v>
      </c>
      <c r="C1322" t="s">
        <v>1894</v>
      </c>
      <c r="D1322">
        <v>2</v>
      </c>
      <c r="E1322" t="s">
        <v>1447</v>
      </c>
      <c r="F1322" t="s">
        <v>1901</v>
      </c>
      <c r="G1322" t="s">
        <v>1741</v>
      </c>
      <c r="H1322" t="s">
        <v>2302</v>
      </c>
      <c r="I1322" t="s">
        <v>2277</v>
      </c>
      <c r="J1322" t="s">
        <v>2277</v>
      </c>
      <c r="K1322" t="s">
        <v>2277</v>
      </c>
      <c r="L1322" t="s">
        <v>2277</v>
      </c>
      <c r="M1322" t="s">
        <v>2277</v>
      </c>
      <c r="N1322" t="s">
        <v>2277</v>
      </c>
      <c r="O1322" s="190" t="str">
        <f t="shared" si="20"/>
        <v>[S05_InherentCarbonTransferredDetail][2][StorageSitePermitNumber]</v>
      </c>
    </row>
    <row r="1323" spans="1:15" x14ac:dyDescent="0.3">
      <c r="A1323" t="s">
        <v>2278</v>
      </c>
      <c r="B1323" t="s">
        <v>1892</v>
      </c>
      <c r="C1323" t="s">
        <v>1894</v>
      </c>
      <c r="D1323">
        <v>3</v>
      </c>
      <c r="E1323" t="s">
        <v>1447</v>
      </c>
      <c r="F1323" t="s">
        <v>1901</v>
      </c>
      <c r="G1323" t="s">
        <v>1741</v>
      </c>
      <c r="H1323" t="s">
        <v>2302</v>
      </c>
      <c r="I1323" t="s">
        <v>2277</v>
      </c>
      <c r="J1323" t="s">
        <v>2277</v>
      </c>
      <c r="K1323" t="s">
        <v>2277</v>
      </c>
      <c r="L1323" t="s">
        <v>2277</v>
      </c>
      <c r="M1323" t="s">
        <v>2277</v>
      </c>
      <c r="N1323" t="s">
        <v>2277</v>
      </c>
      <c r="O1323" s="190" t="str">
        <f t="shared" si="20"/>
        <v>[S05_InherentCarbonTransferredDetail][3][StorageSitePermitNumber]</v>
      </c>
    </row>
    <row r="1324" spans="1:15" x14ac:dyDescent="0.3">
      <c r="A1324" t="s">
        <v>2278</v>
      </c>
      <c r="B1324" t="s">
        <v>1892</v>
      </c>
      <c r="C1324" t="s">
        <v>1894</v>
      </c>
      <c r="D1324">
        <v>4</v>
      </c>
      <c r="E1324" t="s">
        <v>1447</v>
      </c>
      <c r="F1324" t="s">
        <v>1901</v>
      </c>
      <c r="G1324" t="s">
        <v>1741</v>
      </c>
      <c r="H1324" t="s">
        <v>2302</v>
      </c>
      <c r="I1324" t="s">
        <v>2277</v>
      </c>
      <c r="J1324" t="s">
        <v>2277</v>
      </c>
      <c r="K1324" t="s">
        <v>2277</v>
      </c>
      <c r="L1324" t="s">
        <v>2277</v>
      </c>
      <c r="M1324" t="s">
        <v>2277</v>
      </c>
      <c r="N1324" t="s">
        <v>2277</v>
      </c>
      <c r="O1324" s="190" t="str">
        <f t="shared" si="20"/>
        <v>[S05_InherentCarbonTransferredDetail][4][StorageSitePermitNumber]</v>
      </c>
    </row>
    <row r="1325" spans="1:15" x14ac:dyDescent="0.3">
      <c r="A1325" t="s">
        <v>2278</v>
      </c>
      <c r="B1325" t="s">
        <v>1892</v>
      </c>
      <c r="C1325" t="s">
        <v>1894</v>
      </c>
      <c r="D1325">
        <v>5</v>
      </c>
      <c r="E1325" t="s">
        <v>1447</v>
      </c>
      <c r="F1325" t="s">
        <v>1901</v>
      </c>
      <c r="G1325" t="s">
        <v>1741</v>
      </c>
      <c r="H1325" t="s">
        <v>2302</v>
      </c>
      <c r="I1325" t="s">
        <v>2277</v>
      </c>
      <c r="J1325" t="s">
        <v>2277</v>
      </c>
      <c r="K1325" t="s">
        <v>2277</v>
      </c>
      <c r="L1325" t="s">
        <v>2277</v>
      </c>
      <c r="M1325" t="s">
        <v>2277</v>
      </c>
      <c r="N1325" t="s">
        <v>2277</v>
      </c>
      <c r="O1325" s="190" t="str">
        <f t="shared" si="20"/>
        <v>[S05_InherentCarbonTransferredDetail][5][StorageSitePermitNumber]</v>
      </c>
    </row>
    <row r="1326" spans="1:15" x14ac:dyDescent="0.3">
      <c r="A1326" t="s">
        <v>2278</v>
      </c>
      <c r="B1326" t="s">
        <v>1892</v>
      </c>
      <c r="C1326" t="s">
        <v>1894</v>
      </c>
      <c r="D1326">
        <v>6</v>
      </c>
      <c r="E1326" t="s">
        <v>1447</v>
      </c>
      <c r="F1326" t="s">
        <v>1901</v>
      </c>
      <c r="G1326" t="s">
        <v>1741</v>
      </c>
      <c r="H1326" t="s">
        <v>2302</v>
      </c>
      <c r="I1326" t="s">
        <v>2277</v>
      </c>
      <c r="J1326" t="s">
        <v>2277</v>
      </c>
      <c r="K1326" t="s">
        <v>2277</v>
      </c>
      <c r="L1326" t="s">
        <v>2277</v>
      </c>
      <c r="M1326" t="s">
        <v>2277</v>
      </c>
      <c r="N1326" t="s">
        <v>2277</v>
      </c>
      <c r="O1326" s="190" t="str">
        <f t="shared" si="20"/>
        <v>[S05_InherentCarbonTransferredDetail][6][StorageSitePermitNumber]</v>
      </c>
    </row>
    <row r="1327" spans="1:15" x14ac:dyDescent="0.3">
      <c r="A1327" t="s">
        <v>2278</v>
      </c>
      <c r="B1327" t="s">
        <v>1892</v>
      </c>
      <c r="C1327" t="s">
        <v>1894</v>
      </c>
      <c r="D1327">
        <v>7</v>
      </c>
      <c r="E1327" t="s">
        <v>1447</v>
      </c>
      <c r="F1327" t="s">
        <v>1901</v>
      </c>
      <c r="G1327" t="s">
        <v>1741</v>
      </c>
      <c r="H1327" t="s">
        <v>2302</v>
      </c>
      <c r="I1327" t="s">
        <v>2277</v>
      </c>
      <c r="J1327" t="s">
        <v>2277</v>
      </c>
      <c r="K1327" t="s">
        <v>2277</v>
      </c>
      <c r="L1327" t="s">
        <v>2277</v>
      </c>
      <c r="M1327" t="s">
        <v>2277</v>
      </c>
      <c r="N1327" t="s">
        <v>2277</v>
      </c>
      <c r="O1327" s="190" t="str">
        <f t="shared" si="20"/>
        <v>[S05_InherentCarbonTransferredDetail][7][StorageSitePermitNumber]</v>
      </c>
    </row>
    <row r="1328" spans="1:15" x14ac:dyDescent="0.3">
      <c r="A1328" t="s">
        <v>2278</v>
      </c>
      <c r="B1328" t="s">
        <v>1892</v>
      </c>
      <c r="C1328" t="s">
        <v>1894</v>
      </c>
      <c r="D1328">
        <v>8</v>
      </c>
      <c r="E1328" t="s">
        <v>1447</v>
      </c>
      <c r="F1328" t="s">
        <v>1901</v>
      </c>
      <c r="G1328" t="s">
        <v>1741</v>
      </c>
      <c r="H1328" t="s">
        <v>2302</v>
      </c>
      <c r="I1328" t="s">
        <v>2277</v>
      </c>
      <c r="J1328" t="s">
        <v>2277</v>
      </c>
      <c r="K1328" t="s">
        <v>2277</v>
      </c>
      <c r="L1328" t="s">
        <v>2277</v>
      </c>
      <c r="M1328" t="s">
        <v>2277</v>
      </c>
      <c r="N1328" t="s">
        <v>2277</v>
      </c>
      <c r="O1328" s="190" t="str">
        <f t="shared" si="20"/>
        <v>[S05_InherentCarbonTransferredDetail][8][StorageSitePermitNumber]</v>
      </c>
    </row>
    <row r="1329" spans="1:15" x14ac:dyDescent="0.3">
      <c r="A1329" t="s">
        <v>2278</v>
      </c>
      <c r="B1329" t="s">
        <v>1892</v>
      </c>
      <c r="C1329" t="s">
        <v>1894</v>
      </c>
      <c r="D1329">
        <v>9</v>
      </c>
      <c r="E1329" t="s">
        <v>1447</v>
      </c>
      <c r="F1329" t="s">
        <v>1901</v>
      </c>
      <c r="G1329" t="s">
        <v>1741</v>
      </c>
      <c r="H1329" t="s">
        <v>2302</v>
      </c>
      <c r="I1329" t="s">
        <v>2277</v>
      </c>
      <c r="J1329" t="s">
        <v>2277</v>
      </c>
      <c r="K1329" t="s">
        <v>2277</v>
      </c>
      <c r="L1329" t="s">
        <v>2277</v>
      </c>
      <c r="M1329" t="s">
        <v>2277</v>
      </c>
      <c r="N1329" t="s">
        <v>2277</v>
      </c>
      <c r="O1329" s="190" t="str">
        <f t="shared" si="20"/>
        <v>[S05_InherentCarbonTransferredDetail][9][StorageSitePermitNumber]</v>
      </c>
    </row>
    <row r="1330" spans="1:15" x14ac:dyDescent="0.3">
      <c r="A1330" t="s">
        <v>2278</v>
      </c>
      <c r="B1330" t="s">
        <v>1892</v>
      </c>
      <c r="C1330" t="s">
        <v>1894</v>
      </c>
      <c r="D1330">
        <v>10</v>
      </c>
      <c r="E1330" t="s">
        <v>1447</v>
      </c>
      <c r="F1330" t="s">
        <v>1901</v>
      </c>
      <c r="G1330" t="s">
        <v>1741</v>
      </c>
      <c r="H1330" t="s">
        <v>2302</v>
      </c>
      <c r="I1330" t="s">
        <v>2277</v>
      </c>
      <c r="J1330" t="s">
        <v>2277</v>
      </c>
      <c r="K1330" t="s">
        <v>2277</v>
      </c>
      <c r="L1330" t="s">
        <v>2277</v>
      </c>
      <c r="M1330" t="s">
        <v>2277</v>
      </c>
      <c r="N1330" t="s">
        <v>2277</v>
      </c>
      <c r="O1330" s="190" t="str">
        <f t="shared" si="20"/>
        <v>[S05_InherentCarbonTransferredDetail][10][StorageSitePermitNumber]</v>
      </c>
    </row>
    <row r="1331" spans="1:15" x14ac:dyDescent="0.3">
      <c r="A1331" t="s">
        <v>2278</v>
      </c>
      <c r="B1331" t="s">
        <v>1892</v>
      </c>
      <c r="C1331" t="s">
        <v>1894</v>
      </c>
      <c r="D1331">
        <v>11</v>
      </c>
      <c r="E1331" t="s">
        <v>1447</v>
      </c>
      <c r="F1331" t="s">
        <v>1901</v>
      </c>
      <c r="G1331" t="s">
        <v>1741</v>
      </c>
      <c r="H1331" t="s">
        <v>2302</v>
      </c>
      <c r="I1331" t="s">
        <v>2277</v>
      </c>
      <c r="J1331" t="s">
        <v>2277</v>
      </c>
      <c r="K1331" t="s">
        <v>2277</v>
      </c>
      <c r="L1331" t="s">
        <v>2277</v>
      </c>
      <c r="M1331" t="s">
        <v>2277</v>
      </c>
      <c r="N1331" t="s">
        <v>2277</v>
      </c>
      <c r="O1331" s="190" t="str">
        <f t="shared" si="20"/>
        <v>[S05_InherentCarbonTransferredDetail][11][StorageSitePermitNumber]</v>
      </c>
    </row>
    <row r="1332" spans="1:15" x14ac:dyDescent="0.3">
      <c r="A1332" t="s">
        <v>2278</v>
      </c>
      <c r="B1332" t="s">
        <v>1892</v>
      </c>
      <c r="C1332" t="s">
        <v>1894</v>
      </c>
      <c r="D1332">
        <v>12</v>
      </c>
      <c r="E1332" t="s">
        <v>1447</v>
      </c>
      <c r="F1332" t="s">
        <v>1901</v>
      </c>
      <c r="G1332" t="s">
        <v>1741</v>
      </c>
      <c r="H1332" t="s">
        <v>2302</v>
      </c>
      <c r="I1332" t="s">
        <v>2277</v>
      </c>
      <c r="J1332" t="s">
        <v>2277</v>
      </c>
      <c r="K1332" t="s">
        <v>2277</v>
      </c>
      <c r="L1332" t="s">
        <v>2277</v>
      </c>
      <c r="M1332" t="s">
        <v>2277</v>
      </c>
      <c r="N1332" t="s">
        <v>2277</v>
      </c>
      <c r="O1332" s="190" t="str">
        <f t="shared" si="20"/>
        <v>[S05_InherentCarbonTransferredDetail][12][StorageSitePermitNumber]</v>
      </c>
    </row>
    <row r="1333" spans="1:15" x14ac:dyDescent="0.3">
      <c r="A1333" t="s">
        <v>2278</v>
      </c>
      <c r="B1333" t="s">
        <v>1892</v>
      </c>
      <c r="C1333" t="s">
        <v>1894</v>
      </c>
      <c r="D1333">
        <v>13</v>
      </c>
      <c r="E1333" t="s">
        <v>1447</v>
      </c>
      <c r="F1333" t="s">
        <v>1901</v>
      </c>
      <c r="G1333" t="s">
        <v>1741</v>
      </c>
      <c r="H1333" t="s">
        <v>2302</v>
      </c>
      <c r="I1333" t="s">
        <v>2277</v>
      </c>
      <c r="J1333" t="s">
        <v>2277</v>
      </c>
      <c r="K1333" t="s">
        <v>2277</v>
      </c>
      <c r="L1333" t="s">
        <v>2277</v>
      </c>
      <c r="M1333" t="s">
        <v>2277</v>
      </c>
      <c r="N1333" t="s">
        <v>2277</v>
      </c>
      <c r="O1333" s="190" t="str">
        <f t="shared" si="20"/>
        <v>[S05_InherentCarbonTransferredDetail][13][StorageSitePermitNumber]</v>
      </c>
    </row>
    <row r="1334" spans="1:15" x14ac:dyDescent="0.3">
      <c r="A1334" t="s">
        <v>2278</v>
      </c>
      <c r="B1334" t="s">
        <v>1892</v>
      </c>
      <c r="C1334" t="s">
        <v>1894</v>
      </c>
      <c r="D1334">
        <v>14</v>
      </c>
      <c r="E1334" t="s">
        <v>1447</v>
      </c>
      <c r="F1334" t="s">
        <v>1901</v>
      </c>
      <c r="G1334" t="s">
        <v>1741</v>
      </c>
      <c r="H1334" t="s">
        <v>2302</v>
      </c>
      <c r="I1334" t="s">
        <v>2277</v>
      </c>
      <c r="J1334" t="s">
        <v>2277</v>
      </c>
      <c r="K1334" t="s">
        <v>2277</v>
      </c>
      <c r="L1334" t="s">
        <v>2277</v>
      </c>
      <c r="M1334" t="s">
        <v>2277</v>
      </c>
      <c r="N1334" t="s">
        <v>2277</v>
      </c>
      <c r="O1334" s="190" t="str">
        <f t="shared" si="20"/>
        <v>[S05_InherentCarbonTransferredDetail][14][StorageSitePermitNumber]</v>
      </c>
    </row>
    <row r="1335" spans="1:15" x14ac:dyDescent="0.3">
      <c r="A1335" t="s">
        <v>2278</v>
      </c>
      <c r="B1335" t="s">
        <v>1892</v>
      </c>
      <c r="C1335" t="s">
        <v>1894</v>
      </c>
      <c r="D1335">
        <v>15</v>
      </c>
      <c r="E1335" t="s">
        <v>1447</v>
      </c>
      <c r="F1335" t="s">
        <v>1901</v>
      </c>
      <c r="G1335" t="s">
        <v>1741</v>
      </c>
      <c r="H1335" t="s">
        <v>2302</v>
      </c>
      <c r="I1335" t="s">
        <v>2277</v>
      </c>
      <c r="J1335" t="s">
        <v>2277</v>
      </c>
      <c r="K1335" t="s">
        <v>2277</v>
      </c>
      <c r="L1335" t="s">
        <v>2277</v>
      </c>
      <c r="M1335" t="s">
        <v>2277</v>
      </c>
      <c r="N1335" t="s">
        <v>2277</v>
      </c>
      <c r="O1335" s="190" t="str">
        <f t="shared" si="20"/>
        <v>[S05_InherentCarbonTransferredDetail][15][StorageSitePermitNumber]</v>
      </c>
    </row>
    <row r="1336" spans="1:15" x14ac:dyDescent="0.3">
      <c r="A1336" t="s">
        <v>2278</v>
      </c>
      <c r="B1336" t="s">
        <v>1892</v>
      </c>
      <c r="C1336" t="s">
        <v>1894</v>
      </c>
      <c r="D1336">
        <v>16</v>
      </c>
      <c r="E1336" t="s">
        <v>1447</v>
      </c>
      <c r="F1336" t="s">
        <v>1901</v>
      </c>
      <c r="G1336" t="s">
        <v>1741</v>
      </c>
      <c r="H1336" t="s">
        <v>2302</v>
      </c>
      <c r="I1336" t="s">
        <v>2277</v>
      </c>
      <c r="J1336" t="s">
        <v>2277</v>
      </c>
      <c r="K1336" t="s">
        <v>2277</v>
      </c>
      <c r="L1336" t="s">
        <v>2277</v>
      </c>
      <c r="M1336" t="s">
        <v>2277</v>
      </c>
      <c r="N1336" t="s">
        <v>2277</v>
      </c>
      <c r="O1336" s="190" t="str">
        <f t="shared" si="20"/>
        <v>[S05_InherentCarbonTransferredDetail][16][StorageSitePermitNumber]</v>
      </c>
    </row>
    <row r="1337" spans="1:15" x14ac:dyDescent="0.3">
      <c r="A1337" t="s">
        <v>2278</v>
      </c>
      <c r="B1337" t="s">
        <v>1892</v>
      </c>
      <c r="C1337" t="s">
        <v>1894</v>
      </c>
      <c r="D1337">
        <v>17</v>
      </c>
      <c r="E1337" t="s">
        <v>1447</v>
      </c>
      <c r="F1337" t="s">
        <v>1901</v>
      </c>
      <c r="G1337" t="s">
        <v>1741</v>
      </c>
      <c r="H1337" t="s">
        <v>2302</v>
      </c>
      <c r="I1337" t="s">
        <v>2277</v>
      </c>
      <c r="J1337" t="s">
        <v>2277</v>
      </c>
      <c r="K1337" t="s">
        <v>2277</v>
      </c>
      <c r="L1337" t="s">
        <v>2277</v>
      </c>
      <c r="M1337" t="s">
        <v>2277</v>
      </c>
      <c r="N1337" t="s">
        <v>2277</v>
      </c>
      <c r="O1337" s="190" t="str">
        <f t="shared" si="20"/>
        <v>[S05_InherentCarbonTransferredDetail][17][StorageSitePermitNumber]</v>
      </c>
    </row>
    <row r="1338" spans="1:15" x14ac:dyDescent="0.3">
      <c r="A1338" t="s">
        <v>2278</v>
      </c>
      <c r="B1338" t="s">
        <v>1892</v>
      </c>
      <c r="C1338" t="s">
        <v>1894</v>
      </c>
      <c r="D1338">
        <v>18</v>
      </c>
      <c r="E1338" t="s">
        <v>1447</v>
      </c>
      <c r="F1338" t="s">
        <v>1901</v>
      </c>
      <c r="G1338" t="s">
        <v>1741</v>
      </c>
      <c r="H1338" t="s">
        <v>2302</v>
      </c>
      <c r="I1338" t="s">
        <v>2277</v>
      </c>
      <c r="J1338" t="s">
        <v>2277</v>
      </c>
      <c r="K1338" t="s">
        <v>2277</v>
      </c>
      <c r="L1338" t="s">
        <v>2277</v>
      </c>
      <c r="M1338" t="s">
        <v>2277</v>
      </c>
      <c r="N1338" t="s">
        <v>2277</v>
      </c>
      <c r="O1338" s="190" t="str">
        <f t="shared" si="20"/>
        <v>[S05_InherentCarbonTransferredDetail][18][StorageSitePermitNumber]</v>
      </c>
    </row>
    <row r="1339" spans="1:15" x14ac:dyDescent="0.3">
      <c r="A1339" t="s">
        <v>2278</v>
      </c>
      <c r="B1339" t="s">
        <v>1892</v>
      </c>
      <c r="C1339" t="s">
        <v>1894</v>
      </c>
      <c r="D1339">
        <v>19</v>
      </c>
      <c r="E1339" t="s">
        <v>1447</v>
      </c>
      <c r="F1339" t="s">
        <v>1901</v>
      </c>
      <c r="G1339" t="s">
        <v>1741</v>
      </c>
      <c r="H1339" t="s">
        <v>2302</v>
      </c>
      <c r="I1339" t="s">
        <v>2277</v>
      </c>
      <c r="J1339" t="s">
        <v>2277</v>
      </c>
      <c r="K1339" t="s">
        <v>2277</v>
      </c>
      <c r="L1339" t="s">
        <v>2277</v>
      </c>
      <c r="M1339" t="s">
        <v>2277</v>
      </c>
      <c r="N1339" t="s">
        <v>2277</v>
      </c>
      <c r="O1339" s="190" t="str">
        <f t="shared" si="20"/>
        <v>[S05_InherentCarbonTransferredDetail][19][StorageSitePermitNumber]</v>
      </c>
    </row>
    <row r="1340" spans="1:15" x14ac:dyDescent="0.3">
      <c r="A1340" t="s">
        <v>2278</v>
      </c>
      <c r="B1340" t="s">
        <v>1892</v>
      </c>
      <c r="C1340" t="s">
        <v>1894</v>
      </c>
      <c r="D1340">
        <v>20</v>
      </c>
      <c r="E1340" t="s">
        <v>1447</v>
      </c>
      <c r="F1340" t="s">
        <v>1901</v>
      </c>
      <c r="G1340" t="s">
        <v>1741</v>
      </c>
      <c r="H1340" t="s">
        <v>2302</v>
      </c>
      <c r="I1340" t="s">
        <v>2277</v>
      </c>
      <c r="J1340" t="s">
        <v>2277</v>
      </c>
      <c r="K1340" t="s">
        <v>2277</v>
      </c>
      <c r="L1340" t="s">
        <v>2277</v>
      </c>
      <c r="M1340" t="s">
        <v>2277</v>
      </c>
      <c r="N1340" t="s">
        <v>2277</v>
      </c>
      <c r="O1340" s="190" t="str">
        <f t="shared" si="20"/>
        <v>[S05_InherentCarbonTransferredDetail][20][StorageSitePermitNumber]</v>
      </c>
    </row>
    <row r="1341" spans="1:15" x14ac:dyDescent="0.3">
      <c r="A1341" t="s">
        <v>2278</v>
      </c>
      <c r="B1341" t="s">
        <v>1892</v>
      </c>
      <c r="C1341" t="s">
        <v>1894</v>
      </c>
      <c r="D1341">
        <v>21</v>
      </c>
      <c r="E1341" t="s">
        <v>1447</v>
      </c>
      <c r="F1341" t="s">
        <v>1901</v>
      </c>
      <c r="G1341" t="s">
        <v>1741</v>
      </c>
      <c r="H1341" t="s">
        <v>2302</v>
      </c>
      <c r="I1341" t="s">
        <v>2277</v>
      </c>
      <c r="J1341" t="s">
        <v>2277</v>
      </c>
      <c r="K1341" t="s">
        <v>2277</v>
      </c>
      <c r="L1341" t="s">
        <v>2277</v>
      </c>
      <c r="M1341" t="s">
        <v>2277</v>
      </c>
      <c r="N1341" t="s">
        <v>2277</v>
      </c>
      <c r="O1341" s="190" t="str">
        <f t="shared" si="20"/>
        <v>[S05_InherentCarbonTransferredDetail][21][StorageSitePermitNumber]</v>
      </c>
    </row>
    <row r="1342" spans="1:15" x14ac:dyDescent="0.3">
      <c r="A1342" t="s">
        <v>2278</v>
      </c>
      <c r="B1342" t="s">
        <v>1892</v>
      </c>
      <c r="C1342" t="s">
        <v>1894</v>
      </c>
      <c r="D1342">
        <v>22</v>
      </c>
      <c r="E1342" t="s">
        <v>1447</v>
      </c>
      <c r="F1342" t="s">
        <v>1901</v>
      </c>
      <c r="G1342" t="s">
        <v>1741</v>
      </c>
      <c r="H1342" t="s">
        <v>2302</v>
      </c>
      <c r="I1342" t="s">
        <v>2277</v>
      </c>
      <c r="J1342" t="s">
        <v>2277</v>
      </c>
      <c r="K1342" t="s">
        <v>2277</v>
      </c>
      <c r="L1342" t="s">
        <v>2277</v>
      </c>
      <c r="M1342" t="s">
        <v>2277</v>
      </c>
      <c r="N1342" t="s">
        <v>2277</v>
      </c>
      <c r="O1342" s="190" t="str">
        <f t="shared" si="20"/>
        <v>[S05_InherentCarbonTransferredDetail][22][StorageSitePermitNumber]</v>
      </c>
    </row>
    <row r="1343" spans="1:15" x14ac:dyDescent="0.3">
      <c r="A1343" t="s">
        <v>2278</v>
      </c>
      <c r="B1343" t="s">
        <v>1892</v>
      </c>
      <c r="C1343" t="s">
        <v>1894</v>
      </c>
      <c r="D1343">
        <v>23</v>
      </c>
      <c r="E1343" t="s">
        <v>1447</v>
      </c>
      <c r="F1343" t="s">
        <v>1901</v>
      </c>
      <c r="G1343" t="s">
        <v>1741</v>
      </c>
      <c r="H1343" t="s">
        <v>2302</v>
      </c>
      <c r="I1343" t="s">
        <v>2277</v>
      </c>
      <c r="J1343" t="s">
        <v>2277</v>
      </c>
      <c r="K1343" t="s">
        <v>2277</v>
      </c>
      <c r="L1343" t="s">
        <v>2277</v>
      </c>
      <c r="M1343" t="s">
        <v>2277</v>
      </c>
      <c r="N1343" t="s">
        <v>2277</v>
      </c>
      <c r="O1343" s="190" t="str">
        <f t="shared" si="20"/>
        <v>[S05_InherentCarbonTransferredDetail][23][StorageSitePermitNumber]</v>
      </c>
    </row>
    <row r="1344" spans="1:15" x14ac:dyDescent="0.3">
      <c r="A1344" t="s">
        <v>2278</v>
      </c>
      <c r="B1344" t="s">
        <v>1892</v>
      </c>
      <c r="C1344" t="s">
        <v>1894</v>
      </c>
      <c r="D1344">
        <v>24</v>
      </c>
      <c r="E1344" t="s">
        <v>1447</v>
      </c>
      <c r="F1344" t="s">
        <v>1901</v>
      </c>
      <c r="G1344" t="s">
        <v>1741</v>
      </c>
      <c r="H1344" t="s">
        <v>2302</v>
      </c>
      <c r="I1344" t="s">
        <v>2277</v>
      </c>
      <c r="J1344" t="s">
        <v>2277</v>
      </c>
      <c r="K1344" t="s">
        <v>2277</v>
      </c>
      <c r="L1344" t="s">
        <v>2277</v>
      </c>
      <c r="M1344" t="s">
        <v>2277</v>
      </c>
      <c r="N1344" t="s">
        <v>2277</v>
      </c>
      <c r="O1344" s="190" t="str">
        <f t="shared" si="20"/>
        <v>[S05_InherentCarbonTransferredDetail][24][StorageSitePermitNumber]</v>
      </c>
    </row>
    <row r="1345" spans="1:15" x14ac:dyDescent="0.3">
      <c r="A1345" t="s">
        <v>2278</v>
      </c>
      <c r="B1345" t="s">
        <v>1892</v>
      </c>
      <c r="C1345" t="s">
        <v>1894</v>
      </c>
      <c r="D1345">
        <v>25</v>
      </c>
      <c r="E1345" t="s">
        <v>1447</v>
      </c>
      <c r="F1345" t="s">
        <v>1901</v>
      </c>
      <c r="G1345" t="s">
        <v>1741</v>
      </c>
      <c r="H1345" t="s">
        <v>2302</v>
      </c>
      <c r="I1345" t="s">
        <v>2277</v>
      </c>
      <c r="J1345" t="s">
        <v>2277</v>
      </c>
      <c r="K1345" t="s">
        <v>2277</v>
      </c>
      <c r="L1345" t="s">
        <v>2277</v>
      </c>
      <c r="M1345" t="s">
        <v>2277</v>
      </c>
      <c r="N1345" t="s">
        <v>2277</v>
      </c>
      <c r="O1345" s="190" t="str">
        <f t="shared" si="20"/>
        <v>[S05_InherentCarbonTransferredDetail][25][StorageSitePermitNumber]</v>
      </c>
    </row>
    <row r="1346" spans="1:15" x14ac:dyDescent="0.3">
      <c r="A1346" t="s">
        <v>2278</v>
      </c>
      <c r="B1346" t="s">
        <v>1892</v>
      </c>
      <c r="C1346" t="s">
        <v>1894</v>
      </c>
      <c r="D1346">
        <v>26</v>
      </c>
      <c r="E1346" t="s">
        <v>1447</v>
      </c>
      <c r="F1346" t="s">
        <v>1901</v>
      </c>
      <c r="G1346" t="s">
        <v>1741</v>
      </c>
      <c r="H1346" t="s">
        <v>2302</v>
      </c>
      <c r="I1346" t="s">
        <v>2277</v>
      </c>
      <c r="J1346" t="s">
        <v>2277</v>
      </c>
      <c r="K1346" t="s">
        <v>2277</v>
      </c>
      <c r="L1346" t="s">
        <v>2277</v>
      </c>
      <c r="M1346" t="s">
        <v>2277</v>
      </c>
      <c r="N1346" t="s">
        <v>2277</v>
      </c>
      <c r="O1346" s="190" t="str">
        <f t="shared" ref="O1346:O1409" si="21">"["&amp;$C1346&amp;"]["&amp;$D1346&amp;"]["&amp;$F1346&amp;"]"</f>
        <v>[S05_InherentCarbonTransferredDetail][26][StorageSitePermitNumber]</v>
      </c>
    </row>
    <row r="1347" spans="1:15" x14ac:dyDescent="0.3">
      <c r="A1347" t="s">
        <v>2278</v>
      </c>
      <c r="B1347" t="s">
        <v>1892</v>
      </c>
      <c r="C1347" t="s">
        <v>1894</v>
      </c>
      <c r="D1347">
        <v>27</v>
      </c>
      <c r="E1347" t="s">
        <v>1447</v>
      </c>
      <c r="F1347" t="s">
        <v>1901</v>
      </c>
      <c r="G1347" t="s">
        <v>1741</v>
      </c>
      <c r="H1347" t="s">
        <v>2302</v>
      </c>
      <c r="I1347" t="s">
        <v>2277</v>
      </c>
      <c r="J1347" t="s">
        <v>2277</v>
      </c>
      <c r="K1347" t="s">
        <v>2277</v>
      </c>
      <c r="L1347" t="s">
        <v>2277</v>
      </c>
      <c r="M1347" t="s">
        <v>2277</v>
      </c>
      <c r="N1347" t="s">
        <v>2277</v>
      </c>
      <c r="O1347" s="190" t="str">
        <f t="shared" si="21"/>
        <v>[S05_InherentCarbonTransferredDetail][27][StorageSitePermitNumber]</v>
      </c>
    </row>
    <row r="1348" spans="1:15" x14ac:dyDescent="0.3">
      <c r="A1348" t="s">
        <v>2278</v>
      </c>
      <c r="B1348" t="s">
        <v>1892</v>
      </c>
      <c r="C1348" t="s">
        <v>1894</v>
      </c>
      <c r="D1348">
        <v>28</v>
      </c>
      <c r="E1348" t="s">
        <v>1447</v>
      </c>
      <c r="F1348" t="s">
        <v>1901</v>
      </c>
      <c r="G1348" t="s">
        <v>1741</v>
      </c>
      <c r="H1348" t="s">
        <v>2302</v>
      </c>
      <c r="I1348" t="s">
        <v>2277</v>
      </c>
      <c r="J1348" t="s">
        <v>2277</v>
      </c>
      <c r="K1348" t="s">
        <v>2277</v>
      </c>
      <c r="L1348" t="s">
        <v>2277</v>
      </c>
      <c r="M1348" t="s">
        <v>2277</v>
      </c>
      <c r="N1348" t="s">
        <v>2277</v>
      </c>
      <c r="O1348" s="190" t="str">
        <f t="shared" si="21"/>
        <v>[S05_InherentCarbonTransferredDetail][28][StorageSitePermitNumber]</v>
      </c>
    </row>
    <row r="1349" spans="1:15" x14ac:dyDescent="0.3">
      <c r="A1349" t="s">
        <v>2278</v>
      </c>
      <c r="B1349" t="s">
        <v>1892</v>
      </c>
      <c r="C1349" t="s">
        <v>1894</v>
      </c>
      <c r="D1349">
        <v>29</v>
      </c>
      <c r="E1349" t="s">
        <v>1447</v>
      </c>
      <c r="F1349" t="s">
        <v>1901</v>
      </c>
      <c r="G1349" t="s">
        <v>1741</v>
      </c>
      <c r="H1349" t="s">
        <v>2302</v>
      </c>
      <c r="I1349" t="s">
        <v>2277</v>
      </c>
      <c r="J1349" t="s">
        <v>2277</v>
      </c>
      <c r="K1349" t="s">
        <v>2277</v>
      </c>
      <c r="L1349" t="s">
        <v>2277</v>
      </c>
      <c r="M1349" t="s">
        <v>2277</v>
      </c>
      <c r="N1349" t="s">
        <v>2277</v>
      </c>
      <c r="O1349" s="190" t="str">
        <f t="shared" si="21"/>
        <v>[S05_InherentCarbonTransferredDetail][29][StorageSitePermitNumber]</v>
      </c>
    </row>
    <row r="1350" spans="1:15" x14ac:dyDescent="0.3">
      <c r="A1350" t="s">
        <v>2278</v>
      </c>
      <c r="B1350" t="s">
        <v>1892</v>
      </c>
      <c r="C1350" t="s">
        <v>1894</v>
      </c>
      <c r="D1350">
        <v>30</v>
      </c>
      <c r="E1350" t="s">
        <v>1447</v>
      </c>
      <c r="F1350" t="s">
        <v>1901</v>
      </c>
      <c r="G1350" t="s">
        <v>1741</v>
      </c>
      <c r="H1350" t="s">
        <v>2302</v>
      </c>
      <c r="I1350" t="s">
        <v>2277</v>
      </c>
      <c r="J1350" t="s">
        <v>2277</v>
      </c>
      <c r="K1350" t="s">
        <v>2277</v>
      </c>
      <c r="L1350" t="s">
        <v>2277</v>
      </c>
      <c r="M1350" t="s">
        <v>2277</v>
      </c>
      <c r="N1350" t="s">
        <v>2277</v>
      </c>
      <c r="O1350" s="190" t="str">
        <f t="shared" si="21"/>
        <v>[S05_InherentCarbonTransferredDetail][30][StorageSitePermitNumber]</v>
      </c>
    </row>
    <row r="1351" spans="1:15" x14ac:dyDescent="0.3">
      <c r="A1351" t="s">
        <v>2278</v>
      </c>
      <c r="B1351" t="s">
        <v>1892</v>
      </c>
      <c r="C1351" t="s">
        <v>1894</v>
      </c>
      <c r="D1351">
        <v>31</v>
      </c>
      <c r="E1351" t="s">
        <v>1447</v>
      </c>
      <c r="F1351" t="s">
        <v>1901</v>
      </c>
      <c r="G1351" t="s">
        <v>1741</v>
      </c>
      <c r="H1351" t="s">
        <v>2302</v>
      </c>
      <c r="I1351" t="s">
        <v>2277</v>
      </c>
      <c r="J1351" t="s">
        <v>2277</v>
      </c>
      <c r="K1351" t="s">
        <v>2277</v>
      </c>
      <c r="L1351" t="s">
        <v>2277</v>
      </c>
      <c r="M1351" t="s">
        <v>2277</v>
      </c>
      <c r="N1351" t="s">
        <v>2277</v>
      </c>
      <c r="O1351" s="190" t="str">
        <f t="shared" si="21"/>
        <v>[S05_InherentCarbonTransferredDetail][31][StorageSitePermitNumber]</v>
      </c>
    </row>
    <row r="1352" spans="1:15" x14ac:dyDescent="0.3">
      <c r="A1352" t="s">
        <v>2278</v>
      </c>
      <c r="B1352" t="s">
        <v>1892</v>
      </c>
      <c r="C1352" t="s">
        <v>1894</v>
      </c>
      <c r="D1352">
        <v>32</v>
      </c>
      <c r="E1352" t="s">
        <v>1447</v>
      </c>
      <c r="F1352" t="s">
        <v>1901</v>
      </c>
      <c r="G1352" t="s">
        <v>1741</v>
      </c>
      <c r="H1352" t="s">
        <v>2302</v>
      </c>
      <c r="I1352" t="s">
        <v>2277</v>
      </c>
      <c r="J1352" t="s">
        <v>2277</v>
      </c>
      <c r="K1352" t="s">
        <v>2277</v>
      </c>
      <c r="L1352" t="s">
        <v>2277</v>
      </c>
      <c r="M1352" t="s">
        <v>2277</v>
      </c>
      <c r="N1352" t="s">
        <v>2277</v>
      </c>
      <c r="O1352" s="190" t="str">
        <f t="shared" si="21"/>
        <v>[S05_InherentCarbonTransferredDetail][32][StorageSitePermitNumber]</v>
      </c>
    </row>
    <row r="1353" spans="1:15" x14ac:dyDescent="0.3">
      <c r="A1353" t="s">
        <v>2278</v>
      </c>
      <c r="B1353" t="s">
        <v>1902</v>
      </c>
      <c r="C1353" t="s">
        <v>1903</v>
      </c>
      <c r="D1353">
        <v>0</v>
      </c>
      <c r="E1353" t="s">
        <v>1447</v>
      </c>
      <c r="F1353" t="s">
        <v>1903</v>
      </c>
      <c r="G1353" t="s">
        <v>1759</v>
      </c>
      <c r="H1353" t="s">
        <v>2277</v>
      </c>
      <c r="I1353" t="s">
        <v>2277</v>
      </c>
      <c r="J1353" t="s">
        <v>2277</v>
      </c>
      <c r="K1353" t="s">
        <v>2277</v>
      </c>
      <c r="L1353" t="s">
        <v>1419</v>
      </c>
      <c r="M1353" t="s">
        <v>2277</v>
      </c>
      <c r="N1353" t="s">
        <v>2277</v>
      </c>
      <c r="O1353" s="190" t="str">
        <f t="shared" si="21"/>
        <v>[ContinuousEmissionsMeasurement][0][ContinuousEmissionsMeasurement]</v>
      </c>
    </row>
    <row r="1354" spans="1:15" x14ac:dyDescent="0.3">
      <c r="A1354" t="s">
        <v>2278</v>
      </c>
      <c r="B1354" t="s">
        <v>1902</v>
      </c>
      <c r="C1354" t="s">
        <v>1904</v>
      </c>
      <c r="D1354">
        <v>1</v>
      </c>
      <c r="E1354" t="s">
        <v>1447</v>
      </c>
      <c r="F1354" t="s">
        <v>1906</v>
      </c>
      <c r="G1354" t="s">
        <v>1741</v>
      </c>
      <c r="H1354" t="s">
        <v>2339</v>
      </c>
      <c r="I1354" t="s">
        <v>2277</v>
      </c>
      <c r="J1354" t="s">
        <v>2277</v>
      </c>
      <c r="K1354" t="s">
        <v>2277</v>
      </c>
      <c r="L1354" t="s">
        <v>2277</v>
      </c>
      <c r="M1354" t="s">
        <v>2277</v>
      </c>
      <c r="N1354" t="s">
        <v>2277</v>
      </c>
      <c r="O1354" s="190" t="str">
        <f t="shared" si="21"/>
        <v>[S05_ContinuousEmissionsMeasurementDetail][1][InstallationIDN2O]</v>
      </c>
    </row>
    <row r="1355" spans="1:15" x14ac:dyDescent="0.3">
      <c r="A1355" t="s">
        <v>2278</v>
      </c>
      <c r="B1355" t="s">
        <v>1902</v>
      </c>
      <c r="C1355" t="s">
        <v>1904</v>
      </c>
      <c r="D1355">
        <v>2</v>
      </c>
      <c r="E1355" t="s">
        <v>1447</v>
      </c>
      <c r="F1355" t="s">
        <v>1906</v>
      </c>
      <c r="G1355" t="s">
        <v>1741</v>
      </c>
      <c r="H1355" t="s">
        <v>2339</v>
      </c>
      <c r="I1355" t="s">
        <v>2277</v>
      </c>
      <c r="J1355" t="s">
        <v>2277</v>
      </c>
      <c r="K1355" t="s">
        <v>2277</v>
      </c>
      <c r="L1355" t="s">
        <v>2277</v>
      </c>
      <c r="M1355" t="s">
        <v>2277</v>
      </c>
      <c r="N1355" t="s">
        <v>2277</v>
      </c>
      <c r="O1355" s="190" t="str">
        <f t="shared" si="21"/>
        <v>[S05_ContinuousEmissionsMeasurementDetail][2][InstallationIDN2O]</v>
      </c>
    </row>
    <row r="1356" spans="1:15" x14ac:dyDescent="0.3">
      <c r="A1356" t="s">
        <v>2278</v>
      </c>
      <c r="B1356" t="s">
        <v>1902</v>
      </c>
      <c r="C1356" t="s">
        <v>1904</v>
      </c>
      <c r="D1356">
        <v>3</v>
      </c>
      <c r="E1356" t="s">
        <v>1447</v>
      </c>
      <c r="F1356" t="s">
        <v>1906</v>
      </c>
      <c r="G1356" t="s">
        <v>1741</v>
      </c>
      <c r="H1356" t="s">
        <v>2338</v>
      </c>
      <c r="I1356" t="s">
        <v>2277</v>
      </c>
      <c r="J1356" t="s">
        <v>2277</v>
      </c>
      <c r="K1356" t="s">
        <v>2277</v>
      </c>
      <c r="L1356" t="s">
        <v>2277</v>
      </c>
      <c r="M1356" t="s">
        <v>2277</v>
      </c>
      <c r="N1356" t="s">
        <v>2277</v>
      </c>
      <c r="O1356" s="190" t="str">
        <f t="shared" si="21"/>
        <v>[S05_ContinuousEmissionsMeasurementDetail][3][InstallationIDN2O]</v>
      </c>
    </row>
    <row r="1357" spans="1:15" x14ac:dyDescent="0.3">
      <c r="A1357" t="s">
        <v>2278</v>
      </c>
      <c r="B1357" t="s">
        <v>1902</v>
      </c>
      <c r="C1357" t="s">
        <v>1904</v>
      </c>
      <c r="D1357">
        <v>4</v>
      </c>
      <c r="E1357" t="s">
        <v>1447</v>
      </c>
      <c r="F1357" t="s">
        <v>1906</v>
      </c>
      <c r="G1357" t="s">
        <v>1741</v>
      </c>
      <c r="H1357" t="s">
        <v>2338</v>
      </c>
      <c r="I1357" t="s">
        <v>2277</v>
      </c>
      <c r="J1357" t="s">
        <v>2277</v>
      </c>
      <c r="K1357" t="s">
        <v>2277</v>
      </c>
      <c r="L1357" t="s">
        <v>2277</v>
      </c>
      <c r="M1357" t="s">
        <v>2277</v>
      </c>
      <c r="N1357" t="s">
        <v>2277</v>
      </c>
      <c r="O1357" s="190" t="str">
        <f t="shared" si="21"/>
        <v>[S05_ContinuousEmissionsMeasurementDetail][4][InstallationIDN2O]</v>
      </c>
    </row>
    <row r="1358" spans="1:15" x14ac:dyDescent="0.3">
      <c r="A1358" t="s">
        <v>2278</v>
      </c>
      <c r="B1358" t="s">
        <v>1902</v>
      </c>
      <c r="C1358" t="s">
        <v>1904</v>
      </c>
      <c r="D1358">
        <v>5</v>
      </c>
      <c r="E1358" t="s">
        <v>1447</v>
      </c>
      <c r="F1358" t="s">
        <v>1906</v>
      </c>
      <c r="G1358" t="s">
        <v>1741</v>
      </c>
      <c r="H1358" t="s">
        <v>2338</v>
      </c>
      <c r="I1358" t="s">
        <v>2277</v>
      </c>
      <c r="J1358" t="s">
        <v>2277</v>
      </c>
      <c r="K1358" t="s">
        <v>2277</v>
      </c>
      <c r="L1358" t="s">
        <v>2277</v>
      </c>
      <c r="M1358" t="s">
        <v>2277</v>
      </c>
      <c r="N1358" t="s">
        <v>2277</v>
      </c>
      <c r="O1358" s="190" t="str">
        <f t="shared" si="21"/>
        <v>[S05_ContinuousEmissionsMeasurementDetail][5][InstallationIDN2O]</v>
      </c>
    </row>
    <row r="1359" spans="1:15" x14ac:dyDescent="0.3">
      <c r="A1359" t="s">
        <v>2278</v>
      </c>
      <c r="B1359" t="s">
        <v>1902</v>
      </c>
      <c r="C1359" t="s">
        <v>1904</v>
      </c>
      <c r="D1359">
        <v>6</v>
      </c>
      <c r="E1359" t="s">
        <v>1447</v>
      </c>
      <c r="F1359" t="s">
        <v>1906</v>
      </c>
      <c r="G1359" t="s">
        <v>1741</v>
      </c>
      <c r="H1359" t="s">
        <v>2338</v>
      </c>
      <c r="I1359" t="s">
        <v>2277</v>
      </c>
      <c r="J1359" t="s">
        <v>2277</v>
      </c>
      <c r="K1359" t="s">
        <v>2277</v>
      </c>
      <c r="L1359" t="s">
        <v>2277</v>
      </c>
      <c r="M1359" t="s">
        <v>2277</v>
      </c>
      <c r="N1359" t="s">
        <v>2277</v>
      </c>
      <c r="O1359" s="190" t="str">
        <f t="shared" si="21"/>
        <v>[S05_ContinuousEmissionsMeasurementDetail][6][InstallationIDN2O]</v>
      </c>
    </row>
    <row r="1360" spans="1:15" x14ac:dyDescent="0.3">
      <c r="A1360" t="s">
        <v>2278</v>
      </c>
      <c r="B1360" t="s">
        <v>1902</v>
      </c>
      <c r="C1360" t="s">
        <v>1904</v>
      </c>
      <c r="D1360">
        <v>7</v>
      </c>
      <c r="E1360" t="s">
        <v>1447</v>
      </c>
      <c r="F1360" t="s">
        <v>1906</v>
      </c>
      <c r="G1360" t="s">
        <v>1741</v>
      </c>
      <c r="H1360" t="s">
        <v>2337</v>
      </c>
      <c r="I1360" t="s">
        <v>2277</v>
      </c>
      <c r="J1360" t="s">
        <v>2277</v>
      </c>
      <c r="K1360" t="s">
        <v>2277</v>
      </c>
      <c r="L1360" t="s">
        <v>2277</v>
      </c>
      <c r="M1360" t="s">
        <v>2277</v>
      </c>
      <c r="N1360" t="s">
        <v>2277</v>
      </c>
      <c r="O1360" s="190" t="str">
        <f t="shared" si="21"/>
        <v>[S05_ContinuousEmissionsMeasurementDetail][7][InstallationIDN2O]</v>
      </c>
    </row>
    <row r="1361" spans="1:15" x14ac:dyDescent="0.3">
      <c r="A1361" t="s">
        <v>2278</v>
      </c>
      <c r="B1361" t="s">
        <v>1902</v>
      </c>
      <c r="C1361" t="s">
        <v>1904</v>
      </c>
      <c r="D1361">
        <v>8</v>
      </c>
      <c r="E1361" t="s">
        <v>1447</v>
      </c>
      <c r="F1361" t="s">
        <v>1906</v>
      </c>
      <c r="G1361" t="s">
        <v>1741</v>
      </c>
      <c r="H1361" t="s">
        <v>2336</v>
      </c>
      <c r="I1361" t="s">
        <v>2277</v>
      </c>
      <c r="J1361" t="s">
        <v>2277</v>
      </c>
      <c r="K1361" t="s">
        <v>2277</v>
      </c>
      <c r="L1361" t="s">
        <v>2277</v>
      </c>
      <c r="M1361" t="s">
        <v>2277</v>
      </c>
      <c r="N1361" t="s">
        <v>2277</v>
      </c>
      <c r="O1361" s="190" t="str">
        <f t="shared" si="21"/>
        <v>[S05_ContinuousEmissionsMeasurementDetail][8][InstallationIDN2O]</v>
      </c>
    </row>
    <row r="1362" spans="1:15" x14ac:dyDescent="0.3">
      <c r="A1362" t="s">
        <v>2278</v>
      </c>
      <c r="B1362" t="s">
        <v>1902</v>
      </c>
      <c r="C1362" t="s">
        <v>1904</v>
      </c>
      <c r="D1362">
        <v>9</v>
      </c>
      <c r="E1362" t="s">
        <v>1447</v>
      </c>
      <c r="F1362" t="s">
        <v>1906</v>
      </c>
      <c r="G1362" t="s">
        <v>1741</v>
      </c>
      <c r="H1362" t="s">
        <v>2336</v>
      </c>
      <c r="I1362" t="s">
        <v>2277</v>
      </c>
      <c r="J1362" t="s">
        <v>2277</v>
      </c>
      <c r="K1362" t="s">
        <v>2277</v>
      </c>
      <c r="L1362" t="s">
        <v>2277</v>
      </c>
      <c r="M1362" t="s">
        <v>2277</v>
      </c>
      <c r="N1362" t="s">
        <v>2277</v>
      </c>
      <c r="O1362" s="190" t="str">
        <f t="shared" si="21"/>
        <v>[S05_ContinuousEmissionsMeasurementDetail][9][InstallationIDN2O]</v>
      </c>
    </row>
    <row r="1363" spans="1:15" x14ac:dyDescent="0.3">
      <c r="A1363" t="s">
        <v>2278</v>
      </c>
      <c r="B1363" t="s">
        <v>1902</v>
      </c>
      <c r="C1363" t="s">
        <v>1904</v>
      </c>
      <c r="D1363">
        <v>1</v>
      </c>
      <c r="E1363" t="s">
        <v>1447</v>
      </c>
      <c r="F1363" t="s">
        <v>1907</v>
      </c>
      <c r="G1363" t="s">
        <v>1806</v>
      </c>
      <c r="H1363" t="s">
        <v>2277</v>
      </c>
      <c r="I1363" t="s">
        <v>2277</v>
      </c>
      <c r="J1363">
        <v>802555</v>
      </c>
      <c r="K1363" t="s">
        <v>2277</v>
      </c>
      <c r="L1363" t="s">
        <v>2277</v>
      </c>
      <c r="M1363" t="s">
        <v>2277</v>
      </c>
      <c r="N1363" t="s">
        <v>2277</v>
      </c>
      <c r="O1363" s="190" t="str">
        <f t="shared" si="21"/>
        <v>[S05_ContinuousEmissionsMeasurementDetail][1][TotalEmissionsCO2E]</v>
      </c>
    </row>
    <row r="1364" spans="1:15" x14ac:dyDescent="0.3">
      <c r="A1364" t="s">
        <v>2278</v>
      </c>
      <c r="B1364" t="s">
        <v>1902</v>
      </c>
      <c r="C1364" t="s">
        <v>1904</v>
      </c>
      <c r="D1364">
        <v>2</v>
      </c>
      <c r="E1364" t="s">
        <v>1447</v>
      </c>
      <c r="F1364" t="s">
        <v>1907</v>
      </c>
      <c r="G1364" t="s">
        <v>1806</v>
      </c>
      <c r="H1364" t="s">
        <v>2277</v>
      </c>
      <c r="I1364" t="s">
        <v>2277</v>
      </c>
      <c r="J1364">
        <v>802555</v>
      </c>
      <c r="K1364" t="s">
        <v>2277</v>
      </c>
      <c r="L1364" t="s">
        <v>2277</v>
      </c>
      <c r="M1364" t="s">
        <v>2277</v>
      </c>
      <c r="N1364" t="s">
        <v>2277</v>
      </c>
      <c r="O1364" s="190" t="str">
        <f t="shared" si="21"/>
        <v>[S05_ContinuousEmissionsMeasurementDetail][2][TotalEmissionsCO2E]</v>
      </c>
    </row>
    <row r="1365" spans="1:15" x14ac:dyDescent="0.3">
      <c r="A1365" t="s">
        <v>2278</v>
      </c>
      <c r="B1365" t="s">
        <v>1902</v>
      </c>
      <c r="C1365" t="s">
        <v>1904</v>
      </c>
      <c r="D1365">
        <v>3</v>
      </c>
      <c r="E1365" t="s">
        <v>1447</v>
      </c>
      <c r="F1365" t="s">
        <v>1907</v>
      </c>
      <c r="G1365" t="s">
        <v>1806</v>
      </c>
      <c r="H1365" t="s">
        <v>2277</v>
      </c>
      <c r="I1365" t="s">
        <v>2277</v>
      </c>
      <c r="J1365">
        <v>2251769</v>
      </c>
      <c r="K1365" t="s">
        <v>2277</v>
      </c>
      <c r="L1365" t="s">
        <v>2277</v>
      </c>
      <c r="M1365" t="s">
        <v>2277</v>
      </c>
      <c r="N1365" t="s">
        <v>2277</v>
      </c>
      <c r="O1365" s="190" t="str">
        <f t="shared" si="21"/>
        <v>[S05_ContinuousEmissionsMeasurementDetail][3][TotalEmissionsCO2E]</v>
      </c>
    </row>
    <row r="1366" spans="1:15" x14ac:dyDescent="0.3">
      <c r="A1366" t="s">
        <v>2278</v>
      </c>
      <c r="B1366" t="s">
        <v>1902</v>
      </c>
      <c r="C1366" t="s">
        <v>1904</v>
      </c>
      <c r="D1366">
        <v>4</v>
      </c>
      <c r="E1366" t="s">
        <v>1447</v>
      </c>
      <c r="F1366" t="s">
        <v>1907</v>
      </c>
      <c r="G1366" t="s">
        <v>1806</v>
      </c>
      <c r="H1366" t="s">
        <v>2277</v>
      </c>
      <c r="I1366" t="s">
        <v>2277</v>
      </c>
      <c r="J1366">
        <v>2251769</v>
      </c>
      <c r="K1366" t="s">
        <v>2277</v>
      </c>
      <c r="L1366" t="s">
        <v>2277</v>
      </c>
      <c r="M1366" t="s">
        <v>2277</v>
      </c>
      <c r="N1366" t="s">
        <v>2277</v>
      </c>
      <c r="O1366" s="190" t="str">
        <f t="shared" si="21"/>
        <v>[S05_ContinuousEmissionsMeasurementDetail][4][TotalEmissionsCO2E]</v>
      </c>
    </row>
    <row r="1367" spans="1:15" x14ac:dyDescent="0.3">
      <c r="A1367" t="s">
        <v>2278</v>
      </c>
      <c r="B1367" t="s">
        <v>1902</v>
      </c>
      <c r="C1367" t="s">
        <v>1904</v>
      </c>
      <c r="D1367">
        <v>5</v>
      </c>
      <c r="E1367" t="s">
        <v>1447</v>
      </c>
      <c r="F1367" t="s">
        <v>1907</v>
      </c>
      <c r="G1367" t="s">
        <v>1806</v>
      </c>
      <c r="H1367" t="s">
        <v>2277</v>
      </c>
      <c r="I1367" t="s">
        <v>2277</v>
      </c>
      <c r="J1367">
        <v>2251769</v>
      </c>
      <c r="K1367" t="s">
        <v>2277</v>
      </c>
      <c r="L1367" t="s">
        <v>2277</v>
      </c>
      <c r="M1367" t="s">
        <v>2277</v>
      </c>
      <c r="N1367" t="s">
        <v>2277</v>
      </c>
      <c r="O1367" s="190" t="str">
        <f t="shared" si="21"/>
        <v>[S05_ContinuousEmissionsMeasurementDetail][5][TotalEmissionsCO2E]</v>
      </c>
    </row>
    <row r="1368" spans="1:15" x14ac:dyDescent="0.3">
      <c r="A1368" t="s">
        <v>2278</v>
      </c>
      <c r="B1368" t="s">
        <v>1902</v>
      </c>
      <c r="C1368" t="s">
        <v>1904</v>
      </c>
      <c r="D1368">
        <v>6</v>
      </c>
      <c r="E1368" t="s">
        <v>1447</v>
      </c>
      <c r="F1368" t="s">
        <v>1907</v>
      </c>
      <c r="G1368" t="s">
        <v>1806</v>
      </c>
      <c r="H1368" t="s">
        <v>2277</v>
      </c>
      <c r="I1368" t="s">
        <v>2277</v>
      </c>
      <c r="J1368">
        <v>2251769</v>
      </c>
      <c r="K1368" t="s">
        <v>2277</v>
      </c>
      <c r="L1368" t="s">
        <v>2277</v>
      </c>
      <c r="M1368" t="s">
        <v>2277</v>
      </c>
      <c r="N1368" t="s">
        <v>2277</v>
      </c>
      <c r="O1368" s="190" t="str">
        <f t="shared" si="21"/>
        <v>[S05_ContinuousEmissionsMeasurementDetail][6][TotalEmissionsCO2E]</v>
      </c>
    </row>
    <row r="1369" spans="1:15" x14ac:dyDescent="0.3">
      <c r="A1369" t="s">
        <v>2278</v>
      </c>
      <c r="B1369" t="s">
        <v>1902</v>
      </c>
      <c r="C1369" t="s">
        <v>1904</v>
      </c>
      <c r="D1369">
        <v>7</v>
      </c>
      <c r="E1369" t="s">
        <v>1447</v>
      </c>
      <c r="F1369" t="s">
        <v>1907</v>
      </c>
      <c r="G1369" t="s">
        <v>1806</v>
      </c>
      <c r="H1369" t="s">
        <v>2277</v>
      </c>
      <c r="I1369" t="s">
        <v>2277</v>
      </c>
      <c r="J1369">
        <v>423138</v>
      </c>
      <c r="K1369" t="s">
        <v>2277</v>
      </c>
      <c r="L1369" t="s">
        <v>2277</v>
      </c>
      <c r="M1369" t="s">
        <v>2277</v>
      </c>
      <c r="N1369" t="s">
        <v>2277</v>
      </c>
      <c r="O1369" s="190" t="str">
        <f t="shared" si="21"/>
        <v>[S05_ContinuousEmissionsMeasurementDetail][7][TotalEmissionsCO2E]</v>
      </c>
    </row>
    <row r="1370" spans="1:15" x14ac:dyDescent="0.3">
      <c r="A1370" t="s">
        <v>2278</v>
      </c>
      <c r="B1370" t="s">
        <v>1902</v>
      </c>
      <c r="C1370" t="s">
        <v>1904</v>
      </c>
      <c r="D1370">
        <v>8</v>
      </c>
      <c r="E1370" t="s">
        <v>1447</v>
      </c>
      <c r="F1370" t="s">
        <v>1907</v>
      </c>
      <c r="G1370" t="s">
        <v>1806</v>
      </c>
      <c r="H1370" t="s">
        <v>2277</v>
      </c>
      <c r="I1370" t="s">
        <v>2277</v>
      </c>
      <c r="J1370">
        <v>72522</v>
      </c>
      <c r="K1370" t="s">
        <v>2277</v>
      </c>
      <c r="L1370" t="s">
        <v>2277</v>
      </c>
      <c r="M1370" t="s">
        <v>2277</v>
      </c>
      <c r="N1370" t="s">
        <v>2277</v>
      </c>
      <c r="O1370" s="190" t="str">
        <f t="shared" si="21"/>
        <v>[S05_ContinuousEmissionsMeasurementDetail][8][TotalEmissionsCO2E]</v>
      </c>
    </row>
    <row r="1371" spans="1:15" x14ac:dyDescent="0.3">
      <c r="A1371" t="s">
        <v>2278</v>
      </c>
      <c r="B1371" t="s">
        <v>1902</v>
      </c>
      <c r="C1371" t="s">
        <v>1904</v>
      </c>
      <c r="D1371">
        <v>9</v>
      </c>
      <c r="E1371" t="s">
        <v>1447</v>
      </c>
      <c r="F1371" t="s">
        <v>1907</v>
      </c>
      <c r="G1371" t="s">
        <v>1806</v>
      </c>
      <c r="H1371" t="s">
        <v>2277</v>
      </c>
      <c r="I1371" t="s">
        <v>2277</v>
      </c>
      <c r="J1371">
        <v>72522</v>
      </c>
      <c r="K1371" t="s">
        <v>2277</v>
      </c>
      <c r="L1371" t="s">
        <v>2277</v>
      </c>
      <c r="M1371" t="s">
        <v>2277</v>
      </c>
      <c r="N1371" t="s">
        <v>2277</v>
      </c>
      <c r="O1371" s="190" t="str">
        <f t="shared" si="21"/>
        <v>[S05_ContinuousEmissionsMeasurementDetail][9][TotalEmissionsCO2E]</v>
      </c>
    </row>
    <row r="1372" spans="1:15" x14ac:dyDescent="0.3">
      <c r="A1372" t="s">
        <v>2278</v>
      </c>
      <c r="B1372" t="s">
        <v>1902</v>
      </c>
      <c r="C1372" t="s">
        <v>1904</v>
      </c>
      <c r="D1372">
        <v>1</v>
      </c>
      <c r="E1372" t="s">
        <v>1447</v>
      </c>
      <c r="F1372" t="s">
        <v>1908</v>
      </c>
      <c r="G1372" t="s">
        <v>1806</v>
      </c>
      <c r="H1372" t="s">
        <v>2277</v>
      </c>
      <c r="I1372" t="s">
        <v>2277</v>
      </c>
      <c r="J1372">
        <v>28275.010421086001</v>
      </c>
      <c r="K1372" t="s">
        <v>2277</v>
      </c>
      <c r="L1372" t="s">
        <v>2277</v>
      </c>
      <c r="M1372" t="s">
        <v>2277</v>
      </c>
      <c r="N1372" t="s">
        <v>2277</v>
      </c>
      <c r="O1372" s="190" t="str">
        <f t="shared" si="21"/>
        <v>[S05_ContinuousEmissionsMeasurementDetail][1][ContinuousMeasurementTotalEmissions]</v>
      </c>
    </row>
    <row r="1373" spans="1:15" x14ac:dyDescent="0.3">
      <c r="A1373" t="s">
        <v>2278</v>
      </c>
      <c r="B1373" t="s">
        <v>1902</v>
      </c>
      <c r="C1373" t="s">
        <v>1904</v>
      </c>
      <c r="D1373">
        <v>2</v>
      </c>
      <c r="E1373" t="s">
        <v>1447</v>
      </c>
      <c r="F1373" t="s">
        <v>1908</v>
      </c>
      <c r="G1373" t="s">
        <v>1806</v>
      </c>
      <c r="H1373" t="s">
        <v>2277</v>
      </c>
      <c r="I1373" t="s">
        <v>2277</v>
      </c>
      <c r="J1373">
        <v>114700.306724111</v>
      </c>
      <c r="K1373" t="s">
        <v>2277</v>
      </c>
      <c r="L1373" t="s">
        <v>2277</v>
      </c>
      <c r="M1373" t="s">
        <v>2277</v>
      </c>
      <c r="N1373" t="s">
        <v>2277</v>
      </c>
      <c r="O1373" s="190" t="str">
        <f t="shared" si="21"/>
        <v>[S05_ContinuousEmissionsMeasurementDetail][2][ContinuousMeasurementTotalEmissions]</v>
      </c>
    </row>
    <row r="1374" spans="1:15" x14ac:dyDescent="0.3">
      <c r="A1374" t="s">
        <v>2278</v>
      </c>
      <c r="B1374" t="s">
        <v>1902</v>
      </c>
      <c r="C1374" t="s">
        <v>1904</v>
      </c>
      <c r="D1374">
        <v>3</v>
      </c>
      <c r="E1374" t="s">
        <v>1447</v>
      </c>
      <c r="F1374" t="s">
        <v>1908</v>
      </c>
      <c r="G1374" t="s">
        <v>1806</v>
      </c>
      <c r="H1374" t="s">
        <v>2277</v>
      </c>
      <c r="I1374" t="s">
        <v>2277</v>
      </c>
      <c r="J1374">
        <v>47166.987991142101</v>
      </c>
      <c r="K1374" t="s">
        <v>2277</v>
      </c>
      <c r="L1374" t="s">
        <v>2277</v>
      </c>
      <c r="M1374" t="s">
        <v>2277</v>
      </c>
      <c r="N1374" t="s">
        <v>2277</v>
      </c>
      <c r="O1374" s="190" t="str">
        <f t="shared" si="21"/>
        <v>[S05_ContinuousEmissionsMeasurementDetail][3][ContinuousMeasurementTotalEmissions]</v>
      </c>
    </row>
    <row r="1375" spans="1:15" x14ac:dyDescent="0.3">
      <c r="A1375" t="s">
        <v>2278</v>
      </c>
      <c r="B1375" t="s">
        <v>1902</v>
      </c>
      <c r="C1375" t="s">
        <v>1904</v>
      </c>
      <c r="D1375">
        <v>4</v>
      </c>
      <c r="E1375" t="s">
        <v>1447</v>
      </c>
      <c r="F1375" t="s">
        <v>1908</v>
      </c>
      <c r="G1375" t="s">
        <v>1806</v>
      </c>
      <c r="H1375" t="s">
        <v>2277</v>
      </c>
      <c r="I1375" t="s">
        <v>2277</v>
      </c>
      <c r="J1375">
        <v>89564.146129863293</v>
      </c>
      <c r="K1375" t="s">
        <v>2277</v>
      </c>
      <c r="L1375" t="s">
        <v>2277</v>
      </c>
      <c r="M1375" t="s">
        <v>2277</v>
      </c>
      <c r="N1375" t="s">
        <v>2277</v>
      </c>
      <c r="O1375" s="190" t="str">
        <f t="shared" si="21"/>
        <v>[S05_ContinuousEmissionsMeasurementDetail][4][ContinuousMeasurementTotalEmissions]</v>
      </c>
    </row>
    <row r="1376" spans="1:15" x14ac:dyDescent="0.3">
      <c r="A1376" t="s">
        <v>2278</v>
      </c>
      <c r="B1376" t="s">
        <v>1902</v>
      </c>
      <c r="C1376" t="s">
        <v>1904</v>
      </c>
      <c r="D1376">
        <v>5</v>
      </c>
      <c r="E1376" t="s">
        <v>1447</v>
      </c>
      <c r="F1376" t="s">
        <v>1908</v>
      </c>
      <c r="G1376" t="s">
        <v>1806</v>
      </c>
      <c r="H1376" t="s">
        <v>2277</v>
      </c>
      <c r="I1376" t="s">
        <v>2277</v>
      </c>
      <c r="J1376">
        <v>45268.467380001297</v>
      </c>
      <c r="K1376" t="s">
        <v>2277</v>
      </c>
      <c r="L1376" t="s">
        <v>2277</v>
      </c>
      <c r="M1376" t="s">
        <v>2277</v>
      </c>
      <c r="N1376" t="s">
        <v>2277</v>
      </c>
      <c r="O1376" s="190" t="str">
        <f t="shared" si="21"/>
        <v>[S05_ContinuousEmissionsMeasurementDetail][5][ContinuousMeasurementTotalEmissions]</v>
      </c>
    </row>
    <row r="1377" spans="1:15" x14ac:dyDescent="0.3">
      <c r="A1377" t="s">
        <v>2278</v>
      </c>
      <c r="B1377" t="s">
        <v>1902</v>
      </c>
      <c r="C1377" t="s">
        <v>1904</v>
      </c>
      <c r="D1377">
        <v>6</v>
      </c>
      <c r="E1377" t="s">
        <v>1447</v>
      </c>
      <c r="F1377" t="s">
        <v>1908</v>
      </c>
      <c r="G1377" t="s">
        <v>1806</v>
      </c>
      <c r="H1377" t="s">
        <v>2277</v>
      </c>
      <c r="I1377" t="s">
        <v>2277</v>
      </c>
      <c r="J1377">
        <v>47396.003671458202</v>
      </c>
      <c r="K1377" t="s">
        <v>2277</v>
      </c>
      <c r="L1377" t="s">
        <v>2277</v>
      </c>
      <c r="M1377" t="s">
        <v>2277</v>
      </c>
      <c r="N1377" t="s">
        <v>2277</v>
      </c>
      <c r="O1377" s="190" t="str">
        <f t="shared" si="21"/>
        <v>[S05_ContinuousEmissionsMeasurementDetail][6][ContinuousMeasurementTotalEmissions]</v>
      </c>
    </row>
    <row r="1378" spans="1:15" x14ac:dyDescent="0.3">
      <c r="A1378" t="s">
        <v>2278</v>
      </c>
      <c r="B1378" t="s">
        <v>1902</v>
      </c>
      <c r="C1378" t="s">
        <v>1904</v>
      </c>
      <c r="D1378">
        <v>7</v>
      </c>
      <c r="E1378" t="s">
        <v>1447</v>
      </c>
      <c r="F1378" t="s">
        <v>1908</v>
      </c>
      <c r="G1378" t="s">
        <v>1806</v>
      </c>
      <c r="H1378" t="s">
        <v>2277</v>
      </c>
      <c r="I1378" t="s">
        <v>2277</v>
      </c>
      <c r="J1378">
        <v>18001.748296046899</v>
      </c>
      <c r="K1378" t="s">
        <v>2277</v>
      </c>
      <c r="L1378" t="s">
        <v>2277</v>
      </c>
      <c r="M1378" t="s">
        <v>2277</v>
      </c>
      <c r="N1378" t="s">
        <v>2277</v>
      </c>
      <c r="O1378" s="190" t="str">
        <f t="shared" si="21"/>
        <v>[S05_ContinuousEmissionsMeasurementDetail][7][ContinuousMeasurementTotalEmissions]</v>
      </c>
    </row>
    <row r="1379" spans="1:15" x14ac:dyDescent="0.3">
      <c r="A1379" t="s">
        <v>2278</v>
      </c>
      <c r="B1379" t="s">
        <v>1902</v>
      </c>
      <c r="C1379" t="s">
        <v>1904</v>
      </c>
      <c r="D1379">
        <v>8</v>
      </c>
      <c r="E1379" t="s">
        <v>1447</v>
      </c>
      <c r="F1379" t="s">
        <v>1908</v>
      </c>
      <c r="G1379" t="s">
        <v>1806</v>
      </c>
      <c r="H1379" t="s">
        <v>2277</v>
      </c>
      <c r="I1379" t="s">
        <v>2277</v>
      </c>
      <c r="J1379">
        <v>33960.0234535001</v>
      </c>
      <c r="K1379" t="s">
        <v>2277</v>
      </c>
      <c r="L1379" t="s">
        <v>2277</v>
      </c>
      <c r="M1379" t="s">
        <v>2277</v>
      </c>
      <c r="N1379" t="s">
        <v>2277</v>
      </c>
      <c r="O1379" s="190" t="str">
        <f t="shared" si="21"/>
        <v>[S05_ContinuousEmissionsMeasurementDetail][8][ContinuousMeasurementTotalEmissions]</v>
      </c>
    </row>
    <row r="1380" spans="1:15" x14ac:dyDescent="0.3">
      <c r="A1380" t="s">
        <v>2278</v>
      </c>
      <c r="B1380" t="s">
        <v>1902</v>
      </c>
      <c r="C1380" t="s">
        <v>1904</v>
      </c>
      <c r="D1380">
        <v>9</v>
      </c>
      <c r="E1380" t="s">
        <v>1447</v>
      </c>
      <c r="F1380" t="s">
        <v>1908</v>
      </c>
      <c r="G1380" t="s">
        <v>1806</v>
      </c>
      <c r="H1380" t="s">
        <v>2277</v>
      </c>
      <c r="I1380" t="s">
        <v>2277</v>
      </c>
      <c r="J1380">
        <v>38562.286509500103</v>
      </c>
      <c r="K1380" t="s">
        <v>2277</v>
      </c>
      <c r="L1380" t="s">
        <v>2277</v>
      </c>
      <c r="M1380" t="s">
        <v>2277</v>
      </c>
      <c r="N1380" t="s">
        <v>2277</v>
      </c>
      <c r="O1380" s="190" t="str">
        <f t="shared" si="21"/>
        <v>[S05_ContinuousEmissionsMeasurementDetail][9][ContinuousMeasurementTotalEmissions]</v>
      </c>
    </row>
    <row r="1381" spans="1:15" x14ac:dyDescent="0.3">
      <c r="A1381" t="s">
        <v>2278</v>
      </c>
      <c r="B1381" t="s">
        <v>1902</v>
      </c>
      <c r="C1381" t="s">
        <v>1904</v>
      </c>
      <c r="D1381">
        <v>1</v>
      </c>
      <c r="E1381" t="s">
        <v>1447</v>
      </c>
      <c r="F1381" t="s">
        <v>1909</v>
      </c>
      <c r="G1381" t="s">
        <v>1759</v>
      </c>
      <c r="H1381" t="s">
        <v>2277</v>
      </c>
      <c r="I1381" t="s">
        <v>2277</v>
      </c>
      <c r="J1381" t="s">
        <v>2277</v>
      </c>
      <c r="K1381" t="s">
        <v>2277</v>
      </c>
      <c r="L1381" t="s">
        <v>1447</v>
      </c>
      <c r="M1381" t="s">
        <v>2277</v>
      </c>
      <c r="N1381" t="s">
        <v>2277</v>
      </c>
      <c r="O1381" s="190" t="str">
        <f t="shared" si="21"/>
        <v>[S05_ContinuousEmissionsMeasurementDetail][1][FlueGasContainBiomass]</v>
      </c>
    </row>
    <row r="1382" spans="1:15" x14ac:dyDescent="0.3">
      <c r="A1382" t="s">
        <v>2278</v>
      </c>
      <c r="B1382" t="s">
        <v>1902</v>
      </c>
      <c r="C1382" t="s">
        <v>1904</v>
      </c>
      <c r="D1382">
        <v>2</v>
      </c>
      <c r="E1382" t="s">
        <v>1447</v>
      </c>
      <c r="F1382" t="s">
        <v>1909</v>
      </c>
      <c r="G1382" t="s">
        <v>1759</v>
      </c>
      <c r="H1382" t="s">
        <v>2277</v>
      </c>
      <c r="I1382" t="s">
        <v>2277</v>
      </c>
      <c r="J1382" t="s">
        <v>2277</v>
      </c>
      <c r="K1382" t="s">
        <v>2277</v>
      </c>
      <c r="L1382" t="s">
        <v>1447</v>
      </c>
      <c r="M1382" t="s">
        <v>2277</v>
      </c>
      <c r="N1382" t="s">
        <v>2277</v>
      </c>
      <c r="O1382" s="190" t="str">
        <f t="shared" si="21"/>
        <v>[S05_ContinuousEmissionsMeasurementDetail][2][FlueGasContainBiomass]</v>
      </c>
    </row>
    <row r="1383" spans="1:15" x14ac:dyDescent="0.3">
      <c r="A1383" t="s">
        <v>2278</v>
      </c>
      <c r="B1383" t="s">
        <v>1902</v>
      </c>
      <c r="C1383" t="s">
        <v>1904</v>
      </c>
      <c r="D1383">
        <v>3</v>
      </c>
      <c r="E1383" t="s">
        <v>1447</v>
      </c>
      <c r="F1383" t="s">
        <v>1909</v>
      </c>
      <c r="G1383" t="s">
        <v>1759</v>
      </c>
      <c r="H1383" t="s">
        <v>2277</v>
      </c>
      <c r="I1383" t="s">
        <v>2277</v>
      </c>
      <c r="J1383" t="s">
        <v>2277</v>
      </c>
      <c r="K1383" t="s">
        <v>2277</v>
      </c>
      <c r="L1383" t="s">
        <v>1447</v>
      </c>
      <c r="M1383" t="s">
        <v>2277</v>
      </c>
      <c r="N1383" t="s">
        <v>2277</v>
      </c>
      <c r="O1383" s="190" t="str">
        <f t="shared" si="21"/>
        <v>[S05_ContinuousEmissionsMeasurementDetail][3][FlueGasContainBiomass]</v>
      </c>
    </row>
    <row r="1384" spans="1:15" x14ac:dyDescent="0.3">
      <c r="A1384" t="s">
        <v>2278</v>
      </c>
      <c r="B1384" t="s">
        <v>1902</v>
      </c>
      <c r="C1384" t="s">
        <v>1904</v>
      </c>
      <c r="D1384">
        <v>4</v>
      </c>
      <c r="E1384" t="s">
        <v>1447</v>
      </c>
      <c r="F1384" t="s">
        <v>1909</v>
      </c>
      <c r="G1384" t="s">
        <v>1759</v>
      </c>
      <c r="H1384" t="s">
        <v>2277</v>
      </c>
      <c r="I1384" t="s">
        <v>2277</v>
      </c>
      <c r="J1384" t="s">
        <v>2277</v>
      </c>
      <c r="K1384" t="s">
        <v>2277</v>
      </c>
      <c r="L1384" t="s">
        <v>1447</v>
      </c>
      <c r="M1384" t="s">
        <v>2277</v>
      </c>
      <c r="N1384" t="s">
        <v>2277</v>
      </c>
      <c r="O1384" s="190" t="str">
        <f t="shared" si="21"/>
        <v>[S05_ContinuousEmissionsMeasurementDetail][4][FlueGasContainBiomass]</v>
      </c>
    </row>
    <row r="1385" spans="1:15" x14ac:dyDescent="0.3">
      <c r="A1385" t="s">
        <v>2278</v>
      </c>
      <c r="B1385" t="s">
        <v>1902</v>
      </c>
      <c r="C1385" t="s">
        <v>1904</v>
      </c>
      <c r="D1385">
        <v>5</v>
      </c>
      <c r="E1385" t="s">
        <v>1447</v>
      </c>
      <c r="F1385" t="s">
        <v>1909</v>
      </c>
      <c r="G1385" t="s">
        <v>1759</v>
      </c>
      <c r="H1385" t="s">
        <v>2277</v>
      </c>
      <c r="I1385" t="s">
        <v>2277</v>
      </c>
      <c r="J1385" t="s">
        <v>2277</v>
      </c>
      <c r="K1385" t="s">
        <v>2277</v>
      </c>
      <c r="L1385" t="s">
        <v>1447</v>
      </c>
      <c r="M1385" t="s">
        <v>2277</v>
      </c>
      <c r="N1385" t="s">
        <v>2277</v>
      </c>
      <c r="O1385" s="190" t="str">
        <f t="shared" si="21"/>
        <v>[S05_ContinuousEmissionsMeasurementDetail][5][FlueGasContainBiomass]</v>
      </c>
    </row>
    <row r="1386" spans="1:15" x14ac:dyDescent="0.3">
      <c r="A1386" t="s">
        <v>2278</v>
      </c>
      <c r="B1386" t="s">
        <v>1902</v>
      </c>
      <c r="C1386" t="s">
        <v>1904</v>
      </c>
      <c r="D1386">
        <v>6</v>
      </c>
      <c r="E1386" t="s">
        <v>1447</v>
      </c>
      <c r="F1386" t="s">
        <v>1909</v>
      </c>
      <c r="G1386" t="s">
        <v>1759</v>
      </c>
      <c r="H1386" t="s">
        <v>2277</v>
      </c>
      <c r="I1386" t="s">
        <v>2277</v>
      </c>
      <c r="J1386" t="s">
        <v>2277</v>
      </c>
      <c r="K1386" t="s">
        <v>2277</v>
      </c>
      <c r="L1386" t="s">
        <v>1447</v>
      </c>
      <c r="M1386" t="s">
        <v>2277</v>
      </c>
      <c r="N1386" t="s">
        <v>2277</v>
      </c>
      <c r="O1386" s="190" t="str">
        <f t="shared" si="21"/>
        <v>[S05_ContinuousEmissionsMeasurementDetail][6][FlueGasContainBiomass]</v>
      </c>
    </row>
    <row r="1387" spans="1:15" x14ac:dyDescent="0.3">
      <c r="A1387" t="s">
        <v>2278</v>
      </c>
      <c r="B1387" t="s">
        <v>1902</v>
      </c>
      <c r="C1387" t="s">
        <v>1904</v>
      </c>
      <c r="D1387">
        <v>7</v>
      </c>
      <c r="E1387" t="s">
        <v>1447</v>
      </c>
      <c r="F1387" t="s">
        <v>1909</v>
      </c>
      <c r="G1387" t="s">
        <v>1759</v>
      </c>
      <c r="H1387" t="s">
        <v>2277</v>
      </c>
      <c r="I1387" t="s">
        <v>2277</v>
      </c>
      <c r="J1387" t="s">
        <v>2277</v>
      </c>
      <c r="K1387" t="s">
        <v>2277</v>
      </c>
      <c r="L1387" t="s">
        <v>1447</v>
      </c>
      <c r="M1387" t="s">
        <v>2277</v>
      </c>
      <c r="N1387" t="s">
        <v>2277</v>
      </c>
      <c r="O1387" s="190" t="str">
        <f t="shared" si="21"/>
        <v>[S05_ContinuousEmissionsMeasurementDetail][7][FlueGasContainBiomass]</v>
      </c>
    </row>
    <row r="1388" spans="1:15" x14ac:dyDescent="0.3">
      <c r="A1388" t="s">
        <v>2278</v>
      </c>
      <c r="B1388" t="s">
        <v>1902</v>
      </c>
      <c r="C1388" t="s">
        <v>1904</v>
      </c>
      <c r="D1388">
        <v>8</v>
      </c>
      <c r="E1388" t="s">
        <v>1447</v>
      </c>
      <c r="F1388" t="s">
        <v>1909</v>
      </c>
      <c r="G1388" t="s">
        <v>1759</v>
      </c>
      <c r="H1388" t="s">
        <v>2277</v>
      </c>
      <c r="I1388" t="s">
        <v>2277</v>
      </c>
      <c r="J1388" t="s">
        <v>2277</v>
      </c>
      <c r="K1388" t="s">
        <v>2277</v>
      </c>
      <c r="L1388" t="s">
        <v>1447</v>
      </c>
      <c r="M1388" t="s">
        <v>2277</v>
      </c>
      <c r="N1388" t="s">
        <v>2277</v>
      </c>
      <c r="O1388" s="190" t="str">
        <f t="shared" si="21"/>
        <v>[S05_ContinuousEmissionsMeasurementDetail][8][FlueGasContainBiomass]</v>
      </c>
    </row>
    <row r="1389" spans="1:15" x14ac:dyDescent="0.3">
      <c r="A1389" t="s">
        <v>2278</v>
      </c>
      <c r="B1389" t="s">
        <v>1902</v>
      </c>
      <c r="C1389" t="s">
        <v>1904</v>
      </c>
      <c r="D1389">
        <v>9</v>
      </c>
      <c r="E1389" t="s">
        <v>1447</v>
      </c>
      <c r="F1389" t="s">
        <v>1909</v>
      </c>
      <c r="G1389" t="s">
        <v>1759</v>
      </c>
      <c r="H1389" t="s">
        <v>2277</v>
      </c>
      <c r="I1389" t="s">
        <v>2277</v>
      </c>
      <c r="J1389" t="s">
        <v>2277</v>
      </c>
      <c r="K1389" t="s">
        <v>2277</v>
      </c>
      <c r="L1389" t="s">
        <v>1447</v>
      </c>
      <c r="M1389" t="s">
        <v>2277</v>
      </c>
      <c r="N1389" t="s">
        <v>2277</v>
      </c>
      <c r="O1389" s="190" t="str">
        <f t="shared" si="21"/>
        <v>[S05_ContinuousEmissionsMeasurementDetail][9][FlueGasContainBiomass]</v>
      </c>
    </row>
    <row r="1390" spans="1:15" x14ac:dyDescent="0.3">
      <c r="A1390" t="s">
        <v>2278</v>
      </c>
      <c r="B1390" t="s">
        <v>1910</v>
      </c>
      <c r="C1390" t="s">
        <v>1911</v>
      </c>
      <c r="D1390">
        <v>0</v>
      </c>
      <c r="E1390" t="s">
        <v>1447</v>
      </c>
      <c r="F1390" t="s">
        <v>1911</v>
      </c>
      <c r="G1390" t="s">
        <v>1741</v>
      </c>
      <c r="H1390" t="s">
        <v>2335</v>
      </c>
      <c r="I1390" t="s">
        <v>2277</v>
      </c>
      <c r="J1390" t="s">
        <v>2277</v>
      </c>
      <c r="K1390" t="s">
        <v>2277</v>
      </c>
      <c r="L1390" t="s">
        <v>2277</v>
      </c>
      <c r="M1390" t="s">
        <v>2277</v>
      </c>
      <c r="N1390" t="s">
        <v>2277</v>
      </c>
      <c r="O1390" s="190" t="str">
        <f t="shared" si="21"/>
        <v>[SustainabilityComplianceDemonstrate][0][SustainabilityComplianceDemonstrate]</v>
      </c>
    </row>
    <row r="1391" spans="1:15" x14ac:dyDescent="0.3">
      <c r="A1391" t="s">
        <v>2278</v>
      </c>
      <c r="B1391" t="s">
        <v>1910</v>
      </c>
      <c r="C1391" t="s">
        <v>1912</v>
      </c>
      <c r="D1391">
        <v>1</v>
      </c>
      <c r="E1391" t="s">
        <v>1447</v>
      </c>
      <c r="F1391" t="s">
        <v>1888</v>
      </c>
      <c r="G1391" t="s">
        <v>1737</v>
      </c>
      <c r="H1391" t="s">
        <v>2277</v>
      </c>
      <c r="I1391" t="s">
        <v>2277</v>
      </c>
      <c r="J1391" t="s">
        <v>2277</v>
      </c>
      <c r="K1391" t="s">
        <v>2277</v>
      </c>
      <c r="L1391" t="s">
        <v>1420</v>
      </c>
      <c r="M1391" t="s">
        <v>2277</v>
      </c>
      <c r="N1391" t="s">
        <v>2277</v>
      </c>
      <c r="O1391" s="190" t="str">
        <f t="shared" si="21"/>
        <v>[S05_BiomassInstallations][1][Annex1Activity]</v>
      </c>
    </row>
    <row r="1392" spans="1:15" x14ac:dyDescent="0.3">
      <c r="A1392" t="s">
        <v>2278</v>
      </c>
      <c r="B1392" t="s">
        <v>1910</v>
      </c>
      <c r="C1392" t="s">
        <v>1912</v>
      </c>
      <c r="D1392">
        <v>2</v>
      </c>
      <c r="E1392" t="s">
        <v>1447</v>
      </c>
      <c r="F1392" t="s">
        <v>1888</v>
      </c>
      <c r="G1392" t="s">
        <v>1737</v>
      </c>
      <c r="H1392" t="s">
        <v>2277</v>
      </c>
      <c r="I1392" t="s">
        <v>2277</v>
      </c>
      <c r="J1392" t="s">
        <v>2277</v>
      </c>
      <c r="K1392" t="s">
        <v>2277</v>
      </c>
      <c r="L1392" t="s">
        <v>1420</v>
      </c>
      <c r="M1392" t="s">
        <v>2277</v>
      </c>
      <c r="N1392" t="s">
        <v>2277</v>
      </c>
      <c r="O1392" s="190" t="str">
        <f t="shared" si="21"/>
        <v>[S05_BiomassInstallations][2][Annex1Activity]</v>
      </c>
    </row>
    <row r="1393" spans="1:15" x14ac:dyDescent="0.3">
      <c r="A1393" t="s">
        <v>2278</v>
      </c>
      <c r="B1393" t="s">
        <v>1910</v>
      </c>
      <c r="C1393" t="s">
        <v>1912</v>
      </c>
      <c r="D1393">
        <v>3</v>
      </c>
      <c r="E1393" t="s">
        <v>1447</v>
      </c>
      <c r="F1393" t="s">
        <v>1888</v>
      </c>
      <c r="G1393" t="s">
        <v>1737</v>
      </c>
      <c r="H1393" t="s">
        <v>2277</v>
      </c>
      <c r="I1393" t="s">
        <v>2277</v>
      </c>
      <c r="J1393" t="s">
        <v>2277</v>
      </c>
      <c r="K1393" t="s">
        <v>2277</v>
      </c>
      <c r="L1393" t="s">
        <v>1420</v>
      </c>
      <c r="M1393" t="s">
        <v>2277</v>
      </c>
      <c r="N1393" t="s">
        <v>2277</v>
      </c>
      <c r="O1393" s="190" t="str">
        <f t="shared" si="21"/>
        <v>[S05_BiomassInstallations][3][Annex1Activity]</v>
      </c>
    </row>
    <row r="1394" spans="1:15" x14ac:dyDescent="0.3">
      <c r="A1394" t="s">
        <v>2278</v>
      </c>
      <c r="B1394" t="s">
        <v>1910</v>
      </c>
      <c r="C1394" t="s">
        <v>1912</v>
      </c>
      <c r="D1394">
        <v>4</v>
      </c>
      <c r="E1394" t="s">
        <v>1447</v>
      </c>
      <c r="F1394" t="s">
        <v>1888</v>
      </c>
      <c r="G1394" t="s">
        <v>1737</v>
      </c>
      <c r="H1394" t="s">
        <v>2277</v>
      </c>
      <c r="I1394" t="s">
        <v>2277</v>
      </c>
      <c r="J1394" t="s">
        <v>2277</v>
      </c>
      <c r="K1394" t="s">
        <v>2277</v>
      </c>
      <c r="L1394" t="s">
        <v>1557</v>
      </c>
      <c r="M1394" t="s">
        <v>2277</v>
      </c>
      <c r="N1394" t="s">
        <v>2277</v>
      </c>
      <c r="O1394" s="190" t="str">
        <f t="shared" si="21"/>
        <v>[S05_BiomassInstallations][4][Annex1Activity]</v>
      </c>
    </row>
    <row r="1395" spans="1:15" x14ac:dyDescent="0.3">
      <c r="A1395" t="s">
        <v>2278</v>
      </c>
      <c r="B1395" t="s">
        <v>1910</v>
      </c>
      <c r="C1395" t="s">
        <v>1912</v>
      </c>
      <c r="D1395">
        <v>5</v>
      </c>
      <c r="E1395" t="s">
        <v>1447</v>
      </c>
      <c r="F1395" t="s">
        <v>1888</v>
      </c>
      <c r="G1395" t="s">
        <v>1737</v>
      </c>
      <c r="H1395" t="s">
        <v>2277</v>
      </c>
      <c r="I1395" t="s">
        <v>2277</v>
      </c>
      <c r="J1395" t="s">
        <v>2277</v>
      </c>
      <c r="K1395" t="s">
        <v>2277</v>
      </c>
      <c r="L1395" t="s">
        <v>1557</v>
      </c>
      <c r="M1395" t="s">
        <v>2277</v>
      </c>
      <c r="N1395" t="s">
        <v>2277</v>
      </c>
      <c r="O1395" s="190" t="str">
        <f t="shared" si="21"/>
        <v>[S05_BiomassInstallations][5][Annex1Activity]</v>
      </c>
    </row>
    <row r="1396" spans="1:15" x14ac:dyDescent="0.3">
      <c r="A1396" t="s">
        <v>2278</v>
      </c>
      <c r="B1396" t="s">
        <v>1910</v>
      </c>
      <c r="C1396" t="s">
        <v>1912</v>
      </c>
      <c r="D1396">
        <v>6</v>
      </c>
      <c r="E1396" t="s">
        <v>1447</v>
      </c>
      <c r="F1396" t="s">
        <v>1888</v>
      </c>
      <c r="G1396" t="s">
        <v>1737</v>
      </c>
      <c r="H1396" t="s">
        <v>2277</v>
      </c>
      <c r="I1396" t="s">
        <v>2277</v>
      </c>
      <c r="J1396" t="s">
        <v>2277</v>
      </c>
      <c r="K1396" t="s">
        <v>2277</v>
      </c>
      <c r="L1396" t="s">
        <v>1577</v>
      </c>
      <c r="M1396" t="s">
        <v>2277</v>
      </c>
      <c r="N1396" t="s">
        <v>2277</v>
      </c>
      <c r="O1396" s="190" t="str">
        <f t="shared" si="21"/>
        <v>[S05_BiomassInstallations][6][Annex1Activity]</v>
      </c>
    </row>
    <row r="1397" spans="1:15" x14ac:dyDescent="0.3">
      <c r="A1397" t="s">
        <v>2278</v>
      </c>
      <c r="B1397" t="s">
        <v>1910</v>
      </c>
      <c r="C1397" t="s">
        <v>1912</v>
      </c>
      <c r="D1397">
        <v>7</v>
      </c>
      <c r="E1397" t="s">
        <v>1447</v>
      </c>
      <c r="F1397" t="s">
        <v>1888</v>
      </c>
      <c r="G1397" t="s">
        <v>1737</v>
      </c>
      <c r="H1397" t="s">
        <v>2277</v>
      </c>
      <c r="I1397" t="s">
        <v>2277</v>
      </c>
      <c r="J1397" t="s">
        <v>2277</v>
      </c>
      <c r="K1397" t="s">
        <v>2277</v>
      </c>
      <c r="L1397" t="s">
        <v>1562</v>
      </c>
      <c r="M1397" t="s">
        <v>2277</v>
      </c>
      <c r="N1397" t="s">
        <v>2277</v>
      </c>
      <c r="O1397" s="190" t="str">
        <f t="shared" si="21"/>
        <v>[S05_BiomassInstallations][7][Annex1Activity]</v>
      </c>
    </row>
    <row r="1398" spans="1:15" x14ac:dyDescent="0.3">
      <c r="A1398" t="s">
        <v>2278</v>
      </c>
      <c r="B1398" t="s">
        <v>1910</v>
      </c>
      <c r="C1398" t="s">
        <v>1912</v>
      </c>
      <c r="D1398">
        <v>8</v>
      </c>
      <c r="E1398" t="s">
        <v>1447</v>
      </c>
      <c r="F1398" t="s">
        <v>1888</v>
      </c>
      <c r="G1398" t="s">
        <v>1737</v>
      </c>
      <c r="H1398" t="s">
        <v>2277</v>
      </c>
      <c r="I1398" t="s">
        <v>2277</v>
      </c>
      <c r="J1398" t="s">
        <v>2277</v>
      </c>
      <c r="K1398" t="s">
        <v>2277</v>
      </c>
      <c r="L1398" t="s">
        <v>1562</v>
      </c>
      <c r="M1398" t="s">
        <v>2277</v>
      </c>
      <c r="N1398" t="s">
        <v>2277</v>
      </c>
      <c r="O1398" s="190" t="str">
        <f t="shared" si="21"/>
        <v>[S05_BiomassInstallations][8][Annex1Activity]</v>
      </c>
    </row>
    <row r="1399" spans="1:15" x14ac:dyDescent="0.3">
      <c r="A1399" t="s">
        <v>2278</v>
      </c>
      <c r="B1399" t="s">
        <v>1910</v>
      </c>
      <c r="C1399" t="s">
        <v>1912</v>
      </c>
      <c r="D1399">
        <v>9</v>
      </c>
      <c r="E1399" t="s">
        <v>1447</v>
      </c>
      <c r="F1399" t="s">
        <v>1888</v>
      </c>
      <c r="G1399" t="s">
        <v>1737</v>
      </c>
      <c r="H1399" t="s">
        <v>2277</v>
      </c>
      <c r="I1399" t="s">
        <v>2277</v>
      </c>
      <c r="J1399" t="s">
        <v>2277</v>
      </c>
      <c r="K1399" t="s">
        <v>2277</v>
      </c>
      <c r="L1399" t="s">
        <v>1582</v>
      </c>
      <c r="M1399" t="s">
        <v>2277</v>
      </c>
      <c r="N1399" t="s">
        <v>2277</v>
      </c>
      <c r="O1399" s="190" t="str">
        <f t="shared" si="21"/>
        <v>[S05_BiomassInstallations][9][Annex1Activity]</v>
      </c>
    </row>
    <row r="1400" spans="1:15" x14ac:dyDescent="0.3">
      <c r="A1400" t="s">
        <v>2278</v>
      </c>
      <c r="B1400" t="s">
        <v>1910</v>
      </c>
      <c r="C1400" t="s">
        <v>1912</v>
      </c>
      <c r="D1400">
        <v>10</v>
      </c>
      <c r="E1400" t="s">
        <v>1447</v>
      </c>
      <c r="F1400" t="s">
        <v>1888</v>
      </c>
      <c r="G1400" t="s">
        <v>1737</v>
      </c>
      <c r="H1400" t="s">
        <v>2277</v>
      </c>
      <c r="I1400" t="s">
        <v>2277</v>
      </c>
      <c r="J1400" t="s">
        <v>2277</v>
      </c>
      <c r="K1400" t="s">
        <v>2277</v>
      </c>
      <c r="L1400" t="s">
        <v>1597</v>
      </c>
      <c r="M1400" t="s">
        <v>2277</v>
      </c>
      <c r="N1400" t="s">
        <v>2277</v>
      </c>
      <c r="O1400" s="190" t="str">
        <f t="shared" si="21"/>
        <v>[S05_BiomassInstallations][10][Annex1Activity]</v>
      </c>
    </row>
    <row r="1401" spans="1:15" x14ac:dyDescent="0.3">
      <c r="A1401" t="s">
        <v>2278</v>
      </c>
      <c r="B1401" t="s">
        <v>1910</v>
      </c>
      <c r="C1401" t="s">
        <v>1912</v>
      </c>
      <c r="D1401">
        <v>11</v>
      </c>
      <c r="E1401" t="s">
        <v>1447</v>
      </c>
      <c r="F1401" t="s">
        <v>1888</v>
      </c>
      <c r="G1401" t="s">
        <v>1737</v>
      </c>
      <c r="H1401" t="s">
        <v>2277</v>
      </c>
      <c r="I1401" t="s">
        <v>2277</v>
      </c>
      <c r="J1401" t="s">
        <v>2277</v>
      </c>
      <c r="K1401" t="s">
        <v>2277</v>
      </c>
      <c r="L1401" t="s">
        <v>1597</v>
      </c>
      <c r="M1401" t="s">
        <v>2277</v>
      </c>
      <c r="N1401" t="s">
        <v>2277</v>
      </c>
      <c r="O1401" s="190" t="str">
        <f t="shared" si="21"/>
        <v>[S05_BiomassInstallations][11][Annex1Activity]</v>
      </c>
    </row>
    <row r="1402" spans="1:15" x14ac:dyDescent="0.3">
      <c r="A1402" t="s">
        <v>2278</v>
      </c>
      <c r="B1402" t="s">
        <v>1910</v>
      </c>
      <c r="C1402" t="s">
        <v>1912</v>
      </c>
      <c r="D1402">
        <v>12</v>
      </c>
      <c r="E1402" t="s">
        <v>1447</v>
      </c>
      <c r="F1402" t="s">
        <v>1888</v>
      </c>
      <c r="G1402" t="s">
        <v>1737</v>
      </c>
      <c r="H1402" t="s">
        <v>2277</v>
      </c>
      <c r="I1402" t="s">
        <v>2277</v>
      </c>
      <c r="J1402" t="s">
        <v>2277</v>
      </c>
      <c r="K1402" t="s">
        <v>2277</v>
      </c>
      <c r="L1402" t="s">
        <v>1597</v>
      </c>
      <c r="M1402" t="s">
        <v>2277</v>
      </c>
      <c r="N1402" t="s">
        <v>2277</v>
      </c>
      <c r="O1402" s="190" t="str">
        <f t="shared" si="21"/>
        <v>[S05_BiomassInstallations][12][Annex1Activity]</v>
      </c>
    </row>
    <row r="1403" spans="1:15" x14ac:dyDescent="0.3">
      <c r="A1403" t="s">
        <v>2278</v>
      </c>
      <c r="B1403" t="s">
        <v>1910</v>
      </c>
      <c r="C1403" t="s">
        <v>1912</v>
      </c>
      <c r="D1403">
        <v>1</v>
      </c>
      <c r="E1403" t="s">
        <v>1447</v>
      </c>
      <c r="F1403" t="s">
        <v>1913</v>
      </c>
      <c r="G1403" t="s">
        <v>1737</v>
      </c>
      <c r="H1403" t="s">
        <v>2277</v>
      </c>
      <c r="I1403" t="s">
        <v>2277</v>
      </c>
      <c r="J1403" t="s">
        <v>2277</v>
      </c>
      <c r="K1403" t="s">
        <v>2277</v>
      </c>
      <c r="L1403" t="s">
        <v>1432</v>
      </c>
      <c r="M1403" t="s">
        <v>2277</v>
      </c>
      <c r="N1403" t="s">
        <v>2277</v>
      </c>
      <c r="O1403" s="190" t="str">
        <f t="shared" si="21"/>
        <v>[S05_BiomassInstallations][1][BiomassInstallationCategory]</v>
      </c>
    </row>
    <row r="1404" spans="1:15" x14ac:dyDescent="0.3">
      <c r="A1404" t="s">
        <v>2278</v>
      </c>
      <c r="B1404" t="s">
        <v>1910</v>
      </c>
      <c r="C1404" t="s">
        <v>1912</v>
      </c>
      <c r="D1404">
        <v>2</v>
      </c>
      <c r="E1404" t="s">
        <v>1447</v>
      </c>
      <c r="F1404" t="s">
        <v>1913</v>
      </c>
      <c r="G1404" t="s">
        <v>1737</v>
      </c>
      <c r="H1404" t="s">
        <v>2277</v>
      </c>
      <c r="I1404" t="s">
        <v>2277</v>
      </c>
      <c r="J1404" t="s">
        <v>2277</v>
      </c>
      <c r="K1404" t="s">
        <v>2277</v>
      </c>
      <c r="L1404" t="s">
        <v>1460</v>
      </c>
      <c r="M1404" t="s">
        <v>2277</v>
      </c>
      <c r="N1404" t="s">
        <v>2277</v>
      </c>
      <c r="O1404" s="190" t="str">
        <f t="shared" si="21"/>
        <v>[S05_BiomassInstallations][2][BiomassInstallationCategory]</v>
      </c>
    </row>
    <row r="1405" spans="1:15" x14ac:dyDescent="0.3">
      <c r="A1405" t="s">
        <v>2278</v>
      </c>
      <c r="B1405" t="s">
        <v>1910</v>
      </c>
      <c r="C1405" t="s">
        <v>1912</v>
      </c>
      <c r="D1405">
        <v>3</v>
      </c>
      <c r="E1405" t="s">
        <v>1447</v>
      </c>
      <c r="F1405" t="s">
        <v>1913</v>
      </c>
      <c r="G1405" t="s">
        <v>1737</v>
      </c>
      <c r="H1405" t="s">
        <v>2277</v>
      </c>
      <c r="I1405" t="s">
        <v>2277</v>
      </c>
      <c r="J1405" t="s">
        <v>2277</v>
      </c>
      <c r="K1405" t="s">
        <v>2277</v>
      </c>
      <c r="L1405" t="s">
        <v>1487</v>
      </c>
      <c r="M1405" t="s">
        <v>2277</v>
      </c>
      <c r="N1405" t="s">
        <v>2277</v>
      </c>
      <c r="O1405" s="190" t="str">
        <f t="shared" si="21"/>
        <v>[S05_BiomassInstallations][3][BiomassInstallationCategory]</v>
      </c>
    </row>
    <row r="1406" spans="1:15" x14ac:dyDescent="0.3">
      <c r="A1406" t="s">
        <v>2278</v>
      </c>
      <c r="B1406" t="s">
        <v>1910</v>
      </c>
      <c r="C1406" t="s">
        <v>1912</v>
      </c>
      <c r="D1406">
        <v>4</v>
      </c>
      <c r="E1406" t="s">
        <v>1447</v>
      </c>
      <c r="F1406" t="s">
        <v>1913</v>
      </c>
      <c r="G1406" t="s">
        <v>1737</v>
      </c>
      <c r="H1406" t="s">
        <v>2277</v>
      </c>
      <c r="I1406" t="s">
        <v>2277</v>
      </c>
      <c r="J1406" t="s">
        <v>2277</v>
      </c>
      <c r="K1406" t="s">
        <v>2277</v>
      </c>
      <c r="L1406" t="s">
        <v>1460</v>
      </c>
      <c r="M1406" t="s">
        <v>2277</v>
      </c>
      <c r="N1406" t="s">
        <v>2277</v>
      </c>
      <c r="O1406" s="190" t="str">
        <f t="shared" si="21"/>
        <v>[S05_BiomassInstallations][4][BiomassInstallationCategory]</v>
      </c>
    </row>
    <row r="1407" spans="1:15" x14ac:dyDescent="0.3">
      <c r="A1407" t="s">
        <v>2278</v>
      </c>
      <c r="B1407" t="s">
        <v>1910</v>
      </c>
      <c r="C1407" t="s">
        <v>1912</v>
      </c>
      <c r="D1407">
        <v>5</v>
      </c>
      <c r="E1407" t="s">
        <v>1447</v>
      </c>
      <c r="F1407" t="s">
        <v>1913</v>
      </c>
      <c r="G1407" t="s">
        <v>1737</v>
      </c>
      <c r="H1407" t="s">
        <v>2277</v>
      </c>
      <c r="I1407" t="s">
        <v>2277</v>
      </c>
      <c r="J1407" t="s">
        <v>2277</v>
      </c>
      <c r="K1407" t="s">
        <v>2277</v>
      </c>
      <c r="L1407" t="s">
        <v>1487</v>
      </c>
      <c r="M1407" t="s">
        <v>2277</v>
      </c>
      <c r="N1407" t="s">
        <v>2277</v>
      </c>
      <c r="O1407" s="190" t="str">
        <f t="shared" si="21"/>
        <v>[S05_BiomassInstallations][5][BiomassInstallationCategory]</v>
      </c>
    </row>
    <row r="1408" spans="1:15" x14ac:dyDescent="0.3">
      <c r="A1408" t="s">
        <v>2278</v>
      </c>
      <c r="B1408" t="s">
        <v>1910</v>
      </c>
      <c r="C1408" t="s">
        <v>1912</v>
      </c>
      <c r="D1408">
        <v>6</v>
      </c>
      <c r="E1408" t="s">
        <v>1447</v>
      </c>
      <c r="F1408" t="s">
        <v>1913</v>
      </c>
      <c r="G1408" t="s">
        <v>1737</v>
      </c>
      <c r="H1408" t="s">
        <v>2277</v>
      </c>
      <c r="I1408" t="s">
        <v>2277</v>
      </c>
      <c r="J1408" t="s">
        <v>2277</v>
      </c>
      <c r="K1408" t="s">
        <v>2277</v>
      </c>
      <c r="L1408" t="s">
        <v>1432</v>
      </c>
      <c r="M1408" t="s">
        <v>2277</v>
      </c>
      <c r="N1408" t="s">
        <v>2277</v>
      </c>
      <c r="O1408" s="190" t="str">
        <f t="shared" si="21"/>
        <v>[S05_BiomassInstallations][6][BiomassInstallationCategory]</v>
      </c>
    </row>
    <row r="1409" spans="1:15" x14ac:dyDescent="0.3">
      <c r="A1409" t="s">
        <v>2278</v>
      </c>
      <c r="B1409" t="s">
        <v>1910</v>
      </c>
      <c r="C1409" t="s">
        <v>1912</v>
      </c>
      <c r="D1409">
        <v>7</v>
      </c>
      <c r="E1409" t="s">
        <v>1447</v>
      </c>
      <c r="F1409" t="s">
        <v>1913</v>
      </c>
      <c r="G1409" t="s">
        <v>1737</v>
      </c>
      <c r="H1409" t="s">
        <v>2277</v>
      </c>
      <c r="I1409" t="s">
        <v>2277</v>
      </c>
      <c r="J1409" t="s">
        <v>2277</v>
      </c>
      <c r="K1409" t="s">
        <v>2277</v>
      </c>
      <c r="L1409" t="s">
        <v>1460</v>
      </c>
      <c r="M1409" t="s">
        <v>2277</v>
      </c>
      <c r="N1409" t="s">
        <v>2277</v>
      </c>
      <c r="O1409" s="190" t="str">
        <f t="shared" si="21"/>
        <v>[S05_BiomassInstallations][7][BiomassInstallationCategory]</v>
      </c>
    </row>
    <row r="1410" spans="1:15" x14ac:dyDescent="0.3">
      <c r="A1410" t="s">
        <v>2278</v>
      </c>
      <c r="B1410" t="s">
        <v>1910</v>
      </c>
      <c r="C1410" t="s">
        <v>1912</v>
      </c>
      <c r="D1410">
        <v>8</v>
      </c>
      <c r="E1410" t="s">
        <v>1447</v>
      </c>
      <c r="F1410" t="s">
        <v>1913</v>
      </c>
      <c r="G1410" t="s">
        <v>1737</v>
      </c>
      <c r="H1410" t="s">
        <v>2277</v>
      </c>
      <c r="I1410" t="s">
        <v>2277</v>
      </c>
      <c r="J1410" t="s">
        <v>2277</v>
      </c>
      <c r="K1410" t="s">
        <v>2277</v>
      </c>
      <c r="L1410" t="s">
        <v>1487</v>
      </c>
      <c r="M1410" t="s">
        <v>2277</v>
      </c>
      <c r="N1410" t="s">
        <v>2277</v>
      </c>
      <c r="O1410" s="190" t="str">
        <f t="shared" ref="O1410:O1473" si="22">"["&amp;$C1410&amp;"]["&amp;$D1410&amp;"]["&amp;$F1410&amp;"]"</f>
        <v>[S05_BiomassInstallations][8][BiomassInstallationCategory]</v>
      </c>
    </row>
    <row r="1411" spans="1:15" x14ac:dyDescent="0.3">
      <c r="A1411" t="s">
        <v>2278</v>
      </c>
      <c r="B1411" t="s">
        <v>1910</v>
      </c>
      <c r="C1411" t="s">
        <v>1912</v>
      </c>
      <c r="D1411">
        <v>9</v>
      </c>
      <c r="E1411" t="s">
        <v>1447</v>
      </c>
      <c r="F1411" t="s">
        <v>1913</v>
      </c>
      <c r="G1411" t="s">
        <v>1737</v>
      </c>
      <c r="H1411" t="s">
        <v>2277</v>
      </c>
      <c r="I1411" t="s">
        <v>2277</v>
      </c>
      <c r="J1411" t="s">
        <v>2277</v>
      </c>
      <c r="K1411" t="s">
        <v>2277</v>
      </c>
      <c r="L1411" t="s">
        <v>1432</v>
      </c>
      <c r="M1411" t="s">
        <v>2277</v>
      </c>
      <c r="N1411" t="s">
        <v>2277</v>
      </c>
      <c r="O1411" s="190" t="str">
        <f t="shared" si="22"/>
        <v>[S05_BiomassInstallations][9][BiomassInstallationCategory]</v>
      </c>
    </row>
    <row r="1412" spans="1:15" x14ac:dyDescent="0.3">
      <c r="A1412" t="s">
        <v>2278</v>
      </c>
      <c r="B1412" t="s">
        <v>1910</v>
      </c>
      <c r="C1412" t="s">
        <v>1912</v>
      </c>
      <c r="D1412">
        <v>10</v>
      </c>
      <c r="E1412" t="s">
        <v>1447</v>
      </c>
      <c r="F1412" t="s">
        <v>1913</v>
      </c>
      <c r="G1412" t="s">
        <v>1737</v>
      </c>
      <c r="H1412" t="s">
        <v>2277</v>
      </c>
      <c r="I1412" t="s">
        <v>2277</v>
      </c>
      <c r="J1412" t="s">
        <v>2277</v>
      </c>
      <c r="K1412" t="s">
        <v>2277</v>
      </c>
      <c r="L1412" t="s">
        <v>1432</v>
      </c>
      <c r="M1412" t="s">
        <v>2277</v>
      </c>
      <c r="N1412" t="s">
        <v>2277</v>
      </c>
      <c r="O1412" s="190" t="str">
        <f t="shared" si="22"/>
        <v>[S05_BiomassInstallations][10][BiomassInstallationCategory]</v>
      </c>
    </row>
    <row r="1413" spans="1:15" x14ac:dyDescent="0.3">
      <c r="A1413" t="s">
        <v>2278</v>
      </c>
      <c r="B1413" t="s">
        <v>1910</v>
      </c>
      <c r="C1413" t="s">
        <v>1912</v>
      </c>
      <c r="D1413">
        <v>11</v>
      </c>
      <c r="E1413" t="s">
        <v>1447</v>
      </c>
      <c r="F1413" t="s">
        <v>1913</v>
      </c>
      <c r="G1413" t="s">
        <v>1737</v>
      </c>
      <c r="H1413" t="s">
        <v>2277</v>
      </c>
      <c r="I1413" t="s">
        <v>2277</v>
      </c>
      <c r="J1413" t="s">
        <v>2277</v>
      </c>
      <c r="K1413" t="s">
        <v>2277</v>
      </c>
      <c r="L1413" t="s">
        <v>1460</v>
      </c>
      <c r="M1413" t="s">
        <v>2277</v>
      </c>
      <c r="N1413" t="s">
        <v>2277</v>
      </c>
      <c r="O1413" s="190" t="str">
        <f t="shared" si="22"/>
        <v>[S05_BiomassInstallations][11][BiomassInstallationCategory]</v>
      </c>
    </row>
    <row r="1414" spans="1:15" x14ac:dyDescent="0.3">
      <c r="A1414" t="s">
        <v>2278</v>
      </c>
      <c r="B1414" t="s">
        <v>1910</v>
      </c>
      <c r="C1414" t="s">
        <v>1912</v>
      </c>
      <c r="D1414">
        <v>12</v>
      </c>
      <c r="E1414" t="s">
        <v>1447</v>
      </c>
      <c r="F1414" t="s">
        <v>1913</v>
      </c>
      <c r="G1414" t="s">
        <v>1737</v>
      </c>
      <c r="H1414" t="s">
        <v>2277</v>
      </c>
      <c r="I1414" t="s">
        <v>2277</v>
      </c>
      <c r="J1414" t="s">
        <v>2277</v>
      </c>
      <c r="K1414" t="s">
        <v>2277</v>
      </c>
      <c r="L1414" t="s">
        <v>1487</v>
      </c>
      <c r="M1414" t="s">
        <v>2277</v>
      </c>
      <c r="N1414" t="s">
        <v>2277</v>
      </c>
      <c r="O1414" s="190" t="str">
        <f t="shared" si="22"/>
        <v>[S05_BiomassInstallations][12][BiomassInstallationCategory]</v>
      </c>
    </row>
    <row r="1415" spans="1:15" x14ac:dyDescent="0.3">
      <c r="A1415" t="s">
        <v>2278</v>
      </c>
      <c r="B1415" t="s">
        <v>1910</v>
      </c>
      <c r="C1415" t="s">
        <v>1912</v>
      </c>
      <c r="D1415">
        <v>1</v>
      </c>
      <c r="E1415" t="s">
        <v>1447</v>
      </c>
      <c r="F1415" t="s">
        <v>1914</v>
      </c>
      <c r="G1415" t="s">
        <v>1748</v>
      </c>
      <c r="H1415" t="s">
        <v>2277</v>
      </c>
      <c r="I1415">
        <v>42</v>
      </c>
      <c r="J1415" t="s">
        <v>2277</v>
      </c>
      <c r="K1415" t="s">
        <v>2277</v>
      </c>
      <c r="L1415" t="s">
        <v>2277</v>
      </c>
      <c r="M1415" t="s">
        <v>2277</v>
      </c>
      <c r="N1415" t="s">
        <v>2277</v>
      </c>
      <c r="O1415" s="190" t="str">
        <f t="shared" si="22"/>
        <v>[S05_BiomassInstallations][1][NumberUsingBiomass]</v>
      </c>
    </row>
    <row r="1416" spans="1:15" x14ac:dyDescent="0.3">
      <c r="A1416" t="s">
        <v>2278</v>
      </c>
      <c r="B1416" t="s">
        <v>1910</v>
      </c>
      <c r="C1416" t="s">
        <v>1912</v>
      </c>
      <c r="D1416">
        <v>2</v>
      </c>
      <c r="E1416" t="s">
        <v>1447</v>
      </c>
      <c r="F1416" t="s">
        <v>1914</v>
      </c>
      <c r="G1416" t="s">
        <v>1748</v>
      </c>
      <c r="H1416" t="s">
        <v>2277</v>
      </c>
      <c r="I1416">
        <v>33</v>
      </c>
      <c r="J1416" t="s">
        <v>2277</v>
      </c>
      <c r="K1416" t="s">
        <v>2277</v>
      </c>
      <c r="L1416" t="s">
        <v>2277</v>
      </c>
      <c r="M1416" t="s">
        <v>2277</v>
      </c>
      <c r="N1416" t="s">
        <v>2277</v>
      </c>
      <c r="O1416" s="190" t="str">
        <f t="shared" si="22"/>
        <v>[S05_BiomassInstallations][2][NumberUsingBiomass]</v>
      </c>
    </row>
    <row r="1417" spans="1:15" x14ac:dyDescent="0.3">
      <c r="A1417" t="s">
        <v>2278</v>
      </c>
      <c r="B1417" t="s">
        <v>1910</v>
      </c>
      <c r="C1417" t="s">
        <v>1912</v>
      </c>
      <c r="D1417">
        <v>3</v>
      </c>
      <c r="E1417" t="s">
        <v>1447</v>
      </c>
      <c r="F1417" t="s">
        <v>1914</v>
      </c>
      <c r="G1417" t="s">
        <v>1748</v>
      </c>
      <c r="H1417" t="s">
        <v>2277</v>
      </c>
      <c r="I1417">
        <v>9</v>
      </c>
      <c r="J1417" t="s">
        <v>2277</v>
      </c>
      <c r="K1417" t="s">
        <v>2277</v>
      </c>
      <c r="L1417" t="s">
        <v>2277</v>
      </c>
      <c r="M1417" t="s">
        <v>2277</v>
      </c>
      <c r="N1417" t="s">
        <v>2277</v>
      </c>
      <c r="O1417" s="190" t="str">
        <f t="shared" si="22"/>
        <v>[S05_BiomassInstallations][3][NumberUsingBiomass]</v>
      </c>
    </row>
    <row r="1418" spans="1:15" x14ac:dyDescent="0.3">
      <c r="A1418" t="s">
        <v>2278</v>
      </c>
      <c r="B1418" t="s">
        <v>1910</v>
      </c>
      <c r="C1418" t="s">
        <v>1912</v>
      </c>
      <c r="D1418">
        <v>4</v>
      </c>
      <c r="E1418" t="s">
        <v>1447</v>
      </c>
      <c r="F1418" t="s">
        <v>1914</v>
      </c>
      <c r="G1418" t="s">
        <v>1748</v>
      </c>
      <c r="H1418" t="s">
        <v>2277</v>
      </c>
      <c r="I1418">
        <v>2</v>
      </c>
      <c r="J1418" t="s">
        <v>2277</v>
      </c>
      <c r="K1418" t="s">
        <v>2277</v>
      </c>
      <c r="L1418" t="s">
        <v>2277</v>
      </c>
      <c r="M1418" t="s">
        <v>2277</v>
      </c>
      <c r="N1418" t="s">
        <v>2277</v>
      </c>
      <c r="O1418" s="190" t="str">
        <f t="shared" si="22"/>
        <v>[S05_BiomassInstallations][4][NumberUsingBiomass]</v>
      </c>
    </row>
    <row r="1419" spans="1:15" x14ac:dyDescent="0.3">
      <c r="A1419" t="s">
        <v>2278</v>
      </c>
      <c r="B1419" t="s">
        <v>1910</v>
      </c>
      <c r="C1419" t="s">
        <v>1912</v>
      </c>
      <c r="D1419">
        <v>5</v>
      </c>
      <c r="E1419" t="s">
        <v>1447</v>
      </c>
      <c r="F1419" t="s">
        <v>1914</v>
      </c>
      <c r="G1419" t="s">
        <v>1748</v>
      </c>
      <c r="H1419" t="s">
        <v>2277</v>
      </c>
      <c r="I1419">
        <v>1</v>
      </c>
      <c r="J1419" t="s">
        <v>2277</v>
      </c>
      <c r="K1419" t="s">
        <v>2277</v>
      </c>
      <c r="L1419" t="s">
        <v>2277</v>
      </c>
      <c r="M1419" t="s">
        <v>2277</v>
      </c>
      <c r="N1419" t="s">
        <v>2277</v>
      </c>
      <c r="O1419" s="190" t="str">
        <f t="shared" si="22"/>
        <v>[S05_BiomassInstallations][5][NumberUsingBiomass]</v>
      </c>
    </row>
    <row r="1420" spans="1:15" x14ac:dyDescent="0.3">
      <c r="A1420" t="s">
        <v>2278</v>
      </c>
      <c r="B1420" t="s">
        <v>1910</v>
      </c>
      <c r="C1420" t="s">
        <v>1912</v>
      </c>
      <c r="D1420">
        <v>6</v>
      </c>
      <c r="E1420" t="s">
        <v>1447</v>
      </c>
      <c r="F1420" t="s">
        <v>1914</v>
      </c>
      <c r="G1420" t="s">
        <v>1748</v>
      </c>
      <c r="H1420" t="s">
        <v>2277</v>
      </c>
      <c r="I1420">
        <v>8</v>
      </c>
      <c r="J1420" t="s">
        <v>2277</v>
      </c>
      <c r="K1420" t="s">
        <v>2277</v>
      </c>
      <c r="L1420" t="s">
        <v>2277</v>
      </c>
      <c r="M1420" t="s">
        <v>2277</v>
      </c>
      <c r="N1420" t="s">
        <v>2277</v>
      </c>
      <c r="O1420" s="190" t="str">
        <f t="shared" si="22"/>
        <v>[S05_BiomassInstallations][6][NumberUsingBiomass]</v>
      </c>
    </row>
    <row r="1421" spans="1:15" x14ac:dyDescent="0.3">
      <c r="A1421" t="s">
        <v>2278</v>
      </c>
      <c r="B1421" t="s">
        <v>1910</v>
      </c>
      <c r="C1421" t="s">
        <v>1912</v>
      </c>
      <c r="D1421">
        <v>7</v>
      </c>
      <c r="E1421" t="s">
        <v>1447</v>
      </c>
      <c r="F1421" t="s">
        <v>1914</v>
      </c>
      <c r="G1421" t="s">
        <v>1748</v>
      </c>
      <c r="H1421" t="s">
        <v>2277</v>
      </c>
      <c r="I1421">
        <v>2</v>
      </c>
      <c r="J1421" t="s">
        <v>2277</v>
      </c>
      <c r="K1421" t="s">
        <v>2277</v>
      </c>
      <c r="L1421" t="s">
        <v>2277</v>
      </c>
      <c r="M1421" t="s">
        <v>2277</v>
      </c>
      <c r="N1421" t="s">
        <v>2277</v>
      </c>
      <c r="O1421" s="190" t="str">
        <f t="shared" si="22"/>
        <v>[S05_BiomassInstallations][7][NumberUsingBiomass]</v>
      </c>
    </row>
    <row r="1422" spans="1:15" x14ac:dyDescent="0.3">
      <c r="A1422" t="s">
        <v>2278</v>
      </c>
      <c r="B1422" t="s">
        <v>1910</v>
      </c>
      <c r="C1422" t="s">
        <v>1912</v>
      </c>
      <c r="D1422">
        <v>8</v>
      </c>
      <c r="E1422" t="s">
        <v>1447</v>
      </c>
      <c r="F1422" t="s">
        <v>1914</v>
      </c>
      <c r="G1422" t="s">
        <v>1748</v>
      </c>
      <c r="H1422" t="s">
        <v>2277</v>
      </c>
      <c r="I1422">
        <v>7</v>
      </c>
      <c r="J1422" t="s">
        <v>2277</v>
      </c>
      <c r="K1422" t="s">
        <v>2277</v>
      </c>
      <c r="L1422" t="s">
        <v>2277</v>
      </c>
      <c r="M1422" t="s">
        <v>2277</v>
      </c>
      <c r="N1422" t="s">
        <v>2277</v>
      </c>
      <c r="O1422" s="190" t="str">
        <f t="shared" si="22"/>
        <v>[S05_BiomassInstallations][8][NumberUsingBiomass]</v>
      </c>
    </row>
    <row r="1423" spans="1:15" x14ac:dyDescent="0.3">
      <c r="A1423" t="s">
        <v>2278</v>
      </c>
      <c r="B1423" t="s">
        <v>1910</v>
      </c>
      <c r="C1423" t="s">
        <v>1912</v>
      </c>
      <c r="D1423">
        <v>9</v>
      </c>
      <c r="E1423" t="s">
        <v>1447</v>
      </c>
      <c r="F1423" t="s">
        <v>1914</v>
      </c>
      <c r="G1423" t="s">
        <v>1748</v>
      </c>
      <c r="H1423" t="s">
        <v>2277</v>
      </c>
      <c r="I1423">
        <v>1</v>
      </c>
      <c r="J1423" t="s">
        <v>2277</v>
      </c>
      <c r="K1423" t="s">
        <v>2277</v>
      </c>
      <c r="L1423" t="s">
        <v>2277</v>
      </c>
      <c r="M1423" t="s">
        <v>2277</v>
      </c>
      <c r="N1423" t="s">
        <v>2277</v>
      </c>
      <c r="O1423" s="190" t="str">
        <f t="shared" si="22"/>
        <v>[S05_BiomassInstallations][9][NumberUsingBiomass]</v>
      </c>
    </row>
    <row r="1424" spans="1:15" x14ac:dyDescent="0.3">
      <c r="A1424" t="s">
        <v>2278</v>
      </c>
      <c r="B1424" t="s">
        <v>1910</v>
      </c>
      <c r="C1424" t="s">
        <v>1912</v>
      </c>
      <c r="D1424">
        <v>10</v>
      </c>
      <c r="E1424" t="s">
        <v>1447</v>
      </c>
      <c r="F1424" t="s">
        <v>1914</v>
      </c>
      <c r="G1424" t="s">
        <v>1748</v>
      </c>
      <c r="H1424" t="s">
        <v>2277</v>
      </c>
      <c r="I1424">
        <v>4</v>
      </c>
      <c r="J1424" t="s">
        <v>2277</v>
      </c>
      <c r="K1424" t="s">
        <v>2277</v>
      </c>
      <c r="L1424" t="s">
        <v>2277</v>
      </c>
      <c r="M1424" t="s">
        <v>2277</v>
      </c>
      <c r="N1424" t="s">
        <v>2277</v>
      </c>
      <c r="O1424" s="190" t="str">
        <f t="shared" si="22"/>
        <v>[S05_BiomassInstallations][10][NumberUsingBiomass]</v>
      </c>
    </row>
    <row r="1425" spans="1:15" x14ac:dyDescent="0.3">
      <c r="A1425" t="s">
        <v>2278</v>
      </c>
      <c r="B1425" t="s">
        <v>1910</v>
      </c>
      <c r="C1425" t="s">
        <v>1912</v>
      </c>
      <c r="D1425">
        <v>11</v>
      </c>
      <c r="E1425" t="s">
        <v>1447</v>
      </c>
      <c r="F1425" t="s">
        <v>1914</v>
      </c>
      <c r="G1425" t="s">
        <v>1748</v>
      </c>
      <c r="H1425" t="s">
        <v>2277</v>
      </c>
      <c r="I1425">
        <v>2</v>
      </c>
      <c r="J1425" t="s">
        <v>2277</v>
      </c>
      <c r="K1425" t="s">
        <v>2277</v>
      </c>
      <c r="L1425" t="s">
        <v>2277</v>
      </c>
      <c r="M1425" t="s">
        <v>2277</v>
      </c>
      <c r="N1425" t="s">
        <v>2277</v>
      </c>
      <c r="O1425" s="190" t="str">
        <f t="shared" si="22"/>
        <v>[S05_BiomassInstallations][11][NumberUsingBiomass]</v>
      </c>
    </row>
    <row r="1426" spans="1:15" x14ac:dyDescent="0.3">
      <c r="A1426" t="s">
        <v>2278</v>
      </c>
      <c r="B1426" t="s">
        <v>1910</v>
      </c>
      <c r="C1426" t="s">
        <v>1912</v>
      </c>
      <c r="D1426">
        <v>12</v>
      </c>
      <c r="E1426" t="s">
        <v>1447</v>
      </c>
      <c r="F1426" t="s">
        <v>1914</v>
      </c>
      <c r="G1426" t="s">
        <v>1748</v>
      </c>
      <c r="H1426" t="s">
        <v>2277</v>
      </c>
      <c r="I1426">
        <v>1</v>
      </c>
      <c r="J1426" t="s">
        <v>2277</v>
      </c>
      <c r="K1426" t="s">
        <v>2277</v>
      </c>
      <c r="L1426" t="s">
        <v>2277</v>
      </c>
      <c r="M1426" t="s">
        <v>2277</v>
      </c>
      <c r="N1426" t="s">
        <v>2277</v>
      </c>
      <c r="O1426" s="190" t="str">
        <f t="shared" si="22"/>
        <v>[S05_BiomassInstallations][12][NumberUsingBiomass]</v>
      </c>
    </row>
    <row r="1427" spans="1:15" x14ac:dyDescent="0.3">
      <c r="A1427" t="s">
        <v>2278</v>
      </c>
      <c r="B1427" t="s">
        <v>1910</v>
      </c>
      <c r="C1427" t="s">
        <v>1912</v>
      </c>
      <c r="D1427">
        <v>1</v>
      </c>
      <c r="E1427" t="s">
        <v>1447</v>
      </c>
      <c r="F1427" t="s">
        <v>1915</v>
      </c>
      <c r="G1427" t="s">
        <v>1806</v>
      </c>
      <c r="H1427" t="s">
        <v>2277</v>
      </c>
      <c r="I1427" t="s">
        <v>2277</v>
      </c>
      <c r="J1427">
        <v>2729626.11927087</v>
      </c>
      <c r="K1427" t="s">
        <v>2277</v>
      </c>
      <c r="L1427" t="s">
        <v>2277</v>
      </c>
      <c r="M1427" t="s">
        <v>2277</v>
      </c>
      <c r="N1427" t="s">
        <v>2277</v>
      </c>
      <c r="O1427" s="190" t="str">
        <f t="shared" si="22"/>
        <v>[S05_BiomassInstallations][1][EmissionsBiomassSustainabilitySatisfied]</v>
      </c>
    </row>
    <row r="1428" spans="1:15" x14ac:dyDescent="0.3">
      <c r="A1428" t="s">
        <v>2278</v>
      </c>
      <c r="B1428" t="s">
        <v>1910</v>
      </c>
      <c r="C1428" t="s">
        <v>1912</v>
      </c>
      <c r="D1428">
        <v>2</v>
      </c>
      <c r="E1428" t="s">
        <v>1447</v>
      </c>
      <c r="F1428" t="s">
        <v>1915</v>
      </c>
      <c r="G1428" t="s">
        <v>1806</v>
      </c>
      <c r="H1428" t="s">
        <v>2277</v>
      </c>
      <c r="I1428" t="s">
        <v>2277</v>
      </c>
      <c r="J1428">
        <v>2513842.2973197098</v>
      </c>
      <c r="K1428" t="s">
        <v>2277</v>
      </c>
      <c r="L1428" t="s">
        <v>2277</v>
      </c>
      <c r="M1428" t="s">
        <v>2277</v>
      </c>
      <c r="N1428" t="s">
        <v>2277</v>
      </c>
      <c r="O1428" s="190" t="str">
        <f t="shared" si="22"/>
        <v>[S05_BiomassInstallations][2][EmissionsBiomassSustainabilitySatisfied]</v>
      </c>
    </row>
    <row r="1429" spans="1:15" x14ac:dyDescent="0.3">
      <c r="A1429" t="s">
        <v>2278</v>
      </c>
      <c r="B1429" t="s">
        <v>1910</v>
      </c>
      <c r="C1429" t="s">
        <v>1912</v>
      </c>
      <c r="D1429">
        <v>3</v>
      </c>
      <c r="E1429" t="s">
        <v>1447</v>
      </c>
      <c r="F1429" t="s">
        <v>1915</v>
      </c>
      <c r="G1429" t="s">
        <v>1806</v>
      </c>
      <c r="H1429" t="s">
        <v>2277</v>
      </c>
      <c r="I1429" t="s">
        <v>2277</v>
      </c>
      <c r="J1429">
        <v>4173636.3569999998</v>
      </c>
      <c r="K1429" t="s">
        <v>2277</v>
      </c>
      <c r="L1429" t="s">
        <v>2277</v>
      </c>
      <c r="M1429" t="s">
        <v>2277</v>
      </c>
      <c r="N1429" t="s">
        <v>2277</v>
      </c>
      <c r="O1429" s="190" t="str">
        <f t="shared" si="22"/>
        <v>[S05_BiomassInstallations][3][EmissionsBiomassSustainabilitySatisfied]</v>
      </c>
    </row>
    <row r="1430" spans="1:15" x14ac:dyDescent="0.3">
      <c r="A1430" t="s">
        <v>2278</v>
      </c>
      <c r="B1430" t="s">
        <v>1910</v>
      </c>
      <c r="C1430" t="s">
        <v>1912</v>
      </c>
      <c r="D1430">
        <v>4</v>
      </c>
      <c r="E1430" t="s">
        <v>1447</v>
      </c>
      <c r="F1430" t="s">
        <v>1915</v>
      </c>
      <c r="G1430" t="s">
        <v>1806</v>
      </c>
      <c r="H1430" t="s">
        <v>2277</v>
      </c>
      <c r="I1430" t="s">
        <v>2277</v>
      </c>
      <c r="J1430">
        <v>38368.496238020904</v>
      </c>
      <c r="K1430" t="s">
        <v>2277</v>
      </c>
      <c r="L1430" t="s">
        <v>2277</v>
      </c>
      <c r="M1430" t="s">
        <v>2277</v>
      </c>
      <c r="N1430" t="s">
        <v>2277</v>
      </c>
      <c r="O1430" s="190" t="str">
        <f t="shared" si="22"/>
        <v>[S05_BiomassInstallations][4][EmissionsBiomassSustainabilitySatisfied]</v>
      </c>
    </row>
    <row r="1431" spans="1:15" x14ac:dyDescent="0.3">
      <c r="A1431" t="s">
        <v>2278</v>
      </c>
      <c r="B1431" t="s">
        <v>1910</v>
      </c>
      <c r="C1431" t="s">
        <v>1912</v>
      </c>
      <c r="D1431">
        <v>5</v>
      </c>
      <c r="E1431" t="s">
        <v>1447</v>
      </c>
      <c r="F1431" t="s">
        <v>1915</v>
      </c>
      <c r="G1431" t="s">
        <v>1806</v>
      </c>
      <c r="H1431" t="s">
        <v>2277</v>
      </c>
      <c r="I1431" t="s">
        <v>2277</v>
      </c>
      <c r="J1431">
        <v>2544</v>
      </c>
      <c r="K1431" t="s">
        <v>2277</v>
      </c>
      <c r="L1431" t="s">
        <v>2277</v>
      </c>
      <c r="M1431" t="s">
        <v>2277</v>
      </c>
      <c r="N1431" t="s">
        <v>2277</v>
      </c>
      <c r="O1431" s="190" t="str">
        <f t="shared" si="22"/>
        <v>[S05_BiomassInstallations][5][EmissionsBiomassSustainabilitySatisfied]</v>
      </c>
    </row>
    <row r="1432" spans="1:15" x14ac:dyDescent="0.3">
      <c r="A1432" t="s">
        <v>2278</v>
      </c>
      <c r="B1432" t="s">
        <v>1910</v>
      </c>
      <c r="C1432" t="s">
        <v>1912</v>
      </c>
      <c r="D1432">
        <v>6</v>
      </c>
      <c r="E1432" t="s">
        <v>1447</v>
      </c>
      <c r="F1432" t="s">
        <v>1915</v>
      </c>
      <c r="G1432" t="s">
        <v>1806</v>
      </c>
      <c r="H1432" t="s">
        <v>2277</v>
      </c>
      <c r="I1432" t="s">
        <v>2277</v>
      </c>
      <c r="J1432">
        <v>62429.475150245104</v>
      </c>
      <c r="K1432" t="s">
        <v>2277</v>
      </c>
      <c r="L1432" t="s">
        <v>2277</v>
      </c>
      <c r="M1432" t="s">
        <v>2277</v>
      </c>
      <c r="N1432" t="s">
        <v>2277</v>
      </c>
      <c r="O1432" s="190" t="str">
        <f t="shared" si="22"/>
        <v>[S05_BiomassInstallations][6][EmissionsBiomassSustainabilitySatisfied]</v>
      </c>
    </row>
    <row r="1433" spans="1:15" x14ac:dyDescent="0.3">
      <c r="A1433" t="s">
        <v>2278</v>
      </c>
      <c r="B1433" t="s">
        <v>1910</v>
      </c>
      <c r="C1433" t="s">
        <v>1912</v>
      </c>
      <c r="D1433">
        <v>7</v>
      </c>
      <c r="E1433" t="s">
        <v>1447</v>
      </c>
      <c r="F1433" t="s">
        <v>1915</v>
      </c>
      <c r="G1433" t="s">
        <v>1806</v>
      </c>
      <c r="H1433" t="s">
        <v>2277</v>
      </c>
      <c r="I1433" t="s">
        <v>2277</v>
      </c>
      <c r="J1433">
        <v>68065.774367807695</v>
      </c>
      <c r="K1433" t="s">
        <v>2277</v>
      </c>
      <c r="L1433" t="s">
        <v>2277</v>
      </c>
      <c r="M1433" t="s">
        <v>2277</v>
      </c>
      <c r="N1433" t="s">
        <v>2277</v>
      </c>
      <c r="O1433" s="190" t="str">
        <f t="shared" si="22"/>
        <v>[S05_BiomassInstallations][7][EmissionsBiomassSustainabilitySatisfied]</v>
      </c>
    </row>
    <row r="1434" spans="1:15" x14ac:dyDescent="0.3">
      <c r="A1434" t="s">
        <v>2278</v>
      </c>
      <c r="B1434" t="s">
        <v>1910</v>
      </c>
      <c r="C1434" t="s">
        <v>1912</v>
      </c>
      <c r="D1434">
        <v>8</v>
      </c>
      <c r="E1434" t="s">
        <v>1447</v>
      </c>
      <c r="F1434" t="s">
        <v>1915</v>
      </c>
      <c r="G1434" t="s">
        <v>1806</v>
      </c>
      <c r="H1434" t="s">
        <v>2277</v>
      </c>
      <c r="I1434" t="s">
        <v>2277</v>
      </c>
      <c r="J1434">
        <v>1261823.69728835</v>
      </c>
      <c r="K1434" t="s">
        <v>2277</v>
      </c>
      <c r="L1434" t="s">
        <v>2277</v>
      </c>
      <c r="M1434" t="s">
        <v>2277</v>
      </c>
      <c r="N1434" t="s">
        <v>2277</v>
      </c>
      <c r="O1434" s="190" t="str">
        <f t="shared" si="22"/>
        <v>[S05_BiomassInstallations][8][EmissionsBiomassSustainabilitySatisfied]</v>
      </c>
    </row>
    <row r="1435" spans="1:15" x14ac:dyDescent="0.3">
      <c r="A1435" t="s">
        <v>2278</v>
      </c>
      <c r="B1435" t="s">
        <v>1910</v>
      </c>
      <c r="C1435" t="s">
        <v>1912</v>
      </c>
      <c r="D1435">
        <v>9</v>
      </c>
      <c r="E1435" t="s">
        <v>1447</v>
      </c>
      <c r="F1435" t="s">
        <v>1915</v>
      </c>
      <c r="G1435" t="s">
        <v>1806</v>
      </c>
      <c r="H1435" t="s">
        <v>2277</v>
      </c>
      <c r="I1435" t="s">
        <v>2277</v>
      </c>
      <c r="J1435">
        <v>22.643712000000001</v>
      </c>
      <c r="K1435" t="s">
        <v>2277</v>
      </c>
      <c r="L1435" t="s">
        <v>2277</v>
      </c>
      <c r="M1435" t="s">
        <v>2277</v>
      </c>
      <c r="N1435" t="s">
        <v>2277</v>
      </c>
      <c r="O1435" s="190" t="str">
        <f t="shared" si="22"/>
        <v>[S05_BiomassInstallations][9][EmissionsBiomassSustainabilitySatisfied]</v>
      </c>
    </row>
    <row r="1436" spans="1:15" x14ac:dyDescent="0.3">
      <c r="A1436" t="s">
        <v>2278</v>
      </c>
      <c r="B1436" t="s">
        <v>1910</v>
      </c>
      <c r="C1436" t="s">
        <v>1912</v>
      </c>
      <c r="D1436">
        <v>10</v>
      </c>
      <c r="E1436" t="s">
        <v>1447</v>
      </c>
      <c r="F1436" t="s">
        <v>1915</v>
      </c>
      <c r="G1436" t="s">
        <v>1806</v>
      </c>
      <c r="H1436" t="s">
        <v>2277</v>
      </c>
      <c r="I1436" t="s">
        <v>2277</v>
      </c>
      <c r="J1436">
        <v>160546.11858623999</v>
      </c>
      <c r="K1436" t="s">
        <v>2277</v>
      </c>
      <c r="L1436" t="s">
        <v>2277</v>
      </c>
      <c r="M1436" t="s">
        <v>2277</v>
      </c>
      <c r="N1436" t="s">
        <v>2277</v>
      </c>
      <c r="O1436" s="190" t="str">
        <f t="shared" si="22"/>
        <v>[S05_BiomassInstallations][10][EmissionsBiomassSustainabilitySatisfied]</v>
      </c>
    </row>
    <row r="1437" spans="1:15" x14ac:dyDescent="0.3">
      <c r="A1437" t="s">
        <v>2278</v>
      </c>
      <c r="B1437" t="s">
        <v>1910</v>
      </c>
      <c r="C1437" t="s">
        <v>1912</v>
      </c>
      <c r="D1437">
        <v>11</v>
      </c>
      <c r="E1437" t="s">
        <v>1447</v>
      </c>
      <c r="F1437" t="s">
        <v>1915</v>
      </c>
      <c r="G1437" t="s">
        <v>1806</v>
      </c>
      <c r="H1437" t="s">
        <v>2277</v>
      </c>
      <c r="I1437" t="s">
        <v>2277</v>
      </c>
      <c r="J1437">
        <v>2199901.9542887202</v>
      </c>
      <c r="K1437" t="s">
        <v>2277</v>
      </c>
      <c r="L1437" t="s">
        <v>2277</v>
      </c>
      <c r="M1437" t="s">
        <v>2277</v>
      </c>
      <c r="N1437" t="s">
        <v>2277</v>
      </c>
      <c r="O1437" s="190" t="str">
        <f t="shared" si="22"/>
        <v>[S05_BiomassInstallations][11][EmissionsBiomassSustainabilitySatisfied]</v>
      </c>
    </row>
    <row r="1438" spans="1:15" x14ac:dyDescent="0.3">
      <c r="A1438" t="s">
        <v>2278</v>
      </c>
      <c r="B1438" t="s">
        <v>1910</v>
      </c>
      <c r="C1438" t="s">
        <v>1912</v>
      </c>
      <c r="D1438">
        <v>12</v>
      </c>
      <c r="E1438" t="s">
        <v>1447</v>
      </c>
      <c r="F1438" t="s">
        <v>1915</v>
      </c>
      <c r="G1438" t="s">
        <v>1806</v>
      </c>
      <c r="H1438" t="s">
        <v>2277</v>
      </c>
      <c r="I1438" t="s">
        <v>2277</v>
      </c>
      <c r="J1438">
        <v>886610.13470110204</v>
      </c>
      <c r="K1438" t="s">
        <v>2277</v>
      </c>
      <c r="L1438" t="s">
        <v>2277</v>
      </c>
      <c r="M1438" t="s">
        <v>2277</v>
      </c>
      <c r="N1438" t="s">
        <v>2277</v>
      </c>
      <c r="O1438" s="190" t="str">
        <f t="shared" si="22"/>
        <v>[S05_BiomassInstallations][12][EmissionsBiomassSustainabilitySatisfied]</v>
      </c>
    </row>
    <row r="1439" spans="1:15" x14ac:dyDescent="0.3">
      <c r="A1439" t="s">
        <v>2278</v>
      </c>
      <c r="B1439" t="s">
        <v>1910</v>
      </c>
      <c r="C1439" t="s">
        <v>1912</v>
      </c>
      <c r="D1439">
        <v>1</v>
      </c>
      <c r="E1439" t="s">
        <v>1447</v>
      </c>
      <c r="F1439" t="s">
        <v>1916</v>
      </c>
      <c r="G1439" t="s">
        <v>1806</v>
      </c>
      <c r="H1439" t="s">
        <v>2277</v>
      </c>
      <c r="I1439" t="s">
        <v>2277</v>
      </c>
      <c r="J1439">
        <v>0</v>
      </c>
      <c r="K1439" t="s">
        <v>2277</v>
      </c>
      <c r="L1439" t="s">
        <v>2277</v>
      </c>
      <c r="M1439" t="s">
        <v>2277</v>
      </c>
      <c r="N1439" t="s">
        <v>2277</v>
      </c>
      <c r="O1439" s="190" t="str">
        <f t="shared" si="22"/>
        <v>[S05_BiomassInstallations][1][EmissionsBiomassSustainabilityNotSatisfied]</v>
      </c>
    </row>
    <row r="1440" spans="1:15" x14ac:dyDescent="0.3">
      <c r="A1440" t="s">
        <v>2278</v>
      </c>
      <c r="B1440" t="s">
        <v>1910</v>
      </c>
      <c r="C1440" t="s">
        <v>1912</v>
      </c>
      <c r="D1440">
        <v>2</v>
      </c>
      <c r="E1440" t="s">
        <v>1447</v>
      </c>
      <c r="F1440" t="s">
        <v>1916</v>
      </c>
      <c r="G1440" t="s">
        <v>1806</v>
      </c>
      <c r="H1440" t="s">
        <v>2277</v>
      </c>
      <c r="I1440" t="s">
        <v>2277</v>
      </c>
      <c r="J1440">
        <v>0</v>
      </c>
      <c r="K1440" t="s">
        <v>2277</v>
      </c>
      <c r="L1440" t="s">
        <v>2277</v>
      </c>
      <c r="M1440" t="s">
        <v>2277</v>
      </c>
      <c r="N1440" t="s">
        <v>2277</v>
      </c>
      <c r="O1440" s="190" t="str">
        <f t="shared" si="22"/>
        <v>[S05_BiomassInstallations][2][EmissionsBiomassSustainabilityNotSatisfied]</v>
      </c>
    </row>
    <row r="1441" spans="1:15" x14ac:dyDescent="0.3">
      <c r="A1441" t="s">
        <v>2278</v>
      </c>
      <c r="B1441" t="s">
        <v>1910</v>
      </c>
      <c r="C1441" t="s">
        <v>1912</v>
      </c>
      <c r="D1441">
        <v>3</v>
      </c>
      <c r="E1441" t="s">
        <v>1447</v>
      </c>
      <c r="F1441" t="s">
        <v>1916</v>
      </c>
      <c r="G1441" t="s">
        <v>1806</v>
      </c>
      <c r="H1441" t="s">
        <v>2277</v>
      </c>
      <c r="I1441" t="s">
        <v>2277</v>
      </c>
      <c r="J1441">
        <v>0</v>
      </c>
      <c r="K1441" t="s">
        <v>2277</v>
      </c>
      <c r="L1441" t="s">
        <v>2277</v>
      </c>
      <c r="M1441" t="s">
        <v>2277</v>
      </c>
      <c r="N1441" t="s">
        <v>2277</v>
      </c>
      <c r="O1441" s="190" t="str">
        <f t="shared" si="22"/>
        <v>[S05_BiomassInstallations][3][EmissionsBiomassSustainabilityNotSatisfied]</v>
      </c>
    </row>
    <row r="1442" spans="1:15" x14ac:dyDescent="0.3">
      <c r="A1442" t="s">
        <v>2278</v>
      </c>
      <c r="B1442" t="s">
        <v>1910</v>
      </c>
      <c r="C1442" t="s">
        <v>1912</v>
      </c>
      <c r="D1442">
        <v>4</v>
      </c>
      <c r="E1442" t="s">
        <v>1447</v>
      </c>
      <c r="F1442" t="s">
        <v>1916</v>
      </c>
      <c r="G1442" t="s">
        <v>1806</v>
      </c>
      <c r="H1442" t="s">
        <v>2277</v>
      </c>
      <c r="I1442" t="s">
        <v>2277</v>
      </c>
      <c r="J1442">
        <v>0</v>
      </c>
      <c r="K1442" t="s">
        <v>2277</v>
      </c>
      <c r="L1442" t="s">
        <v>2277</v>
      </c>
      <c r="M1442" t="s">
        <v>2277</v>
      </c>
      <c r="N1442" t="s">
        <v>2277</v>
      </c>
      <c r="O1442" s="190" t="str">
        <f t="shared" si="22"/>
        <v>[S05_BiomassInstallations][4][EmissionsBiomassSustainabilityNotSatisfied]</v>
      </c>
    </row>
    <row r="1443" spans="1:15" x14ac:dyDescent="0.3">
      <c r="A1443" t="s">
        <v>2278</v>
      </c>
      <c r="B1443" t="s">
        <v>1910</v>
      </c>
      <c r="C1443" t="s">
        <v>1912</v>
      </c>
      <c r="D1443">
        <v>5</v>
      </c>
      <c r="E1443" t="s">
        <v>1447</v>
      </c>
      <c r="F1443" t="s">
        <v>1916</v>
      </c>
      <c r="G1443" t="s">
        <v>1806</v>
      </c>
      <c r="H1443" t="s">
        <v>2277</v>
      </c>
      <c r="I1443" t="s">
        <v>2277</v>
      </c>
      <c r="J1443">
        <v>0</v>
      </c>
      <c r="K1443" t="s">
        <v>2277</v>
      </c>
      <c r="L1443" t="s">
        <v>2277</v>
      </c>
      <c r="M1443" t="s">
        <v>2277</v>
      </c>
      <c r="N1443" t="s">
        <v>2277</v>
      </c>
      <c r="O1443" s="190" t="str">
        <f t="shared" si="22"/>
        <v>[S05_BiomassInstallations][5][EmissionsBiomassSustainabilityNotSatisfied]</v>
      </c>
    </row>
    <row r="1444" spans="1:15" x14ac:dyDescent="0.3">
      <c r="A1444" t="s">
        <v>2278</v>
      </c>
      <c r="B1444" t="s">
        <v>1910</v>
      </c>
      <c r="C1444" t="s">
        <v>1912</v>
      </c>
      <c r="D1444">
        <v>6</v>
      </c>
      <c r="E1444" t="s">
        <v>1447</v>
      </c>
      <c r="F1444" t="s">
        <v>1916</v>
      </c>
      <c r="G1444" t="s">
        <v>1806</v>
      </c>
      <c r="H1444" t="s">
        <v>2277</v>
      </c>
      <c r="I1444" t="s">
        <v>2277</v>
      </c>
      <c r="J1444">
        <v>0</v>
      </c>
      <c r="K1444" t="s">
        <v>2277</v>
      </c>
      <c r="L1444" t="s">
        <v>2277</v>
      </c>
      <c r="M1444" t="s">
        <v>2277</v>
      </c>
      <c r="N1444" t="s">
        <v>2277</v>
      </c>
      <c r="O1444" s="190" t="str">
        <f t="shared" si="22"/>
        <v>[S05_BiomassInstallations][6][EmissionsBiomassSustainabilityNotSatisfied]</v>
      </c>
    </row>
    <row r="1445" spans="1:15" x14ac:dyDescent="0.3">
      <c r="A1445" t="s">
        <v>2278</v>
      </c>
      <c r="B1445" t="s">
        <v>1910</v>
      </c>
      <c r="C1445" t="s">
        <v>1912</v>
      </c>
      <c r="D1445">
        <v>7</v>
      </c>
      <c r="E1445" t="s">
        <v>1447</v>
      </c>
      <c r="F1445" t="s">
        <v>1916</v>
      </c>
      <c r="G1445" t="s">
        <v>1806</v>
      </c>
      <c r="H1445" t="s">
        <v>2277</v>
      </c>
      <c r="I1445" t="s">
        <v>2277</v>
      </c>
      <c r="J1445">
        <v>0</v>
      </c>
      <c r="K1445" t="s">
        <v>2277</v>
      </c>
      <c r="L1445" t="s">
        <v>2277</v>
      </c>
      <c r="M1445" t="s">
        <v>2277</v>
      </c>
      <c r="N1445" t="s">
        <v>2277</v>
      </c>
      <c r="O1445" s="190" t="str">
        <f t="shared" si="22"/>
        <v>[S05_BiomassInstallations][7][EmissionsBiomassSustainabilityNotSatisfied]</v>
      </c>
    </row>
    <row r="1446" spans="1:15" x14ac:dyDescent="0.3">
      <c r="A1446" t="s">
        <v>2278</v>
      </c>
      <c r="B1446" t="s">
        <v>1910</v>
      </c>
      <c r="C1446" t="s">
        <v>1912</v>
      </c>
      <c r="D1446">
        <v>8</v>
      </c>
      <c r="E1446" t="s">
        <v>1447</v>
      </c>
      <c r="F1446" t="s">
        <v>1916</v>
      </c>
      <c r="G1446" t="s">
        <v>1806</v>
      </c>
      <c r="H1446" t="s">
        <v>2277</v>
      </c>
      <c r="I1446" t="s">
        <v>2277</v>
      </c>
      <c r="J1446">
        <v>0</v>
      </c>
      <c r="K1446" t="s">
        <v>2277</v>
      </c>
      <c r="L1446" t="s">
        <v>2277</v>
      </c>
      <c r="M1446" t="s">
        <v>2277</v>
      </c>
      <c r="N1446" t="s">
        <v>2277</v>
      </c>
      <c r="O1446" s="190" t="str">
        <f t="shared" si="22"/>
        <v>[S05_BiomassInstallations][8][EmissionsBiomassSustainabilityNotSatisfied]</v>
      </c>
    </row>
    <row r="1447" spans="1:15" x14ac:dyDescent="0.3">
      <c r="A1447" t="s">
        <v>2278</v>
      </c>
      <c r="B1447" t="s">
        <v>1910</v>
      </c>
      <c r="C1447" t="s">
        <v>1912</v>
      </c>
      <c r="D1447">
        <v>9</v>
      </c>
      <c r="E1447" t="s">
        <v>1447</v>
      </c>
      <c r="F1447" t="s">
        <v>1916</v>
      </c>
      <c r="G1447" t="s">
        <v>1806</v>
      </c>
      <c r="H1447" t="s">
        <v>2277</v>
      </c>
      <c r="I1447" t="s">
        <v>2277</v>
      </c>
      <c r="J1447">
        <v>0</v>
      </c>
      <c r="K1447" t="s">
        <v>2277</v>
      </c>
      <c r="L1447" t="s">
        <v>2277</v>
      </c>
      <c r="M1447" t="s">
        <v>2277</v>
      </c>
      <c r="N1447" t="s">
        <v>2277</v>
      </c>
      <c r="O1447" s="190" t="str">
        <f t="shared" si="22"/>
        <v>[S05_BiomassInstallations][9][EmissionsBiomassSustainabilityNotSatisfied]</v>
      </c>
    </row>
    <row r="1448" spans="1:15" x14ac:dyDescent="0.3">
      <c r="A1448" t="s">
        <v>2278</v>
      </c>
      <c r="B1448" t="s">
        <v>1910</v>
      </c>
      <c r="C1448" t="s">
        <v>1912</v>
      </c>
      <c r="D1448">
        <v>10</v>
      </c>
      <c r="E1448" t="s">
        <v>1447</v>
      </c>
      <c r="F1448" t="s">
        <v>1916</v>
      </c>
      <c r="G1448" t="s">
        <v>1806</v>
      </c>
      <c r="H1448" t="s">
        <v>2277</v>
      </c>
      <c r="I1448" t="s">
        <v>2277</v>
      </c>
      <c r="J1448">
        <v>0</v>
      </c>
      <c r="K1448" t="s">
        <v>2277</v>
      </c>
      <c r="L1448" t="s">
        <v>2277</v>
      </c>
      <c r="M1448" t="s">
        <v>2277</v>
      </c>
      <c r="N1448" t="s">
        <v>2277</v>
      </c>
      <c r="O1448" s="190" t="str">
        <f t="shared" si="22"/>
        <v>[S05_BiomassInstallations][10][EmissionsBiomassSustainabilityNotSatisfied]</v>
      </c>
    </row>
    <row r="1449" spans="1:15" x14ac:dyDescent="0.3">
      <c r="A1449" t="s">
        <v>2278</v>
      </c>
      <c r="B1449" t="s">
        <v>1910</v>
      </c>
      <c r="C1449" t="s">
        <v>1912</v>
      </c>
      <c r="D1449">
        <v>11</v>
      </c>
      <c r="E1449" t="s">
        <v>1447</v>
      </c>
      <c r="F1449" t="s">
        <v>1916</v>
      </c>
      <c r="G1449" t="s">
        <v>1806</v>
      </c>
      <c r="H1449" t="s">
        <v>2277</v>
      </c>
      <c r="I1449" t="s">
        <v>2277</v>
      </c>
      <c r="J1449">
        <v>0</v>
      </c>
      <c r="K1449" t="s">
        <v>2277</v>
      </c>
      <c r="L1449" t="s">
        <v>2277</v>
      </c>
      <c r="M1449" t="s">
        <v>2277</v>
      </c>
      <c r="N1449" t="s">
        <v>2277</v>
      </c>
      <c r="O1449" s="190" t="str">
        <f t="shared" si="22"/>
        <v>[S05_BiomassInstallations][11][EmissionsBiomassSustainabilityNotSatisfied]</v>
      </c>
    </row>
    <row r="1450" spans="1:15" x14ac:dyDescent="0.3">
      <c r="A1450" t="s">
        <v>2278</v>
      </c>
      <c r="B1450" t="s">
        <v>1910</v>
      </c>
      <c r="C1450" t="s">
        <v>1912</v>
      </c>
      <c r="D1450">
        <v>12</v>
      </c>
      <c r="E1450" t="s">
        <v>1447</v>
      </c>
      <c r="F1450" t="s">
        <v>1916</v>
      </c>
      <c r="G1450" t="s">
        <v>1806</v>
      </c>
      <c r="H1450" t="s">
        <v>2277</v>
      </c>
      <c r="I1450" t="s">
        <v>2277</v>
      </c>
      <c r="J1450">
        <v>0</v>
      </c>
      <c r="K1450" t="s">
        <v>2277</v>
      </c>
      <c r="L1450" t="s">
        <v>2277</v>
      </c>
      <c r="M1450" t="s">
        <v>2277</v>
      </c>
      <c r="N1450" t="s">
        <v>2277</v>
      </c>
      <c r="O1450" s="190" t="str">
        <f t="shared" si="22"/>
        <v>[S05_BiomassInstallations][12][EmissionsBiomassSustainabilityNotSatisfied]</v>
      </c>
    </row>
    <row r="1451" spans="1:15" x14ac:dyDescent="0.3">
      <c r="A1451" t="s">
        <v>2278</v>
      </c>
      <c r="B1451" t="s">
        <v>1910</v>
      </c>
      <c r="C1451" t="s">
        <v>1912</v>
      </c>
      <c r="D1451">
        <v>1</v>
      </c>
      <c r="E1451" t="s">
        <v>1447</v>
      </c>
      <c r="F1451" t="s">
        <v>1917</v>
      </c>
      <c r="G1451" t="s">
        <v>1806</v>
      </c>
      <c r="H1451" t="s">
        <v>2277</v>
      </c>
      <c r="I1451" t="s">
        <v>2277</v>
      </c>
      <c r="J1451">
        <v>700796.26647383801</v>
      </c>
      <c r="K1451" t="s">
        <v>2277</v>
      </c>
      <c r="L1451" t="s">
        <v>2277</v>
      </c>
      <c r="M1451" t="s">
        <v>2277</v>
      </c>
      <c r="N1451" t="s">
        <v>2277</v>
      </c>
      <c r="O1451" s="190" t="str">
        <f t="shared" si="22"/>
        <v>[S05_BiomassInstallations][1][EmissionsFossil]</v>
      </c>
    </row>
    <row r="1452" spans="1:15" x14ac:dyDescent="0.3">
      <c r="A1452" t="s">
        <v>2278</v>
      </c>
      <c r="B1452" t="s">
        <v>1910</v>
      </c>
      <c r="C1452" t="s">
        <v>1912</v>
      </c>
      <c r="D1452">
        <v>2</v>
      </c>
      <c r="E1452" t="s">
        <v>1447</v>
      </c>
      <c r="F1452" t="s">
        <v>1917</v>
      </c>
      <c r="G1452" t="s">
        <v>1806</v>
      </c>
      <c r="H1452" t="s">
        <v>2277</v>
      </c>
      <c r="I1452" t="s">
        <v>2277</v>
      </c>
      <c r="J1452">
        <v>4982394.2042435398</v>
      </c>
      <c r="K1452" t="s">
        <v>2277</v>
      </c>
      <c r="L1452" t="s">
        <v>2277</v>
      </c>
      <c r="M1452" t="s">
        <v>2277</v>
      </c>
      <c r="N1452" t="s">
        <v>2277</v>
      </c>
      <c r="O1452" s="190" t="str">
        <f t="shared" si="22"/>
        <v>[S05_BiomassInstallations][2][EmissionsFossil]</v>
      </c>
    </row>
    <row r="1453" spans="1:15" x14ac:dyDescent="0.3">
      <c r="A1453" t="s">
        <v>2278</v>
      </c>
      <c r="B1453" t="s">
        <v>1910</v>
      </c>
      <c r="C1453" t="s">
        <v>1912</v>
      </c>
      <c r="D1453">
        <v>3</v>
      </c>
      <c r="E1453" t="s">
        <v>1447</v>
      </c>
      <c r="F1453" t="s">
        <v>1917</v>
      </c>
      <c r="G1453" t="s">
        <v>1806</v>
      </c>
      <c r="H1453" t="s">
        <v>2277</v>
      </c>
      <c r="I1453" t="s">
        <v>2277</v>
      </c>
      <c r="J1453">
        <v>15360253.889753001</v>
      </c>
      <c r="K1453" t="s">
        <v>2277</v>
      </c>
      <c r="L1453" t="s">
        <v>2277</v>
      </c>
      <c r="M1453" t="s">
        <v>2277</v>
      </c>
      <c r="N1453" t="s">
        <v>2277</v>
      </c>
      <c r="O1453" s="190" t="str">
        <f t="shared" si="22"/>
        <v>[S05_BiomassInstallations][3][EmissionsFossil]</v>
      </c>
    </row>
    <row r="1454" spans="1:15" x14ac:dyDescent="0.3">
      <c r="A1454" t="s">
        <v>2278</v>
      </c>
      <c r="B1454" t="s">
        <v>1910</v>
      </c>
      <c r="C1454" t="s">
        <v>1912</v>
      </c>
      <c r="D1454">
        <v>4</v>
      </c>
      <c r="E1454" t="s">
        <v>1447</v>
      </c>
      <c r="F1454" t="s">
        <v>1917</v>
      </c>
      <c r="G1454" t="s">
        <v>1806</v>
      </c>
      <c r="H1454" t="s">
        <v>2277</v>
      </c>
      <c r="I1454" t="s">
        <v>2277</v>
      </c>
      <c r="J1454">
        <v>286343.90753036499</v>
      </c>
      <c r="K1454" t="s">
        <v>2277</v>
      </c>
      <c r="L1454" t="s">
        <v>2277</v>
      </c>
      <c r="M1454" t="s">
        <v>2277</v>
      </c>
      <c r="N1454" t="s">
        <v>2277</v>
      </c>
      <c r="O1454" s="190" t="str">
        <f t="shared" si="22"/>
        <v>[S05_BiomassInstallations][4][EmissionsFossil]</v>
      </c>
    </row>
    <row r="1455" spans="1:15" x14ac:dyDescent="0.3">
      <c r="A1455" t="s">
        <v>2278</v>
      </c>
      <c r="B1455" t="s">
        <v>1910</v>
      </c>
      <c r="C1455" t="s">
        <v>1912</v>
      </c>
      <c r="D1455">
        <v>5</v>
      </c>
      <c r="E1455" t="s">
        <v>1447</v>
      </c>
      <c r="F1455" t="s">
        <v>1917</v>
      </c>
      <c r="G1455" t="s">
        <v>1806</v>
      </c>
      <c r="H1455" t="s">
        <v>2277</v>
      </c>
      <c r="I1455" t="s">
        <v>2277</v>
      </c>
      <c r="J1455">
        <v>1006823</v>
      </c>
      <c r="K1455" t="s">
        <v>2277</v>
      </c>
      <c r="L1455" t="s">
        <v>2277</v>
      </c>
      <c r="M1455" t="s">
        <v>2277</v>
      </c>
      <c r="N1455" t="s">
        <v>2277</v>
      </c>
      <c r="O1455" s="190" t="str">
        <f t="shared" si="22"/>
        <v>[S05_BiomassInstallations][5][EmissionsFossil]</v>
      </c>
    </row>
    <row r="1456" spans="1:15" x14ac:dyDescent="0.3">
      <c r="A1456" t="s">
        <v>2278</v>
      </c>
      <c r="B1456" t="s">
        <v>1910</v>
      </c>
      <c r="C1456" t="s">
        <v>1912</v>
      </c>
      <c r="D1456">
        <v>6</v>
      </c>
      <c r="E1456" t="s">
        <v>1447</v>
      </c>
      <c r="F1456" t="s">
        <v>1917</v>
      </c>
      <c r="G1456" t="s">
        <v>1806</v>
      </c>
      <c r="H1456" t="s">
        <v>2277</v>
      </c>
      <c r="I1456" t="s">
        <v>2277</v>
      </c>
      <c r="J1456">
        <v>215044.304953479</v>
      </c>
      <c r="K1456" t="s">
        <v>2277</v>
      </c>
      <c r="L1456" t="s">
        <v>2277</v>
      </c>
      <c r="M1456" t="s">
        <v>2277</v>
      </c>
      <c r="N1456" t="s">
        <v>2277</v>
      </c>
      <c r="O1456" s="190" t="str">
        <f t="shared" si="22"/>
        <v>[S05_BiomassInstallations][6][EmissionsFossil]</v>
      </c>
    </row>
    <row r="1457" spans="1:15" x14ac:dyDescent="0.3">
      <c r="A1457" t="s">
        <v>2278</v>
      </c>
      <c r="B1457" t="s">
        <v>1910</v>
      </c>
      <c r="C1457" t="s">
        <v>1912</v>
      </c>
      <c r="D1457">
        <v>7</v>
      </c>
      <c r="E1457" t="s">
        <v>1447</v>
      </c>
      <c r="F1457" t="s">
        <v>1917</v>
      </c>
      <c r="G1457" t="s">
        <v>1806</v>
      </c>
      <c r="H1457" t="s">
        <v>2277</v>
      </c>
      <c r="I1457" t="s">
        <v>2277</v>
      </c>
      <c r="J1457">
        <v>619855.77987400501</v>
      </c>
      <c r="K1457" t="s">
        <v>2277</v>
      </c>
      <c r="L1457" t="s">
        <v>2277</v>
      </c>
      <c r="M1457" t="s">
        <v>2277</v>
      </c>
      <c r="N1457" t="s">
        <v>2277</v>
      </c>
      <c r="O1457" s="190" t="str">
        <f t="shared" si="22"/>
        <v>[S05_BiomassInstallations][7][EmissionsFossil]</v>
      </c>
    </row>
    <row r="1458" spans="1:15" x14ac:dyDescent="0.3">
      <c r="A1458" t="s">
        <v>2278</v>
      </c>
      <c r="B1458" t="s">
        <v>1910</v>
      </c>
      <c r="C1458" t="s">
        <v>1912</v>
      </c>
      <c r="D1458">
        <v>8</v>
      </c>
      <c r="E1458" t="s">
        <v>1447</v>
      </c>
      <c r="F1458" t="s">
        <v>1917</v>
      </c>
      <c r="G1458" t="s">
        <v>1806</v>
      </c>
      <c r="H1458" t="s">
        <v>2277</v>
      </c>
      <c r="I1458" t="s">
        <v>2277</v>
      </c>
      <c r="J1458">
        <v>9978098.5301543791</v>
      </c>
      <c r="K1458" t="s">
        <v>2277</v>
      </c>
      <c r="L1458" t="s">
        <v>2277</v>
      </c>
      <c r="M1458" t="s">
        <v>2277</v>
      </c>
      <c r="N1458" t="s">
        <v>2277</v>
      </c>
      <c r="O1458" s="190" t="str">
        <f t="shared" si="22"/>
        <v>[S05_BiomassInstallations][8][EmissionsFossil]</v>
      </c>
    </row>
    <row r="1459" spans="1:15" x14ac:dyDescent="0.3">
      <c r="A1459" t="s">
        <v>2278</v>
      </c>
      <c r="B1459" t="s">
        <v>1910</v>
      </c>
      <c r="C1459" t="s">
        <v>1912</v>
      </c>
      <c r="D1459">
        <v>9</v>
      </c>
      <c r="E1459" t="s">
        <v>1447</v>
      </c>
      <c r="F1459" t="s">
        <v>1917</v>
      </c>
      <c r="G1459" t="s">
        <v>1806</v>
      </c>
      <c r="H1459" t="s">
        <v>2277</v>
      </c>
      <c r="I1459" t="s">
        <v>2277</v>
      </c>
      <c r="J1459">
        <v>35830.175499456003</v>
      </c>
      <c r="K1459" t="s">
        <v>2277</v>
      </c>
      <c r="L1459" t="s">
        <v>2277</v>
      </c>
      <c r="M1459" t="s">
        <v>2277</v>
      </c>
      <c r="N1459" t="s">
        <v>2277</v>
      </c>
      <c r="O1459" s="190" t="str">
        <f t="shared" si="22"/>
        <v>[S05_BiomassInstallations][9][EmissionsFossil]</v>
      </c>
    </row>
    <row r="1460" spans="1:15" x14ac:dyDescent="0.3">
      <c r="A1460" t="s">
        <v>2278</v>
      </c>
      <c r="B1460" t="s">
        <v>1910</v>
      </c>
      <c r="C1460" t="s">
        <v>1912</v>
      </c>
      <c r="D1460">
        <v>10</v>
      </c>
      <c r="E1460" t="s">
        <v>1447</v>
      </c>
      <c r="F1460" t="s">
        <v>1917</v>
      </c>
      <c r="G1460" t="s">
        <v>1806</v>
      </c>
      <c r="H1460" t="s">
        <v>2277</v>
      </c>
      <c r="I1460" t="s">
        <v>2277</v>
      </c>
      <c r="J1460">
        <v>74424.204746003306</v>
      </c>
      <c r="K1460" t="s">
        <v>2277</v>
      </c>
      <c r="L1460" t="s">
        <v>2277</v>
      </c>
      <c r="M1460" t="s">
        <v>2277</v>
      </c>
      <c r="N1460" t="s">
        <v>2277</v>
      </c>
      <c r="O1460" s="190" t="str">
        <f t="shared" si="22"/>
        <v>[S05_BiomassInstallations][10][EmissionsFossil]</v>
      </c>
    </row>
    <row r="1461" spans="1:15" x14ac:dyDescent="0.3">
      <c r="A1461" t="s">
        <v>2278</v>
      </c>
      <c r="B1461" t="s">
        <v>1910</v>
      </c>
      <c r="C1461" t="s">
        <v>1912</v>
      </c>
      <c r="D1461">
        <v>11</v>
      </c>
      <c r="E1461" t="s">
        <v>1447</v>
      </c>
      <c r="F1461" t="s">
        <v>1917</v>
      </c>
      <c r="G1461" t="s">
        <v>1806</v>
      </c>
      <c r="H1461" t="s">
        <v>2277</v>
      </c>
      <c r="I1461" t="s">
        <v>2277</v>
      </c>
      <c r="J1461">
        <v>222796.56769776801</v>
      </c>
      <c r="K1461" t="s">
        <v>2277</v>
      </c>
      <c r="L1461" t="s">
        <v>2277</v>
      </c>
      <c r="M1461" t="s">
        <v>2277</v>
      </c>
      <c r="N1461" t="s">
        <v>2277</v>
      </c>
      <c r="O1461" s="190" t="str">
        <f t="shared" si="22"/>
        <v>[S05_BiomassInstallations][11][EmissionsFossil]</v>
      </c>
    </row>
    <row r="1462" spans="1:15" x14ac:dyDescent="0.3">
      <c r="A1462" t="s">
        <v>2278</v>
      </c>
      <c r="B1462" t="s">
        <v>1910</v>
      </c>
      <c r="C1462" t="s">
        <v>1912</v>
      </c>
      <c r="D1462">
        <v>12</v>
      </c>
      <c r="E1462" t="s">
        <v>1447</v>
      </c>
      <c r="F1462" t="s">
        <v>1917</v>
      </c>
      <c r="G1462" t="s">
        <v>1806</v>
      </c>
      <c r="H1462" t="s">
        <v>2277</v>
      </c>
      <c r="I1462" t="s">
        <v>2277</v>
      </c>
      <c r="J1462">
        <v>609312.64632783004</v>
      </c>
      <c r="K1462" t="s">
        <v>2277</v>
      </c>
      <c r="L1462" t="s">
        <v>2277</v>
      </c>
      <c r="M1462" t="s">
        <v>2277</v>
      </c>
      <c r="N1462" t="s">
        <v>2277</v>
      </c>
      <c r="O1462" s="190" t="str">
        <f t="shared" si="22"/>
        <v>[S05_BiomassInstallations][12][EmissionsFossil]</v>
      </c>
    </row>
    <row r="1463" spans="1:15" x14ac:dyDescent="0.3">
      <c r="A1463" t="s">
        <v>2278</v>
      </c>
      <c r="B1463" t="s">
        <v>1910</v>
      </c>
      <c r="C1463" t="s">
        <v>1912</v>
      </c>
      <c r="D1463">
        <v>1</v>
      </c>
      <c r="E1463" t="s">
        <v>1447</v>
      </c>
      <c r="F1463" t="s">
        <v>1918</v>
      </c>
      <c r="G1463" t="s">
        <v>1806</v>
      </c>
      <c r="H1463" t="s">
        <v>2277</v>
      </c>
      <c r="I1463" t="s">
        <v>2277</v>
      </c>
      <c r="J1463">
        <v>24500.373437022001</v>
      </c>
      <c r="K1463" t="s">
        <v>2277</v>
      </c>
      <c r="L1463" t="s">
        <v>2277</v>
      </c>
      <c r="M1463" t="s">
        <v>2277</v>
      </c>
      <c r="N1463" t="s">
        <v>2277</v>
      </c>
      <c r="O1463" s="190" t="str">
        <f t="shared" si="22"/>
        <v>[S05_BiomassInstallations][1][EnergyZeroRatedBiomass]</v>
      </c>
    </row>
    <row r="1464" spans="1:15" x14ac:dyDescent="0.3">
      <c r="A1464" t="s">
        <v>2278</v>
      </c>
      <c r="B1464" t="s">
        <v>1910</v>
      </c>
      <c r="C1464" t="s">
        <v>1912</v>
      </c>
      <c r="D1464">
        <v>2</v>
      </c>
      <c r="E1464" t="s">
        <v>1447</v>
      </c>
      <c r="F1464" t="s">
        <v>1918</v>
      </c>
      <c r="G1464" t="s">
        <v>1806</v>
      </c>
      <c r="H1464" t="s">
        <v>2277</v>
      </c>
      <c r="I1464" t="s">
        <v>2277</v>
      </c>
      <c r="J1464">
        <v>23355.369987153801</v>
      </c>
      <c r="K1464" t="s">
        <v>2277</v>
      </c>
      <c r="L1464" t="s">
        <v>2277</v>
      </c>
      <c r="M1464" t="s">
        <v>2277</v>
      </c>
      <c r="N1464" t="s">
        <v>2277</v>
      </c>
      <c r="O1464" s="190" t="str">
        <f t="shared" si="22"/>
        <v>[S05_BiomassInstallations][2][EnergyZeroRatedBiomass]</v>
      </c>
    </row>
    <row r="1465" spans="1:15" x14ac:dyDescent="0.3">
      <c r="A1465" t="s">
        <v>2278</v>
      </c>
      <c r="B1465" t="s">
        <v>1910</v>
      </c>
      <c r="C1465" t="s">
        <v>1912</v>
      </c>
      <c r="D1465">
        <v>3</v>
      </c>
      <c r="E1465" t="s">
        <v>1447</v>
      </c>
      <c r="F1465" t="s">
        <v>1918</v>
      </c>
      <c r="G1465" t="s">
        <v>1806</v>
      </c>
      <c r="H1465" t="s">
        <v>2277</v>
      </c>
      <c r="I1465" t="s">
        <v>2277</v>
      </c>
      <c r="J1465">
        <v>38008.923040000001</v>
      </c>
      <c r="K1465" t="s">
        <v>2277</v>
      </c>
      <c r="L1465" t="s">
        <v>2277</v>
      </c>
      <c r="M1465" t="s">
        <v>2277</v>
      </c>
      <c r="N1465" t="s">
        <v>2277</v>
      </c>
      <c r="O1465" s="190" t="str">
        <f t="shared" si="22"/>
        <v>[S05_BiomassInstallations][3][EnergyZeroRatedBiomass]</v>
      </c>
    </row>
    <row r="1466" spans="1:15" x14ac:dyDescent="0.3">
      <c r="A1466" t="s">
        <v>2278</v>
      </c>
      <c r="B1466" t="s">
        <v>1910</v>
      </c>
      <c r="C1466" t="s">
        <v>1912</v>
      </c>
      <c r="D1466">
        <v>4</v>
      </c>
      <c r="E1466" t="s">
        <v>1447</v>
      </c>
      <c r="F1466" t="s">
        <v>1918</v>
      </c>
      <c r="G1466" t="s">
        <v>1806</v>
      </c>
      <c r="H1466" t="s">
        <v>2277</v>
      </c>
      <c r="I1466" t="s">
        <v>2277</v>
      </c>
      <c r="J1466">
        <v>510.970145</v>
      </c>
      <c r="K1466" t="s">
        <v>2277</v>
      </c>
      <c r="L1466" t="s">
        <v>2277</v>
      </c>
      <c r="M1466" t="s">
        <v>2277</v>
      </c>
      <c r="N1466" t="s">
        <v>2277</v>
      </c>
      <c r="O1466" s="190" t="str">
        <f t="shared" si="22"/>
        <v>[S05_BiomassInstallations][4][EnergyZeroRatedBiomass]</v>
      </c>
    </row>
    <row r="1467" spans="1:15" x14ac:dyDescent="0.3">
      <c r="A1467" t="s">
        <v>2278</v>
      </c>
      <c r="B1467" t="s">
        <v>1910</v>
      </c>
      <c r="C1467" t="s">
        <v>1912</v>
      </c>
      <c r="D1467">
        <v>5</v>
      </c>
      <c r="E1467" t="s">
        <v>1447</v>
      </c>
      <c r="F1467" t="s">
        <v>1918</v>
      </c>
      <c r="G1467" t="s">
        <v>1806</v>
      </c>
      <c r="H1467" t="s">
        <v>2277</v>
      </c>
      <c r="I1467" t="s">
        <v>2277</v>
      </c>
      <c r="J1467">
        <v>9.2825460639999999</v>
      </c>
      <c r="K1467" t="s">
        <v>2277</v>
      </c>
      <c r="L1467" t="s">
        <v>2277</v>
      </c>
      <c r="M1467" t="s">
        <v>2277</v>
      </c>
      <c r="N1467" t="s">
        <v>2277</v>
      </c>
      <c r="O1467" s="190" t="str">
        <f t="shared" si="22"/>
        <v>[S05_BiomassInstallations][5][EnergyZeroRatedBiomass]</v>
      </c>
    </row>
    <row r="1468" spans="1:15" x14ac:dyDescent="0.3">
      <c r="A1468" t="s">
        <v>2278</v>
      </c>
      <c r="B1468" t="s">
        <v>1910</v>
      </c>
      <c r="C1468" t="s">
        <v>1912</v>
      </c>
      <c r="D1468">
        <v>6</v>
      </c>
      <c r="E1468" t="s">
        <v>1447</v>
      </c>
      <c r="F1468" t="s">
        <v>1918</v>
      </c>
      <c r="G1468" t="s">
        <v>1806</v>
      </c>
      <c r="H1468" t="s">
        <v>2277</v>
      </c>
      <c r="I1468" t="s">
        <v>2277</v>
      </c>
      <c r="J1468">
        <v>466.54833105241102</v>
      </c>
      <c r="K1468" t="s">
        <v>2277</v>
      </c>
      <c r="L1468" t="s">
        <v>2277</v>
      </c>
      <c r="M1468" t="s">
        <v>2277</v>
      </c>
      <c r="N1468" t="s">
        <v>2277</v>
      </c>
      <c r="O1468" s="190" t="str">
        <f t="shared" si="22"/>
        <v>[S05_BiomassInstallations][6][EnergyZeroRatedBiomass]</v>
      </c>
    </row>
    <row r="1469" spans="1:15" x14ac:dyDescent="0.3">
      <c r="A1469" t="s">
        <v>2278</v>
      </c>
      <c r="B1469" t="s">
        <v>1910</v>
      </c>
      <c r="C1469" t="s">
        <v>1912</v>
      </c>
      <c r="D1469">
        <v>7</v>
      </c>
      <c r="E1469" t="s">
        <v>1447</v>
      </c>
      <c r="F1469" t="s">
        <v>1918</v>
      </c>
      <c r="G1469" t="s">
        <v>1806</v>
      </c>
      <c r="H1469" t="s">
        <v>2277</v>
      </c>
      <c r="I1469" t="s">
        <v>2277</v>
      </c>
      <c r="J1469">
        <v>827.70644453482305</v>
      </c>
      <c r="K1469" t="s">
        <v>2277</v>
      </c>
      <c r="L1469" t="s">
        <v>2277</v>
      </c>
      <c r="M1469" t="s">
        <v>2277</v>
      </c>
      <c r="N1469" t="s">
        <v>2277</v>
      </c>
      <c r="O1469" s="190" t="str">
        <f t="shared" si="22"/>
        <v>[S05_BiomassInstallations][7][EnergyZeroRatedBiomass]</v>
      </c>
    </row>
    <row r="1470" spans="1:15" x14ac:dyDescent="0.3">
      <c r="A1470" t="s">
        <v>2278</v>
      </c>
      <c r="B1470" t="s">
        <v>1910</v>
      </c>
      <c r="C1470" t="s">
        <v>1912</v>
      </c>
      <c r="D1470">
        <v>8</v>
      </c>
      <c r="E1470" t="s">
        <v>1447</v>
      </c>
      <c r="F1470" t="s">
        <v>1918</v>
      </c>
      <c r="G1470" t="s">
        <v>1806</v>
      </c>
      <c r="H1470" t="s">
        <v>2277</v>
      </c>
      <c r="I1470" t="s">
        <v>2277</v>
      </c>
      <c r="J1470">
        <v>14469.8992331054</v>
      </c>
      <c r="K1470" t="s">
        <v>2277</v>
      </c>
      <c r="L1470" t="s">
        <v>2277</v>
      </c>
      <c r="M1470" t="s">
        <v>2277</v>
      </c>
      <c r="N1470" t="s">
        <v>2277</v>
      </c>
      <c r="O1470" s="190" t="str">
        <f t="shared" si="22"/>
        <v>[S05_BiomassInstallations][8][EnergyZeroRatedBiomass]</v>
      </c>
    </row>
    <row r="1471" spans="1:15" x14ac:dyDescent="0.3">
      <c r="A1471" t="s">
        <v>2278</v>
      </c>
      <c r="B1471" t="s">
        <v>1910</v>
      </c>
      <c r="C1471" t="s">
        <v>1912</v>
      </c>
      <c r="D1471">
        <v>9</v>
      </c>
      <c r="E1471" t="s">
        <v>1447</v>
      </c>
      <c r="F1471" t="s">
        <v>1918</v>
      </c>
      <c r="G1471" t="s">
        <v>1806</v>
      </c>
      <c r="H1471" t="s">
        <v>2277</v>
      </c>
      <c r="I1471" t="s">
        <v>2277</v>
      </c>
      <c r="J1471">
        <v>0.2</v>
      </c>
      <c r="K1471" t="s">
        <v>2277</v>
      </c>
      <c r="L1471" t="s">
        <v>2277</v>
      </c>
      <c r="M1471" t="s">
        <v>2277</v>
      </c>
      <c r="N1471" t="s">
        <v>2277</v>
      </c>
      <c r="O1471" s="190" t="str">
        <f t="shared" si="22"/>
        <v>[S05_BiomassInstallations][9][EnergyZeroRatedBiomass]</v>
      </c>
    </row>
    <row r="1472" spans="1:15" x14ac:dyDescent="0.3">
      <c r="A1472" t="s">
        <v>2278</v>
      </c>
      <c r="B1472" t="s">
        <v>1910</v>
      </c>
      <c r="C1472" t="s">
        <v>1912</v>
      </c>
      <c r="D1472">
        <v>10</v>
      </c>
      <c r="E1472" t="s">
        <v>1447</v>
      </c>
      <c r="F1472" t="s">
        <v>1918</v>
      </c>
      <c r="G1472" t="s">
        <v>1806</v>
      </c>
      <c r="H1472" t="s">
        <v>2277</v>
      </c>
      <c r="I1472" t="s">
        <v>2277</v>
      </c>
      <c r="J1472">
        <v>2612.81918034</v>
      </c>
      <c r="K1472" t="s">
        <v>2277</v>
      </c>
      <c r="L1472" t="s">
        <v>2277</v>
      </c>
      <c r="M1472" t="s">
        <v>2277</v>
      </c>
      <c r="N1472" t="s">
        <v>2277</v>
      </c>
      <c r="O1472" s="190" t="str">
        <f t="shared" si="22"/>
        <v>[S05_BiomassInstallations][10][EnergyZeroRatedBiomass]</v>
      </c>
    </row>
    <row r="1473" spans="1:15" x14ac:dyDescent="0.3">
      <c r="A1473" t="s">
        <v>2278</v>
      </c>
      <c r="B1473" t="s">
        <v>1910</v>
      </c>
      <c r="C1473" t="s">
        <v>1912</v>
      </c>
      <c r="D1473">
        <v>11</v>
      </c>
      <c r="E1473" t="s">
        <v>1447</v>
      </c>
      <c r="F1473" t="s">
        <v>1918</v>
      </c>
      <c r="G1473" t="s">
        <v>1806</v>
      </c>
      <c r="H1473" t="s">
        <v>2277</v>
      </c>
      <c r="I1473" t="s">
        <v>2277</v>
      </c>
      <c r="J1473">
        <v>20953.816035285399</v>
      </c>
      <c r="K1473" t="s">
        <v>2277</v>
      </c>
      <c r="L1473" t="s">
        <v>2277</v>
      </c>
      <c r="M1473" t="s">
        <v>2277</v>
      </c>
      <c r="N1473" t="s">
        <v>2277</v>
      </c>
      <c r="O1473" s="190" t="str">
        <f t="shared" si="22"/>
        <v>[S05_BiomassInstallations][11][EnergyZeroRatedBiomass]</v>
      </c>
    </row>
    <row r="1474" spans="1:15" x14ac:dyDescent="0.3">
      <c r="A1474" t="s">
        <v>2278</v>
      </c>
      <c r="B1474" t="s">
        <v>1910</v>
      </c>
      <c r="C1474" t="s">
        <v>1912</v>
      </c>
      <c r="D1474">
        <v>12</v>
      </c>
      <c r="E1474" t="s">
        <v>1447</v>
      </c>
      <c r="F1474" t="s">
        <v>1918</v>
      </c>
      <c r="G1474" t="s">
        <v>1806</v>
      </c>
      <c r="H1474" t="s">
        <v>2277</v>
      </c>
      <c r="I1474" t="s">
        <v>2277</v>
      </c>
      <c r="J1474">
        <v>11720.031590000001</v>
      </c>
      <c r="K1474" t="s">
        <v>2277</v>
      </c>
      <c r="L1474" t="s">
        <v>2277</v>
      </c>
      <c r="M1474" t="s">
        <v>2277</v>
      </c>
      <c r="N1474" t="s">
        <v>2277</v>
      </c>
      <c r="O1474" s="190" t="str">
        <f t="shared" ref="O1474:O1537" si="23">"["&amp;$C1474&amp;"]["&amp;$D1474&amp;"]["&amp;$F1474&amp;"]"</f>
        <v>[S05_BiomassInstallations][12][EnergyZeroRatedBiomass]</v>
      </c>
    </row>
    <row r="1475" spans="1:15" x14ac:dyDescent="0.3">
      <c r="A1475" t="s">
        <v>2278</v>
      </c>
      <c r="B1475" t="s">
        <v>1910</v>
      </c>
      <c r="C1475" t="s">
        <v>1912</v>
      </c>
      <c r="D1475">
        <v>1</v>
      </c>
      <c r="E1475" t="s">
        <v>1447</v>
      </c>
      <c r="F1475" t="s">
        <v>1919</v>
      </c>
      <c r="G1475" t="s">
        <v>1806</v>
      </c>
      <c r="H1475" t="s">
        <v>2277</v>
      </c>
      <c r="I1475" t="s">
        <v>2277</v>
      </c>
      <c r="J1475">
        <v>0</v>
      </c>
      <c r="K1475" t="s">
        <v>2277</v>
      </c>
      <c r="L1475" t="s">
        <v>2277</v>
      </c>
      <c r="M1475" t="s">
        <v>2277</v>
      </c>
      <c r="N1475" t="s">
        <v>2277</v>
      </c>
      <c r="O1475" s="190" t="str">
        <f t="shared" si="23"/>
        <v>[S05_BiomassInstallations][1][EnergyNonZeroRatedBiomass]</v>
      </c>
    </row>
    <row r="1476" spans="1:15" x14ac:dyDescent="0.3">
      <c r="A1476" t="s">
        <v>2278</v>
      </c>
      <c r="B1476" t="s">
        <v>1910</v>
      </c>
      <c r="C1476" t="s">
        <v>1912</v>
      </c>
      <c r="D1476">
        <v>2</v>
      </c>
      <c r="E1476" t="s">
        <v>1447</v>
      </c>
      <c r="F1476" t="s">
        <v>1919</v>
      </c>
      <c r="G1476" t="s">
        <v>1806</v>
      </c>
      <c r="H1476" t="s">
        <v>2277</v>
      </c>
      <c r="I1476" t="s">
        <v>2277</v>
      </c>
      <c r="J1476">
        <v>0</v>
      </c>
      <c r="K1476" t="s">
        <v>2277</v>
      </c>
      <c r="L1476" t="s">
        <v>2277</v>
      </c>
      <c r="M1476" t="s">
        <v>2277</v>
      </c>
      <c r="N1476" t="s">
        <v>2277</v>
      </c>
      <c r="O1476" s="190" t="str">
        <f t="shared" si="23"/>
        <v>[S05_BiomassInstallations][2][EnergyNonZeroRatedBiomass]</v>
      </c>
    </row>
    <row r="1477" spans="1:15" x14ac:dyDescent="0.3">
      <c r="A1477" t="s">
        <v>2278</v>
      </c>
      <c r="B1477" t="s">
        <v>1910</v>
      </c>
      <c r="C1477" t="s">
        <v>1912</v>
      </c>
      <c r="D1477">
        <v>3</v>
      </c>
      <c r="E1477" t="s">
        <v>1447</v>
      </c>
      <c r="F1477" t="s">
        <v>1919</v>
      </c>
      <c r="G1477" t="s">
        <v>1806</v>
      </c>
      <c r="H1477" t="s">
        <v>2277</v>
      </c>
      <c r="I1477" t="s">
        <v>2277</v>
      </c>
      <c r="J1477">
        <v>0</v>
      </c>
      <c r="K1477" t="s">
        <v>2277</v>
      </c>
      <c r="L1477" t="s">
        <v>2277</v>
      </c>
      <c r="M1477" t="s">
        <v>2277</v>
      </c>
      <c r="N1477" t="s">
        <v>2277</v>
      </c>
      <c r="O1477" s="190" t="str">
        <f t="shared" si="23"/>
        <v>[S05_BiomassInstallations][3][EnergyNonZeroRatedBiomass]</v>
      </c>
    </row>
    <row r="1478" spans="1:15" x14ac:dyDescent="0.3">
      <c r="A1478" t="s">
        <v>2278</v>
      </c>
      <c r="B1478" t="s">
        <v>1910</v>
      </c>
      <c r="C1478" t="s">
        <v>1912</v>
      </c>
      <c r="D1478">
        <v>4</v>
      </c>
      <c r="E1478" t="s">
        <v>1447</v>
      </c>
      <c r="F1478" t="s">
        <v>1919</v>
      </c>
      <c r="G1478" t="s">
        <v>1806</v>
      </c>
      <c r="H1478" t="s">
        <v>2277</v>
      </c>
      <c r="I1478" t="s">
        <v>2277</v>
      </c>
      <c r="J1478">
        <v>0</v>
      </c>
      <c r="K1478" t="s">
        <v>2277</v>
      </c>
      <c r="L1478" t="s">
        <v>2277</v>
      </c>
      <c r="M1478" t="s">
        <v>2277</v>
      </c>
      <c r="N1478" t="s">
        <v>2277</v>
      </c>
      <c r="O1478" s="190" t="str">
        <f t="shared" si="23"/>
        <v>[S05_BiomassInstallations][4][EnergyNonZeroRatedBiomass]</v>
      </c>
    </row>
    <row r="1479" spans="1:15" x14ac:dyDescent="0.3">
      <c r="A1479" t="s">
        <v>2278</v>
      </c>
      <c r="B1479" t="s">
        <v>1910</v>
      </c>
      <c r="C1479" t="s">
        <v>1912</v>
      </c>
      <c r="D1479">
        <v>5</v>
      </c>
      <c r="E1479" t="s">
        <v>1447</v>
      </c>
      <c r="F1479" t="s">
        <v>1919</v>
      </c>
      <c r="G1479" t="s">
        <v>1806</v>
      </c>
      <c r="H1479" t="s">
        <v>2277</v>
      </c>
      <c r="I1479" t="s">
        <v>2277</v>
      </c>
      <c r="J1479">
        <v>0</v>
      </c>
      <c r="K1479" t="s">
        <v>2277</v>
      </c>
      <c r="L1479" t="s">
        <v>2277</v>
      </c>
      <c r="M1479" t="s">
        <v>2277</v>
      </c>
      <c r="N1479" t="s">
        <v>2277</v>
      </c>
      <c r="O1479" s="190" t="str">
        <f t="shared" si="23"/>
        <v>[S05_BiomassInstallations][5][EnergyNonZeroRatedBiomass]</v>
      </c>
    </row>
    <row r="1480" spans="1:15" x14ac:dyDescent="0.3">
      <c r="A1480" t="s">
        <v>2278</v>
      </c>
      <c r="B1480" t="s">
        <v>1910</v>
      </c>
      <c r="C1480" t="s">
        <v>1912</v>
      </c>
      <c r="D1480">
        <v>6</v>
      </c>
      <c r="E1480" t="s">
        <v>1447</v>
      </c>
      <c r="F1480" t="s">
        <v>1919</v>
      </c>
      <c r="G1480" t="s">
        <v>1806</v>
      </c>
      <c r="H1480" t="s">
        <v>2277</v>
      </c>
      <c r="I1480" t="s">
        <v>2277</v>
      </c>
      <c r="J1480">
        <v>0</v>
      </c>
      <c r="K1480" t="s">
        <v>2277</v>
      </c>
      <c r="L1480" t="s">
        <v>2277</v>
      </c>
      <c r="M1480" t="s">
        <v>2277</v>
      </c>
      <c r="N1480" t="s">
        <v>2277</v>
      </c>
      <c r="O1480" s="190" t="str">
        <f t="shared" si="23"/>
        <v>[S05_BiomassInstallations][6][EnergyNonZeroRatedBiomass]</v>
      </c>
    </row>
    <row r="1481" spans="1:15" x14ac:dyDescent="0.3">
      <c r="A1481" t="s">
        <v>2278</v>
      </c>
      <c r="B1481" t="s">
        <v>1910</v>
      </c>
      <c r="C1481" t="s">
        <v>1912</v>
      </c>
      <c r="D1481">
        <v>7</v>
      </c>
      <c r="E1481" t="s">
        <v>1447</v>
      </c>
      <c r="F1481" t="s">
        <v>1919</v>
      </c>
      <c r="G1481" t="s">
        <v>1806</v>
      </c>
      <c r="H1481" t="s">
        <v>2277</v>
      </c>
      <c r="I1481" t="s">
        <v>2277</v>
      </c>
      <c r="J1481">
        <v>0</v>
      </c>
      <c r="K1481" t="s">
        <v>2277</v>
      </c>
      <c r="L1481" t="s">
        <v>2277</v>
      </c>
      <c r="M1481" t="s">
        <v>2277</v>
      </c>
      <c r="N1481" t="s">
        <v>2277</v>
      </c>
      <c r="O1481" s="190" t="str">
        <f t="shared" si="23"/>
        <v>[S05_BiomassInstallations][7][EnergyNonZeroRatedBiomass]</v>
      </c>
    </row>
    <row r="1482" spans="1:15" x14ac:dyDescent="0.3">
      <c r="A1482" t="s">
        <v>2278</v>
      </c>
      <c r="B1482" t="s">
        <v>1910</v>
      </c>
      <c r="C1482" t="s">
        <v>1912</v>
      </c>
      <c r="D1482">
        <v>8</v>
      </c>
      <c r="E1482" t="s">
        <v>1447</v>
      </c>
      <c r="F1482" t="s">
        <v>1919</v>
      </c>
      <c r="G1482" t="s">
        <v>1806</v>
      </c>
      <c r="H1482" t="s">
        <v>2277</v>
      </c>
      <c r="I1482" t="s">
        <v>2277</v>
      </c>
      <c r="J1482">
        <v>0</v>
      </c>
      <c r="K1482" t="s">
        <v>2277</v>
      </c>
      <c r="L1482" t="s">
        <v>2277</v>
      </c>
      <c r="M1482" t="s">
        <v>2277</v>
      </c>
      <c r="N1482" t="s">
        <v>2277</v>
      </c>
      <c r="O1482" s="190" t="str">
        <f t="shared" si="23"/>
        <v>[S05_BiomassInstallations][8][EnergyNonZeroRatedBiomass]</v>
      </c>
    </row>
    <row r="1483" spans="1:15" x14ac:dyDescent="0.3">
      <c r="A1483" t="s">
        <v>2278</v>
      </c>
      <c r="B1483" t="s">
        <v>1910</v>
      </c>
      <c r="C1483" t="s">
        <v>1912</v>
      </c>
      <c r="D1483">
        <v>9</v>
      </c>
      <c r="E1483" t="s">
        <v>1447</v>
      </c>
      <c r="F1483" t="s">
        <v>1919</v>
      </c>
      <c r="G1483" t="s">
        <v>1806</v>
      </c>
      <c r="H1483" t="s">
        <v>2277</v>
      </c>
      <c r="I1483" t="s">
        <v>2277</v>
      </c>
      <c r="J1483">
        <v>0</v>
      </c>
      <c r="K1483" t="s">
        <v>2277</v>
      </c>
      <c r="L1483" t="s">
        <v>2277</v>
      </c>
      <c r="M1483" t="s">
        <v>2277</v>
      </c>
      <c r="N1483" t="s">
        <v>2277</v>
      </c>
      <c r="O1483" s="190" t="str">
        <f t="shared" si="23"/>
        <v>[S05_BiomassInstallations][9][EnergyNonZeroRatedBiomass]</v>
      </c>
    </row>
    <row r="1484" spans="1:15" x14ac:dyDescent="0.3">
      <c r="A1484" t="s">
        <v>2278</v>
      </c>
      <c r="B1484" t="s">
        <v>1910</v>
      </c>
      <c r="C1484" t="s">
        <v>1912</v>
      </c>
      <c r="D1484">
        <v>10</v>
      </c>
      <c r="E1484" t="s">
        <v>1447</v>
      </c>
      <c r="F1484" t="s">
        <v>1919</v>
      </c>
      <c r="G1484" t="s">
        <v>1806</v>
      </c>
      <c r="H1484" t="s">
        <v>2277</v>
      </c>
      <c r="I1484" t="s">
        <v>2277</v>
      </c>
      <c r="J1484">
        <v>0</v>
      </c>
      <c r="K1484" t="s">
        <v>2277</v>
      </c>
      <c r="L1484" t="s">
        <v>2277</v>
      </c>
      <c r="M1484" t="s">
        <v>2277</v>
      </c>
      <c r="N1484" t="s">
        <v>2277</v>
      </c>
      <c r="O1484" s="190" t="str">
        <f t="shared" si="23"/>
        <v>[S05_BiomassInstallations][10][EnergyNonZeroRatedBiomass]</v>
      </c>
    </row>
    <row r="1485" spans="1:15" x14ac:dyDescent="0.3">
      <c r="A1485" t="s">
        <v>2278</v>
      </c>
      <c r="B1485" t="s">
        <v>1910</v>
      </c>
      <c r="C1485" t="s">
        <v>1912</v>
      </c>
      <c r="D1485">
        <v>11</v>
      </c>
      <c r="E1485" t="s">
        <v>1447</v>
      </c>
      <c r="F1485" t="s">
        <v>1919</v>
      </c>
      <c r="G1485" t="s">
        <v>1806</v>
      </c>
      <c r="H1485" t="s">
        <v>2277</v>
      </c>
      <c r="I1485" t="s">
        <v>2277</v>
      </c>
      <c r="J1485">
        <v>0</v>
      </c>
      <c r="K1485" t="s">
        <v>2277</v>
      </c>
      <c r="L1485" t="s">
        <v>2277</v>
      </c>
      <c r="M1485" t="s">
        <v>2277</v>
      </c>
      <c r="N1485" t="s">
        <v>2277</v>
      </c>
      <c r="O1485" s="190" t="str">
        <f t="shared" si="23"/>
        <v>[S05_BiomassInstallations][11][EnergyNonZeroRatedBiomass]</v>
      </c>
    </row>
    <row r="1486" spans="1:15" x14ac:dyDescent="0.3">
      <c r="A1486" t="s">
        <v>2278</v>
      </c>
      <c r="B1486" t="s">
        <v>1910</v>
      </c>
      <c r="C1486" t="s">
        <v>1912</v>
      </c>
      <c r="D1486">
        <v>12</v>
      </c>
      <c r="E1486" t="s">
        <v>1447</v>
      </c>
      <c r="F1486" t="s">
        <v>1919</v>
      </c>
      <c r="G1486" t="s">
        <v>1806</v>
      </c>
      <c r="H1486" t="s">
        <v>2277</v>
      </c>
      <c r="I1486" t="s">
        <v>2277</v>
      </c>
      <c r="J1486">
        <v>0</v>
      </c>
      <c r="K1486" t="s">
        <v>2277</v>
      </c>
      <c r="L1486" t="s">
        <v>2277</v>
      </c>
      <c r="M1486" t="s">
        <v>2277</v>
      </c>
      <c r="N1486" t="s">
        <v>2277</v>
      </c>
      <c r="O1486" s="190" t="str">
        <f t="shared" si="23"/>
        <v>[S05_BiomassInstallations][12][EnergyNonZeroRatedBiomass]</v>
      </c>
    </row>
    <row r="1487" spans="1:15" x14ac:dyDescent="0.3">
      <c r="A1487" t="s">
        <v>2278</v>
      </c>
      <c r="B1487" t="s">
        <v>1910</v>
      </c>
      <c r="C1487" t="s">
        <v>1912</v>
      </c>
      <c r="D1487">
        <v>1</v>
      </c>
      <c r="E1487" t="s">
        <v>1447</v>
      </c>
      <c r="F1487" t="s">
        <v>1920</v>
      </c>
      <c r="G1487" t="s">
        <v>1806</v>
      </c>
      <c r="H1487" t="s">
        <v>2277</v>
      </c>
      <c r="I1487" t="s">
        <v>2277</v>
      </c>
      <c r="J1487">
        <v>9250.3025720513106</v>
      </c>
      <c r="K1487" t="s">
        <v>2277</v>
      </c>
      <c r="L1487" t="s">
        <v>2277</v>
      </c>
      <c r="M1487" t="s">
        <v>2277</v>
      </c>
      <c r="N1487" t="s">
        <v>2277</v>
      </c>
      <c r="O1487" s="190" t="str">
        <f t="shared" si="23"/>
        <v>[S05_BiomassInstallations][1][EnergyFossil]</v>
      </c>
    </row>
    <row r="1488" spans="1:15" x14ac:dyDescent="0.3">
      <c r="A1488" t="s">
        <v>2278</v>
      </c>
      <c r="B1488" t="s">
        <v>1910</v>
      </c>
      <c r="C1488" t="s">
        <v>1912</v>
      </c>
      <c r="D1488">
        <v>2</v>
      </c>
      <c r="E1488" t="s">
        <v>1447</v>
      </c>
      <c r="F1488" t="s">
        <v>1920</v>
      </c>
      <c r="G1488" t="s">
        <v>1806</v>
      </c>
      <c r="H1488" t="s">
        <v>2277</v>
      </c>
      <c r="I1488" t="s">
        <v>2277</v>
      </c>
      <c r="J1488">
        <v>53853.658277717499</v>
      </c>
      <c r="K1488" t="s">
        <v>2277</v>
      </c>
      <c r="L1488" t="s">
        <v>2277</v>
      </c>
      <c r="M1488" t="s">
        <v>2277</v>
      </c>
      <c r="N1488" t="s">
        <v>2277</v>
      </c>
      <c r="O1488" s="190" t="str">
        <f t="shared" si="23"/>
        <v>[S05_BiomassInstallations][2][EnergyFossil]</v>
      </c>
    </row>
    <row r="1489" spans="1:15" x14ac:dyDescent="0.3">
      <c r="A1489" t="s">
        <v>2278</v>
      </c>
      <c r="B1489" t="s">
        <v>1910</v>
      </c>
      <c r="C1489" t="s">
        <v>1912</v>
      </c>
      <c r="D1489">
        <v>3</v>
      </c>
      <c r="E1489" t="s">
        <v>1447</v>
      </c>
      <c r="F1489" t="s">
        <v>1920</v>
      </c>
      <c r="G1489" t="s">
        <v>1806</v>
      </c>
      <c r="H1489" t="s">
        <v>2277</v>
      </c>
      <c r="I1489" t="s">
        <v>2277</v>
      </c>
      <c r="J1489">
        <v>163980.48892840199</v>
      </c>
      <c r="K1489" t="s">
        <v>2277</v>
      </c>
      <c r="L1489" t="s">
        <v>2277</v>
      </c>
      <c r="M1489" t="s">
        <v>2277</v>
      </c>
      <c r="N1489" t="s">
        <v>2277</v>
      </c>
      <c r="O1489" s="190" t="str">
        <f t="shared" si="23"/>
        <v>[S05_BiomassInstallations][3][EnergyFossil]</v>
      </c>
    </row>
    <row r="1490" spans="1:15" x14ac:dyDescent="0.3">
      <c r="A1490" t="s">
        <v>2278</v>
      </c>
      <c r="B1490" t="s">
        <v>1910</v>
      </c>
      <c r="C1490" t="s">
        <v>1912</v>
      </c>
      <c r="D1490">
        <v>4</v>
      </c>
      <c r="E1490" t="s">
        <v>1447</v>
      </c>
      <c r="F1490" t="s">
        <v>1920</v>
      </c>
      <c r="G1490" t="s">
        <v>1806</v>
      </c>
      <c r="H1490" t="s">
        <v>2277</v>
      </c>
      <c r="I1490" t="s">
        <v>2277</v>
      </c>
      <c r="J1490">
        <v>3600.9853044936799</v>
      </c>
      <c r="K1490" t="s">
        <v>2277</v>
      </c>
      <c r="L1490" t="s">
        <v>2277</v>
      </c>
      <c r="M1490" t="s">
        <v>2277</v>
      </c>
      <c r="N1490" t="s">
        <v>2277</v>
      </c>
      <c r="O1490" s="190" t="str">
        <f t="shared" si="23"/>
        <v>[S05_BiomassInstallations][4][EnergyFossil]</v>
      </c>
    </row>
    <row r="1491" spans="1:15" x14ac:dyDescent="0.3">
      <c r="A1491" t="s">
        <v>2278</v>
      </c>
      <c r="B1491" t="s">
        <v>1910</v>
      </c>
      <c r="C1491" t="s">
        <v>1912</v>
      </c>
      <c r="D1491">
        <v>5</v>
      </c>
      <c r="E1491" t="s">
        <v>1447</v>
      </c>
      <c r="F1491" t="s">
        <v>1920</v>
      </c>
      <c r="G1491" t="s">
        <v>1806</v>
      </c>
      <c r="H1491" t="s">
        <v>2277</v>
      </c>
      <c r="I1491" t="s">
        <v>2277</v>
      </c>
      <c r="J1491">
        <v>3522.85</v>
      </c>
      <c r="K1491" t="s">
        <v>2277</v>
      </c>
      <c r="L1491" t="s">
        <v>2277</v>
      </c>
      <c r="M1491" t="s">
        <v>2277</v>
      </c>
      <c r="N1491" t="s">
        <v>2277</v>
      </c>
      <c r="O1491" s="190" t="str">
        <f t="shared" si="23"/>
        <v>[S05_BiomassInstallations][5][EnergyFossil]</v>
      </c>
    </row>
    <row r="1492" spans="1:15" x14ac:dyDescent="0.3">
      <c r="A1492" t="s">
        <v>2278</v>
      </c>
      <c r="B1492" t="s">
        <v>1910</v>
      </c>
      <c r="C1492" t="s">
        <v>1912</v>
      </c>
      <c r="D1492">
        <v>6</v>
      </c>
      <c r="E1492" t="s">
        <v>1447</v>
      </c>
      <c r="F1492" t="s">
        <v>1920</v>
      </c>
      <c r="G1492" t="s">
        <v>1806</v>
      </c>
      <c r="H1492" t="s">
        <v>2277</v>
      </c>
      <c r="I1492" t="s">
        <v>2277</v>
      </c>
      <c r="J1492">
        <v>2015.98127651804</v>
      </c>
      <c r="K1492" t="s">
        <v>2277</v>
      </c>
      <c r="L1492" t="s">
        <v>2277</v>
      </c>
      <c r="M1492" t="s">
        <v>2277</v>
      </c>
      <c r="N1492" t="s">
        <v>2277</v>
      </c>
      <c r="O1492" s="190" t="str">
        <f t="shared" si="23"/>
        <v>[S05_BiomassInstallations][6][EnergyFossil]</v>
      </c>
    </row>
    <row r="1493" spans="1:15" x14ac:dyDescent="0.3">
      <c r="A1493" t="s">
        <v>2278</v>
      </c>
      <c r="B1493" t="s">
        <v>1910</v>
      </c>
      <c r="C1493" t="s">
        <v>1912</v>
      </c>
      <c r="D1493">
        <v>7</v>
      </c>
      <c r="E1493" t="s">
        <v>1447</v>
      </c>
      <c r="F1493" t="s">
        <v>1920</v>
      </c>
      <c r="G1493" t="s">
        <v>1806</v>
      </c>
      <c r="H1493" t="s">
        <v>2277</v>
      </c>
      <c r="I1493" t="s">
        <v>2277</v>
      </c>
      <c r="J1493">
        <v>2271.6160903321902</v>
      </c>
      <c r="K1493" t="s">
        <v>2277</v>
      </c>
      <c r="L1493" t="s">
        <v>2277</v>
      </c>
      <c r="M1493" t="s">
        <v>2277</v>
      </c>
      <c r="N1493" t="s">
        <v>2277</v>
      </c>
      <c r="O1493" s="190" t="str">
        <f t="shared" si="23"/>
        <v>[S05_BiomassInstallations][7][EnergyFossil]</v>
      </c>
    </row>
    <row r="1494" spans="1:15" x14ac:dyDescent="0.3">
      <c r="A1494" t="s">
        <v>2278</v>
      </c>
      <c r="B1494" t="s">
        <v>1910</v>
      </c>
      <c r="C1494" t="s">
        <v>1912</v>
      </c>
      <c r="D1494">
        <v>8</v>
      </c>
      <c r="E1494" t="s">
        <v>1447</v>
      </c>
      <c r="F1494" t="s">
        <v>1920</v>
      </c>
      <c r="G1494" t="s">
        <v>1806</v>
      </c>
      <c r="H1494" t="s">
        <v>2277</v>
      </c>
      <c r="I1494" t="s">
        <v>2277</v>
      </c>
      <c r="J1494">
        <v>33650.228248367501</v>
      </c>
      <c r="K1494" t="s">
        <v>2277</v>
      </c>
      <c r="L1494" t="s">
        <v>2277</v>
      </c>
      <c r="M1494" t="s">
        <v>2277</v>
      </c>
      <c r="N1494" t="s">
        <v>2277</v>
      </c>
      <c r="O1494" s="190" t="str">
        <f t="shared" si="23"/>
        <v>[S05_BiomassInstallations][8][EnergyFossil]</v>
      </c>
    </row>
    <row r="1495" spans="1:15" x14ac:dyDescent="0.3">
      <c r="A1495" t="s">
        <v>2278</v>
      </c>
      <c r="B1495" t="s">
        <v>1910</v>
      </c>
      <c r="C1495" t="s">
        <v>1912</v>
      </c>
      <c r="D1495">
        <v>9</v>
      </c>
      <c r="E1495" t="s">
        <v>1447</v>
      </c>
      <c r="F1495" t="s">
        <v>1920</v>
      </c>
      <c r="G1495" t="s">
        <v>1806</v>
      </c>
      <c r="H1495" t="s">
        <v>2277</v>
      </c>
      <c r="I1495" t="s">
        <v>2277</v>
      </c>
      <c r="J1495">
        <v>373.07048114000003</v>
      </c>
      <c r="K1495" t="s">
        <v>2277</v>
      </c>
      <c r="L1495" t="s">
        <v>2277</v>
      </c>
      <c r="M1495" t="s">
        <v>2277</v>
      </c>
      <c r="N1495" t="s">
        <v>2277</v>
      </c>
      <c r="O1495" s="190" t="str">
        <f t="shared" si="23"/>
        <v>[S05_BiomassInstallations][9][EnergyFossil]</v>
      </c>
    </row>
    <row r="1496" spans="1:15" x14ac:dyDescent="0.3">
      <c r="A1496" t="s">
        <v>2278</v>
      </c>
      <c r="B1496" t="s">
        <v>1910</v>
      </c>
      <c r="C1496" t="s">
        <v>1912</v>
      </c>
      <c r="D1496">
        <v>10</v>
      </c>
      <c r="E1496" t="s">
        <v>1447</v>
      </c>
      <c r="F1496" t="s">
        <v>1920</v>
      </c>
      <c r="G1496" t="s">
        <v>1806</v>
      </c>
      <c r="H1496" t="s">
        <v>2277</v>
      </c>
      <c r="I1496" t="s">
        <v>2277</v>
      </c>
      <c r="J1496">
        <v>924.68072182000003</v>
      </c>
      <c r="K1496" t="s">
        <v>2277</v>
      </c>
      <c r="L1496" t="s">
        <v>2277</v>
      </c>
      <c r="M1496" t="s">
        <v>2277</v>
      </c>
      <c r="N1496" t="s">
        <v>2277</v>
      </c>
      <c r="O1496" s="190" t="str">
        <f t="shared" si="23"/>
        <v>[S05_BiomassInstallations][10][EnergyFossil]</v>
      </c>
    </row>
    <row r="1497" spans="1:15" x14ac:dyDescent="0.3">
      <c r="A1497" t="s">
        <v>2278</v>
      </c>
      <c r="B1497" t="s">
        <v>1910</v>
      </c>
      <c r="C1497" t="s">
        <v>1912</v>
      </c>
      <c r="D1497">
        <v>11</v>
      </c>
      <c r="E1497" t="s">
        <v>1447</v>
      </c>
      <c r="F1497" t="s">
        <v>1920</v>
      </c>
      <c r="G1497" t="s">
        <v>1806</v>
      </c>
      <c r="H1497" t="s">
        <v>2277</v>
      </c>
      <c r="I1497" t="s">
        <v>2277</v>
      </c>
      <c r="J1497">
        <v>2714.2403607962801</v>
      </c>
      <c r="K1497" t="s">
        <v>2277</v>
      </c>
      <c r="L1497" t="s">
        <v>2277</v>
      </c>
      <c r="M1497" t="s">
        <v>2277</v>
      </c>
      <c r="N1497" t="s">
        <v>2277</v>
      </c>
      <c r="O1497" s="190" t="str">
        <f t="shared" si="23"/>
        <v>[S05_BiomassInstallations][11][EnergyFossil]</v>
      </c>
    </row>
    <row r="1498" spans="1:15" x14ac:dyDescent="0.3">
      <c r="A1498" t="s">
        <v>2278</v>
      </c>
      <c r="B1498" t="s">
        <v>1910</v>
      </c>
      <c r="C1498" t="s">
        <v>1912</v>
      </c>
      <c r="D1498">
        <v>12</v>
      </c>
      <c r="E1498" t="s">
        <v>1447</v>
      </c>
      <c r="F1498" t="s">
        <v>1920</v>
      </c>
      <c r="G1498" t="s">
        <v>1806</v>
      </c>
      <c r="H1498" t="s">
        <v>2277</v>
      </c>
      <c r="I1498" t="s">
        <v>2277</v>
      </c>
      <c r="J1498">
        <v>6845.6376709420001</v>
      </c>
      <c r="K1498" t="s">
        <v>2277</v>
      </c>
      <c r="L1498" t="s">
        <v>2277</v>
      </c>
      <c r="M1498" t="s">
        <v>2277</v>
      </c>
      <c r="N1498" t="s">
        <v>2277</v>
      </c>
      <c r="O1498" s="190" t="str">
        <f t="shared" si="23"/>
        <v>[S05_BiomassInstallations][12][EnergyFossil]</v>
      </c>
    </row>
    <row r="1499" spans="1:15" x14ac:dyDescent="0.3">
      <c r="A1499" t="s">
        <v>2278</v>
      </c>
      <c r="B1499" t="s">
        <v>1921</v>
      </c>
      <c r="C1499" t="s">
        <v>1922</v>
      </c>
      <c r="D1499">
        <v>0</v>
      </c>
      <c r="E1499" t="s">
        <v>1447</v>
      </c>
      <c r="F1499" t="s">
        <v>1922</v>
      </c>
      <c r="G1499" t="s">
        <v>1806</v>
      </c>
      <c r="H1499" t="s">
        <v>2277</v>
      </c>
      <c r="I1499" t="s">
        <v>2277</v>
      </c>
      <c r="J1499">
        <v>2738208.4090999998</v>
      </c>
      <c r="K1499" t="s">
        <v>2277</v>
      </c>
      <c r="L1499" t="s">
        <v>2277</v>
      </c>
      <c r="M1499" t="s">
        <v>2277</v>
      </c>
      <c r="N1499" t="s">
        <v>2277</v>
      </c>
      <c r="O1499" s="190" t="str">
        <f t="shared" si="23"/>
        <v>[WasteFuelFossilCO2][0][WasteFuelFossilCO2]</v>
      </c>
    </row>
    <row r="1500" spans="1:15" x14ac:dyDescent="0.3">
      <c r="A1500" t="s">
        <v>2278</v>
      </c>
      <c r="B1500" t="s">
        <v>1923</v>
      </c>
      <c r="C1500" t="s">
        <v>1924</v>
      </c>
      <c r="D1500">
        <v>0</v>
      </c>
      <c r="E1500" t="s">
        <v>1447</v>
      </c>
      <c r="F1500" t="s">
        <v>1924</v>
      </c>
      <c r="G1500" t="s">
        <v>1759</v>
      </c>
      <c r="H1500" t="s">
        <v>2277</v>
      </c>
      <c r="I1500" t="s">
        <v>2277</v>
      </c>
      <c r="J1500" t="s">
        <v>2277</v>
      </c>
      <c r="K1500" t="s">
        <v>2277</v>
      </c>
      <c r="L1500" t="s">
        <v>1447</v>
      </c>
      <c r="M1500" t="s">
        <v>2277</v>
      </c>
      <c r="N1500" t="s">
        <v>2277</v>
      </c>
      <c r="O1500" s="190" t="str">
        <f t="shared" si="23"/>
        <v>[SimplifiedMonitoringArt13][0][SimplifiedMonitoringArt13]</v>
      </c>
    </row>
    <row r="1501" spans="1:15" x14ac:dyDescent="0.3">
      <c r="A1501" t="s">
        <v>2278</v>
      </c>
      <c r="B1501" t="s">
        <v>1928</v>
      </c>
      <c r="C1501" t="s">
        <v>1929</v>
      </c>
      <c r="D1501">
        <v>1</v>
      </c>
      <c r="E1501" t="s">
        <v>1447</v>
      </c>
      <c r="F1501" t="s">
        <v>1930</v>
      </c>
      <c r="G1501" t="s">
        <v>1748</v>
      </c>
      <c r="H1501" t="s">
        <v>2277</v>
      </c>
      <c r="I1501">
        <v>1</v>
      </c>
      <c r="J1501" t="s">
        <v>2277</v>
      </c>
      <c r="K1501" t="s">
        <v>2277</v>
      </c>
      <c r="L1501" t="s">
        <v>2277</v>
      </c>
      <c r="M1501" t="s">
        <v>2277</v>
      </c>
      <c r="N1501" t="s">
        <v>2277</v>
      </c>
      <c r="O1501" s="190" t="str">
        <f t="shared" si="23"/>
        <v>[S05_AircraftMethodFuelConsumption][1][CountAircraftOperators]</v>
      </c>
    </row>
    <row r="1502" spans="1:15" x14ac:dyDescent="0.3">
      <c r="A1502" t="s">
        <v>2278</v>
      </c>
      <c r="B1502" t="s">
        <v>1928</v>
      </c>
      <c r="C1502" t="s">
        <v>1929</v>
      </c>
      <c r="D1502">
        <v>2</v>
      </c>
      <c r="E1502" t="s">
        <v>1447</v>
      </c>
      <c r="F1502" t="s">
        <v>1930</v>
      </c>
      <c r="G1502" t="s">
        <v>1748</v>
      </c>
      <c r="H1502" t="s">
        <v>2277</v>
      </c>
      <c r="I1502">
        <v>4</v>
      </c>
      <c r="J1502" t="s">
        <v>2277</v>
      </c>
      <c r="K1502" t="s">
        <v>2277</v>
      </c>
      <c r="L1502" t="s">
        <v>2277</v>
      </c>
      <c r="M1502" t="s">
        <v>2277</v>
      </c>
      <c r="N1502" t="s">
        <v>2277</v>
      </c>
      <c r="O1502" s="190" t="str">
        <f t="shared" si="23"/>
        <v>[S05_AircraftMethodFuelConsumption][2][CountAircraftOperators]</v>
      </c>
    </row>
    <row r="1503" spans="1:15" x14ac:dyDescent="0.3">
      <c r="A1503" t="s">
        <v>2278</v>
      </c>
      <c r="B1503" t="s">
        <v>1928</v>
      </c>
      <c r="C1503" t="s">
        <v>1929</v>
      </c>
      <c r="D1503">
        <v>3</v>
      </c>
      <c r="E1503" t="s">
        <v>1447</v>
      </c>
      <c r="F1503" t="s">
        <v>1930</v>
      </c>
      <c r="G1503" t="s">
        <v>1748</v>
      </c>
      <c r="H1503" t="s">
        <v>2277</v>
      </c>
      <c r="I1503">
        <v>0</v>
      </c>
      <c r="J1503" t="s">
        <v>2277</v>
      </c>
      <c r="K1503" t="s">
        <v>2277</v>
      </c>
      <c r="L1503" t="s">
        <v>2277</v>
      </c>
      <c r="M1503" t="s">
        <v>2277</v>
      </c>
      <c r="N1503" t="s">
        <v>2277</v>
      </c>
      <c r="O1503" s="190" t="str">
        <f t="shared" si="23"/>
        <v>[S05_AircraftMethodFuelConsumption][3][CountAircraftOperators]</v>
      </c>
    </row>
    <row r="1504" spans="1:15" x14ac:dyDescent="0.3">
      <c r="A1504" t="s">
        <v>2278</v>
      </c>
      <c r="B1504" t="s">
        <v>1928</v>
      </c>
      <c r="C1504" t="s">
        <v>1929</v>
      </c>
      <c r="D1504">
        <v>1</v>
      </c>
      <c r="E1504" t="s">
        <v>1447</v>
      </c>
      <c r="F1504" t="s">
        <v>1931</v>
      </c>
      <c r="G1504" t="s">
        <v>1806</v>
      </c>
      <c r="H1504" t="s">
        <v>2277</v>
      </c>
      <c r="I1504" t="s">
        <v>2277</v>
      </c>
      <c r="J1504">
        <v>0</v>
      </c>
      <c r="K1504" t="s">
        <v>2277</v>
      </c>
      <c r="L1504" t="s">
        <v>2277</v>
      </c>
      <c r="M1504" t="s">
        <v>2277</v>
      </c>
      <c r="N1504" t="s">
        <v>2277</v>
      </c>
      <c r="O1504" s="190" t="str">
        <f t="shared" si="23"/>
        <v>[S05_AircraftMethodFuelConsumption][1][SmallEmittersShare]</v>
      </c>
    </row>
    <row r="1505" spans="1:15" x14ac:dyDescent="0.3">
      <c r="A1505" t="s">
        <v>2278</v>
      </c>
      <c r="B1505" t="s">
        <v>1928</v>
      </c>
      <c r="C1505" t="s">
        <v>1929</v>
      </c>
      <c r="D1505">
        <v>2</v>
      </c>
      <c r="E1505" t="s">
        <v>1447</v>
      </c>
      <c r="F1505" t="s">
        <v>1931</v>
      </c>
      <c r="G1505" t="s">
        <v>1806</v>
      </c>
      <c r="H1505" t="s">
        <v>2277</v>
      </c>
      <c r="I1505" t="s">
        <v>2277</v>
      </c>
      <c r="J1505">
        <v>0</v>
      </c>
      <c r="K1505" t="s">
        <v>2277</v>
      </c>
      <c r="L1505" t="s">
        <v>2277</v>
      </c>
      <c r="M1505" t="s">
        <v>2277</v>
      </c>
      <c r="N1505" t="s">
        <v>2277</v>
      </c>
      <c r="O1505" s="190" t="str">
        <f t="shared" si="23"/>
        <v>[S05_AircraftMethodFuelConsumption][2][SmallEmittersShare]</v>
      </c>
    </row>
    <row r="1506" spans="1:15" x14ac:dyDescent="0.3">
      <c r="A1506" t="s">
        <v>2278</v>
      </c>
      <c r="B1506" t="s">
        <v>1928</v>
      </c>
      <c r="C1506" t="s">
        <v>1929</v>
      </c>
      <c r="D1506">
        <v>3</v>
      </c>
      <c r="E1506" t="s">
        <v>1447</v>
      </c>
      <c r="F1506" t="s">
        <v>1931</v>
      </c>
      <c r="G1506" t="s">
        <v>1806</v>
      </c>
      <c r="H1506" t="s">
        <v>2277</v>
      </c>
      <c r="I1506" t="s">
        <v>2277</v>
      </c>
      <c r="J1506">
        <v>0</v>
      </c>
      <c r="K1506" t="s">
        <v>2277</v>
      </c>
      <c r="L1506" t="s">
        <v>2277</v>
      </c>
      <c r="M1506" t="s">
        <v>2277</v>
      </c>
      <c r="N1506" t="s">
        <v>2277</v>
      </c>
      <c r="O1506" s="190" t="str">
        <f t="shared" si="23"/>
        <v>[S05_AircraftMethodFuelConsumption][3][SmallEmittersShare]</v>
      </c>
    </row>
    <row r="1507" spans="1:15" x14ac:dyDescent="0.3">
      <c r="A1507" t="s">
        <v>2278</v>
      </c>
      <c r="B1507" t="s">
        <v>1932</v>
      </c>
      <c r="C1507" t="s">
        <v>1933</v>
      </c>
      <c r="D1507">
        <v>1</v>
      </c>
      <c r="E1507" t="s">
        <v>1447</v>
      </c>
      <c r="F1507" t="s">
        <v>1934</v>
      </c>
      <c r="G1507" t="s">
        <v>1806</v>
      </c>
      <c r="H1507" t="s">
        <v>2277</v>
      </c>
      <c r="I1507" t="s">
        <v>2277</v>
      </c>
      <c r="J1507">
        <v>487570</v>
      </c>
      <c r="K1507" t="s">
        <v>2277</v>
      </c>
      <c r="L1507" t="s">
        <v>2277</v>
      </c>
      <c r="M1507" t="s">
        <v>2277</v>
      </c>
      <c r="N1507" t="s">
        <v>2277</v>
      </c>
      <c r="O1507" s="190" t="str">
        <f t="shared" si="23"/>
        <v>[S05_TotalFlightEmissions][1][TotalFlightEmissions]</v>
      </c>
    </row>
    <row r="1508" spans="1:15" x14ac:dyDescent="0.3">
      <c r="A1508" t="s">
        <v>2278</v>
      </c>
      <c r="B1508" t="s">
        <v>1932</v>
      </c>
      <c r="C1508" t="s">
        <v>1933</v>
      </c>
      <c r="D1508">
        <v>2</v>
      </c>
      <c r="E1508" t="s">
        <v>1447</v>
      </c>
      <c r="F1508" t="s">
        <v>1934</v>
      </c>
      <c r="G1508" t="s">
        <v>1806</v>
      </c>
      <c r="H1508" t="s">
        <v>2277</v>
      </c>
      <c r="I1508" t="s">
        <v>2277</v>
      </c>
      <c r="J1508">
        <v>47745</v>
      </c>
      <c r="K1508" t="s">
        <v>2277</v>
      </c>
      <c r="L1508" t="s">
        <v>2277</v>
      </c>
      <c r="M1508" t="s">
        <v>2277</v>
      </c>
      <c r="N1508" t="s">
        <v>2277</v>
      </c>
      <c r="O1508" s="190" t="str">
        <f t="shared" si="23"/>
        <v>[S05_TotalFlightEmissions][2][TotalFlightEmissions]</v>
      </c>
    </row>
    <row r="1509" spans="1:15" x14ac:dyDescent="0.3">
      <c r="A1509" t="s">
        <v>2278</v>
      </c>
      <c r="B1509" t="s">
        <v>1932</v>
      </c>
      <c r="C1509" t="s">
        <v>1933</v>
      </c>
      <c r="D1509">
        <v>3</v>
      </c>
      <c r="E1509" t="s">
        <v>1447</v>
      </c>
      <c r="F1509" t="s">
        <v>1934</v>
      </c>
      <c r="G1509" t="s">
        <v>1806</v>
      </c>
      <c r="H1509" t="s">
        <v>2277</v>
      </c>
      <c r="I1509" t="s">
        <v>2277</v>
      </c>
      <c r="J1509">
        <v>1560544.291</v>
      </c>
      <c r="K1509" t="s">
        <v>2277</v>
      </c>
      <c r="L1509" t="s">
        <v>2277</v>
      </c>
      <c r="M1509" t="s">
        <v>2277</v>
      </c>
      <c r="N1509" t="s">
        <v>2277</v>
      </c>
      <c r="O1509" s="190" t="str">
        <f t="shared" si="23"/>
        <v>[S05_TotalFlightEmissions][3][TotalFlightEmissions]</v>
      </c>
    </row>
    <row r="1510" spans="1:15" x14ac:dyDescent="0.3">
      <c r="A1510" t="s">
        <v>2278</v>
      </c>
      <c r="B1510" t="s">
        <v>1932</v>
      </c>
      <c r="C1510" t="s">
        <v>1933</v>
      </c>
      <c r="D1510">
        <v>4</v>
      </c>
      <c r="E1510" t="s">
        <v>1447</v>
      </c>
      <c r="F1510" t="s">
        <v>1934</v>
      </c>
      <c r="G1510" t="s">
        <v>1806</v>
      </c>
      <c r="H1510" t="s">
        <v>2277</v>
      </c>
      <c r="I1510" t="s">
        <v>2277</v>
      </c>
      <c r="J1510">
        <v>1294002.487</v>
      </c>
      <c r="K1510" t="s">
        <v>2277</v>
      </c>
      <c r="L1510" t="s">
        <v>2277</v>
      </c>
      <c r="M1510" t="s">
        <v>2277</v>
      </c>
      <c r="N1510" t="s">
        <v>2277</v>
      </c>
      <c r="O1510" s="190" t="str">
        <f t="shared" si="23"/>
        <v>[S05_TotalFlightEmissions][4][TotalFlightEmissions]</v>
      </c>
    </row>
    <row r="1511" spans="1:15" x14ac:dyDescent="0.3">
      <c r="A1511" t="s">
        <v>2278</v>
      </c>
      <c r="B1511" t="s">
        <v>1932</v>
      </c>
      <c r="C1511" t="s">
        <v>1933</v>
      </c>
      <c r="D1511">
        <v>5</v>
      </c>
      <c r="E1511" t="s">
        <v>1447</v>
      </c>
      <c r="F1511" t="s">
        <v>1934</v>
      </c>
      <c r="G1511" t="s">
        <v>1806</v>
      </c>
      <c r="H1511" t="s">
        <v>2277</v>
      </c>
      <c r="I1511" t="s">
        <v>2277</v>
      </c>
      <c r="J1511">
        <v>10389</v>
      </c>
      <c r="K1511" t="s">
        <v>2277</v>
      </c>
      <c r="L1511" t="s">
        <v>2277</v>
      </c>
      <c r="M1511" t="s">
        <v>2277</v>
      </c>
      <c r="N1511" t="s">
        <v>2277</v>
      </c>
      <c r="O1511" s="190" t="str">
        <f t="shared" si="23"/>
        <v>[S05_TotalFlightEmissions][5][TotalFlightEmissions]</v>
      </c>
    </row>
    <row r="1512" spans="1:15" x14ac:dyDescent="0.3">
      <c r="A1512" t="s">
        <v>2278</v>
      </c>
      <c r="B1512" t="s">
        <v>1932</v>
      </c>
      <c r="C1512" t="s">
        <v>1935</v>
      </c>
      <c r="D1512">
        <v>0</v>
      </c>
      <c r="E1512" t="s">
        <v>1447</v>
      </c>
      <c r="F1512" t="s">
        <v>1935</v>
      </c>
      <c r="G1512" t="s">
        <v>1748</v>
      </c>
      <c r="H1512" t="s">
        <v>2277</v>
      </c>
      <c r="I1512">
        <v>6</v>
      </c>
      <c r="J1512" t="s">
        <v>2277</v>
      </c>
      <c r="K1512" t="s">
        <v>2277</v>
      </c>
      <c r="L1512" t="s">
        <v>2277</v>
      </c>
      <c r="M1512" t="s">
        <v>2277</v>
      </c>
      <c r="N1512" t="s">
        <v>2277</v>
      </c>
      <c r="O1512" s="190" t="str">
        <f t="shared" si="23"/>
        <v>[CountOperatorsThirdCountries][0][CountOperatorsThirdCountries]</v>
      </c>
    </row>
    <row r="1513" spans="1:15" x14ac:dyDescent="0.3">
      <c r="A1513" t="s">
        <v>2278</v>
      </c>
      <c r="B1513" t="s">
        <v>1936</v>
      </c>
      <c r="C1513" t="s">
        <v>1937</v>
      </c>
      <c r="D1513">
        <v>0</v>
      </c>
      <c r="E1513" t="s">
        <v>1447</v>
      </c>
      <c r="F1513" t="s">
        <v>1937</v>
      </c>
      <c r="G1513" t="s">
        <v>1748</v>
      </c>
      <c r="H1513" t="s">
        <v>2277</v>
      </c>
      <c r="I1513">
        <v>0</v>
      </c>
      <c r="J1513" t="s">
        <v>2277</v>
      </c>
      <c r="K1513" t="s">
        <v>2277</v>
      </c>
      <c r="L1513" t="s">
        <v>2277</v>
      </c>
      <c r="M1513" t="s">
        <v>2277</v>
      </c>
      <c r="N1513" t="s">
        <v>2277</v>
      </c>
      <c r="O1513" s="190" t="str">
        <f t="shared" si="23"/>
        <v>[CountOperatorsUsingBiofuels][0][CountOperatorsUsingBiofuels]</v>
      </c>
    </row>
    <row r="1514" spans="1:15" x14ac:dyDescent="0.3">
      <c r="A1514" t="s">
        <v>2278</v>
      </c>
      <c r="B1514" t="s">
        <v>1936</v>
      </c>
      <c r="C1514" t="s">
        <v>1938</v>
      </c>
      <c r="D1514">
        <v>0</v>
      </c>
      <c r="E1514" t="s">
        <v>1447</v>
      </c>
      <c r="F1514" t="s">
        <v>1938</v>
      </c>
      <c r="G1514" t="s">
        <v>1806</v>
      </c>
      <c r="H1514" t="s">
        <v>2277</v>
      </c>
      <c r="I1514" t="s">
        <v>2277</v>
      </c>
      <c r="J1514">
        <v>0</v>
      </c>
      <c r="K1514" t="s">
        <v>2277</v>
      </c>
      <c r="L1514" t="s">
        <v>2277</v>
      </c>
      <c r="M1514" t="s">
        <v>2277</v>
      </c>
      <c r="N1514" t="s">
        <v>2277</v>
      </c>
      <c r="O1514" s="190" t="str">
        <f t="shared" si="23"/>
        <v>[EmissionsBiofuelsSustainabilitySatisfied][0][EmissionsBiofuelsSustainabilitySatisfied]</v>
      </c>
    </row>
    <row r="1515" spans="1:15" x14ac:dyDescent="0.3">
      <c r="A1515" t="s">
        <v>2278</v>
      </c>
      <c r="B1515" t="s">
        <v>1936</v>
      </c>
      <c r="C1515" t="s">
        <v>1939</v>
      </c>
      <c r="D1515">
        <v>0</v>
      </c>
      <c r="E1515" t="s">
        <v>1447</v>
      </c>
      <c r="F1515" t="s">
        <v>1939</v>
      </c>
      <c r="G1515" t="s">
        <v>1806</v>
      </c>
      <c r="H1515" t="s">
        <v>2277</v>
      </c>
      <c r="I1515" t="s">
        <v>2277</v>
      </c>
      <c r="J1515">
        <v>0</v>
      </c>
      <c r="K1515" t="s">
        <v>2277</v>
      </c>
      <c r="L1515" t="s">
        <v>2277</v>
      </c>
      <c r="M1515" t="s">
        <v>2277</v>
      </c>
      <c r="N1515" t="s">
        <v>2277</v>
      </c>
      <c r="O1515" s="190" t="str">
        <f t="shared" si="23"/>
        <v>[EmissionsBiofuelsSustainabilityNotSatisfied][0][EmissionsBiofuelsSustainabilityNotSatisfied]</v>
      </c>
    </row>
    <row r="1516" spans="1:15" x14ac:dyDescent="0.3">
      <c r="A1516" t="s">
        <v>2278</v>
      </c>
      <c r="B1516" t="s">
        <v>1940</v>
      </c>
      <c r="C1516" t="s">
        <v>1941</v>
      </c>
      <c r="D1516">
        <v>1</v>
      </c>
      <c r="E1516" t="s">
        <v>1447</v>
      </c>
      <c r="F1516" t="s">
        <v>1942</v>
      </c>
      <c r="G1516" t="s">
        <v>1748</v>
      </c>
      <c r="H1516" t="s">
        <v>2277</v>
      </c>
      <c r="I1516">
        <v>2</v>
      </c>
      <c r="J1516" t="s">
        <v>2277</v>
      </c>
      <c r="K1516" t="s">
        <v>2277</v>
      </c>
      <c r="L1516" t="s">
        <v>2277</v>
      </c>
      <c r="M1516" t="s">
        <v>2277</v>
      </c>
      <c r="N1516" t="s">
        <v>2277</v>
      </c>
      <c r="O1516" s="190" t="str">
        <f t="shared" si="23"/>
        <v>[S05_SmallEmittersTool][1][CountSmallEmitters]</v>
      </c>
    </row>
    <row r="1517" spans="1:15" x14ac:dyDescent="0.3">
      <c r="A1517" t="s">
        <v>2278</v>
      </c>
      <c r="B1517" t="s">
        <v>1940</v>
      </c>
      <c r="C1517" t="s">
        <v>1941</v>
      </c>
      <c r="D1517">
        <v>2</v>
      </c>
      <c r="E1517" t="s">
        <v>1447</v>
      </c>
      <c r="F1517" t="s">
        <v>1942</v>
      </c>
      <c r="G1517" t="s">
        <v>1748</v>
      </c>
      <c r="H1517" t="s">
        <v>2277</v>
      </c>
      <c r="I1517">
        <v>2</v>
      </c>
      <c r="J1517" t="s">
        <v>2277</v>
      </c>
      <c r="K1517" t="s">
        <v>2277</v>
      </c>
      <c r="L1517" t="s">
        <v>2277</v>
      </c>
      <c r="M1517" t="s">
        <v>2277</v>
      </c>
      <c r="N1517" t="s">
        <v>2277</v>
      </c>
      <c r="O1517" s="190" t="str">
        <f t="shared" si="23"/>
        <v>[S05_SmallEmittersTool][2][CountSmallEmitters]</v>
      </c>
    </row>
    <row r="1518" spans="1:15" x14ac:dyDescent="0.3">
      <c r="A1518" t="s">
        <v>2278</v>
      </c>
      <c r="B1518" t="s">
        <v>1940</v>
      </c>
      <c r="C1518" t="s">
        <v>1941</v>
      </c>
      <c r="D1518">
        <v>3</v>
      </c>
      <c r="E1518" t="s">
        <v>1447</v>
      </c>
      <c r="F1518" t="s">
        <v>1942</v>
      </c>
      <c r="G1518" t="s">
        <v>1748</v>
      </c>
      <c r="H1518" t="s">
        <v>2277</v>
      </c>
      <c r="I1518">
        <v>5</v>
      </c>
      <c r="J1518" t="s">
        <v>2277</v>
      </c>
      <c r="K1518" t="s">
        <v>2277</v>
      </c>
      <c r="L1518" t="s">
        <v>2277</v>
      </c>
      <c r="M1518" t="s">
        <v>2277</v>
      </c>
      <c r="N1518" t="s">
        <v>2277</v>
      </c>
      <c r="O1518" s="190" t="str">
        <f t="shared" si="23"/>
        <v>[S05_SmallEmittersTool][3][CountSmallEmitters]</v>
      </c>
    </row>
    <row r="1519" spans="1:15" x14ac:dyDescent="0.3">
      <c r="A1519" t="s">
        <v>2278</v>
      </c>
      <c r="B1519" t="s">
        <v>1940</v>
      </c>
      <c r="C1519" t="s">
        <v>1941</v>
      </c>
      <c r="D1519">
        <v>4</v>
      </c>
      <c r="E1519" t="s">
        <v>1447</v>
      </c>
      <c r="F1519" t="s">
        <v>1942</v>
      </c>
      <c r="G1519" t="s">
        <v>1748</v>
      </c>
      <c r="H1519" t="s">
        <v>2277</v>
      </c>
      <c r="I1519">
        <v>7</v>
      </c>
      <c r="J1519" t="s">
        <v>2277</v>
      </c>
      <c r="K1519" t="s">
        <v>2277</v>
      </c>
      <c r="L1519" t="s">
        <v>2277</v>
      </c>
      <c r="M1519" t="s">
        <v>2277</v>
      </c>
      <c r="N1519" t="s">
        <v>2277</v>
      </c>
      <c r="O1519" s="190" t="str">
        <f t="shared" si="23"/>
        <v>[S05_SmallEmittersTool][4][CountSmallEmitters]</v>
      </c>
    </row>
    <row r="1520" spans="1:15" x14ac:dyDescent="0.3">
      <c r="A1520" t="s">
        <v>2278</v>
      </c>
      <c r="B1520" t="s">
        <v>1943</v>
      </c>
      <c r="C1520" t="s">
        <v>1944</v>
      </c>
      <c r="D1520">
        <v>0</v>
      </c>
      <c r="E1520" t="s">
        <v>1447</v>
      </c>
      <c r="F1520" t="s">
        <v>1944</v>
      </c>
      <c r="G1520" t="s">
        <v>1748</v>
      </c>
      <c r="H1520" t="s">
        <v>2277</v>
      </c>
      <c r="I1520">
        <v>0</v>
      </c>
      <c r="J1520" t="s">
        <v>2277</v>
      </c>
      <c r="K1520" t="s">
        <v>2277</v>
      </c>
      <c r="L1520" t="s">
        <v>2277</v>
      </c>
      <c r="M1520" t="s">
        <v>2277</v>
      </c>
      <c r="N1520" t="s">
        <v>2277</v>
      </c>
      <c r="O1520" s="190" t="str">
        <f t="shared" si="23"/>
        <v>[AircraftImprovementReportRequired][0][AircraftImprovementReportRequired]</v>
      </c>
    </row>
    <row r="1521" spans="1:15" x14ac:dyDescent="0.3">
      <c r="A1521" t="s">
        <v>2278</v>
      </c>
      <c r="B1521" t="s">
        <v>1943</v>
      </c>
      <c r="C1521" t="s">
        <v>1945</v>
      </c>
      <c r="D1521">
        <v>0</v>
      </c>
      <c r="E1521" t="s">
        <v>1447</v>
      </c>
      <c r="F1521" t="s">
        <v>1945</v>
      </c>
      <c r="G1521" t="s">
        <v>1748</v>
      </c>
      <c r="H1521" t="s">
        <v>2277</v>
      </c>
      <c r="I1521">
        <v>0</v>
      </c>
      <c r="J1521" t="s">
        <v>2277</v>
      </c>
      <c r="K1521" t="s">
        <v>2277</v>
      </c>
      <c r="L1521" t="s">
        <v>2277</v>
      </c>
      <c r="M1521" t="s">
        <v>2277</v>
      </c>
      <c r="N1521" t="s">
        <v>2277</v>
      </c>
      <c r="O1521" s="190" t="str">
        <f t="shared" si="23"/>
        <v>[AircraftImprovementReportSubmitted][0][AircraftImprovementReportSubmitted]</v>
      </c>
    </row>
    <row r="1522" spans="1:15" x14ac:dyDescent="0.3">
      <c r="A1522" t="s">
        <v>2278</v>
      </c>
      <c r="B1522" t="s">
        <v>1946</v>
      </c>
      <c r="C1522" t="s">
        <v>1947</v>
      </c>
      <c r="D1522">
        <v>0</v>
      </c>
      <c r="E1522" t="s">
        <v>1447</v>
      </c>
      <c r="F1522" t="s">
        <v>1947</v>
      </c>
      <c r="G1522" t="s">
        <v>1759</v>
      </c>
      <c r="H1522" t="s">
        <v>2277</v>
      </c>
      <c r="I1522" t="s">
        <v>2277</v>
      </c>
      <c r="J1522" t="s">
        <v>2277</v>
      </c>
      <c r="K1522" t="s">
        <v>2277</v>
      </c>
      <c r="L1522" t="s">
        <v>1447</v>
      </c>
      <c r="M1522" t="s">
        <v>2277</v>
      </c>
      <c r="N1522" t="s">
        <v>2277</v>
      </c>
      <c r="O1522" s="190" t="str">
        <f t="shared" si="23"/>
        <v>[AircraftSimplifiedMonitoringArt13][0][AircraftSimplifiedMonitoringArt13]</v>
      </c>
    </row>
    <row r="1523" spans="1:15" x14ac:dyDescent="0.3">
      <c r="A1523" t="s">
        <v>2278</v>
      </c>
      <c r="B1523" t="s">
        <v>1951</v>
      </c>
      <c r="C1523" t="s">
        <v>1952</v>
      </c>
      <c r="D1523">
        <v>1</v>
      </c>
      <c r="E1523" t="s">
        <v>1447</v>
      </c>
      <c r="F1523" t="s">
        <v>1953</v>
      </c>
      <c r="G1523" t="s">
        <v>1748</v>
      </c>
      <c r="H1523" t="s">
        <v>2277</v>
      </c>
      <c r="I1523">
        <v>8</v>
      </c>
      <c r="J1523" t="s">
        <v>2277</v>
      </c>
      <c r="K1523" t="s">
        <v>2277</v>
      </c>
      <c r="L1523" t="s">
        <v>2277</v>
      </c>
      <c r="M1523" t="s">
        <v>2277</v>
      </c>
      <c r="N1523" t="s">
        <v>2277</v>
      </c>
      <c r="O1523" s="190" t="str">
        <f t="shared" si="23"/>
        <v>[S06_TotalVerifiers][1][CountVerifiersInstallations]</v>
      </c>
    </row>
    <row r="1524" spans="1:15" x14ac:dyDescent="0.3">
      <c r="A1524" t="s">
        <v>2278</v>
      </c>
      <c r="B1524" t="s">
        <v>1951</v>
      </c>
      <c r="C1524" t="s">
        <v>1952</v>
      </c>
      <c r="D1524">
        <v>3</v>
      </c>
      <c r="E1524" t="s">
        <v>1447</v>
      </c>
      <c r="F1524" t="s">
        <v>1953</v>
      </c>
      <c r="G1524" t="s">
        <v>1748</v>
      </c>
      <c r="H1524" t="s">
        <v>2277</v>
      </c>
      <c r="I1524">
        <v>3</v>
      </c>
      <c r="J1524" t="s">
        <v>2277</v>
      </c>
      <c r="K1524" t="s">
        <v>2277</v>
      </c>
      <c r="L1524" t="s">
        <v>2277</v>
      </c>
      <c r="M1524" t="s">
        <v>2277</v>
      </c>
      <c r="N1524" t="s">
        <v>2277</v>
      </c>
      <c r="O1524" s="190" t="str">
        <f t="shared" si="23"/>
        <v>[S06_TotalVerifiers][3][CountVerifiersInstallations]</v>
      </c>
    </row>
    <row r="1525" spans="1:15" x14ac:dyDescent="0.3">
      <c r="A1525" t="s">
        <v>2278</v>
      </c>
      <c r="B1525" t="s">
        <v>1951</v>
      </c>
      <c r="C1525" t="s">
        <v>1952</v>
      </c>
      <c r="D1525">
        <v>3</v>
      </c>
      <c r="E1525" t="s">
        <v>1447</v>
      </c>
      <c r="F1525" t="s">
        <v>1954</v>
      </c>
      <c r="G1525" t="s">
        <v>1741</v>
      </c>
      <c r="H1525" t="s">
        <v>2334</v>
      </c>
      <c r="I1525" t="s">
        <v>2277</v>
      </c>
      <c r="J1525" t="s">
        <v>2277</v>
      </c>
      <c r="K1525" t="s">
        <v>2277</v>
      </c>
      <c r="L1525" t="s">
        <v>2277</v>
      </c>
      <c r="M1525" t="s">
        <v>2277</v>
      </c>
      <c r="N1525" t="s">
        <v>2277</v>
      </c>
      <c r="O1525" s="190" t="str">
        <f t="shared" si="23"/>
        <v>[S06_TotalVerifiers][3][MSVerifiersInstallations]</v>
      </c>
    </row>
    <row r="1526" spans="1:15" x14ac:dyDescent="0.3">
      <c r="A1526" t="s">
        <v>2278</v>
      </c>
      <c r="B1526" t="s">
        <v>1951</v>
      </c>
      <c r="C1526" t="s">
        <v>1952</v>
      </c>
      <c r="D1526">
        <v>3</v>
      </c>
      <c r="E1526" t="s">
        <v>1447</v>
      </c>
      <c r="F1526" t="s">
        <v>1955</v>
      </c>
      <c r="G1526" t="s">
        <v>1748</v>
      </c>
      <c r="H1526" t="s">
        <v>2277</v>
      </c>
      <c r="I1526">
        <v>3</v>
      </c>
      <c r="J1526" t="s">
        <v>2277</v>
      </c>
      <c r="K1526" t="s">
        <v>2277</v>
      </c>
      <c r="L1526" t="s">
        <v>2277</v>
      </c>
      <c r="M1526" t="s">
        <v>2277</v>
      </c>
      <c r="N1526" t="s">
        <v>2277</v>
      </c>
      <c r="O1526" s="190" t="str">
        <f t="shared" si="23"/>
        <v>[S06_TotalVerifiers][3][CountVerifiersAviation]</v>
      </c>
    </row>
    <row r="1527" spans="1:15" x14ac:dyDescent="0.3">
      <c r="A1527" t="s">
        <v>2278</v>
      </c>
      <c r="B1527" t="s">
        <v>1951</v>
      </c>
      <c r="C1527" t="s">
        <v>1952</v>
      </c>
      <c r="D1527">
        <v>3</v>
      </c>
      <c r="E1527" t="s">
        <v>1447</v>
      </c>
      <c r="F1527" t="s">
        <v>1956</v>
      </c>
      <c r="G1527" t="s">
        <v>1741</v>
      </c>
      <c r="H1527" t="s">
        <v>2334</v>
      </c>
      <c r="I1527" t="s">
        <v>2277</v>
      </c>
      <c r="J1527" t="s">
        <v>2277</v>
      </c>
      <c r="K1527" t="s">
        <v>2277</v>
      </c>
      <c r="L1527" t="s">
        <v>2277</v>
      </c>
      <c r="M1527" t="s">
        <v>2277</v>
      </c>
      <c r="N1527" t="s">
        <v>2277</v>
      </c>
      <c r="O1527" s="190" t="str">
        <f t="shared" si="23"/>
        <v>[S06_TotalVerifiers][3][MSVerifiersAviation]</v>
      </c>
    </row>
    <row r="1528" spans="1:15" x14ac:dyDescent="0.3">
      <c r="A1528" t="s">
        <v>2278</v>
      </c>
      <c r="B1528" t="s">
        <v>1951</v>
      </c>
      <c r="C1528" t="s">
        <v>1957</v>
      </c>
      <c r="D1528">
        <v>1</v>
      </c>
      <c r="E1528" t="s">
        <v>1447</v>
      </c>
      <c r="F1528" t="s">
        <v>1958</v>
      </c>
      <c r="G1528" t="s">
        <v>1737</v>
      </c>
      <c r="H1528" t="s">
        <v>2277</v>
      </c>
      <c r="I1528" t="s">
        <v>2277</v>
      </c>
      <c r="J1528" t="s">
        <v>2277</v>
      </c>
      <c r="K1528" t="s">
        <v>2277</v>
      </c>
      <c r="L1528" t="s">
        <v>1436</v>
      </c>
      <c r="M1528" t="s">
        <v>2277</v>
      </c>
      <c r="N1528" t="s">
        <v>2277</v>
      </c>
      <c r="O1528" s="190" t="str">
        <f t="shared" si="23"/>
        <v>[S06_AccredCertVerifiersAnnexI][1][AccredCertScope]</v>
      </c>
    </row>
    <row r="1529" spans="1:15" x14ac:dyDescent="0.3">
      <c r="A1529" t="s">
        <v>2278</v>
      </c>
      <c r="B1529" t="s">
        <v>1951</v>
      </c>
      <c r="C1529" t="s">
        <v>1957</v>
      </c>
      <c r="D1529">
        <v>2</v>
      </c>
      <c r="E1529" t="s">
        <v>1447</v>
      </c>
      <c r="F1529" t="s">
        <v>1958</v>
      </c>
      <c r="G1529" t="s">
        <v>1737</v>
      </c>
      <c r="H1529" t="s">
        <v>2277</v>
      </c>
      <c r="I1529" t="s">
        <v>2277</v>
      </c>
      <c r="J1529" t="s">
        <v>2277</v>
      </c>
      <c r="K1529" t="s">
        <v>2277</v>
      </c>
      <c r="L1529" t="s">
        <v>1465</v>
      </c>
      <c r="M1529" t="s">
        <v>2277</v>
      </c>
      <c r="N1529" t="s">
        <v>2277</v>
      </c>
      <c r="O1529" s="190" t="str">
        <f t="shared" si="23"/>
        <v>[S06_AccredCertVerifiersAnnexI][2][AccredCertScope]</v>
      </c>
    </row>
    <row r="1530" spans="1:15" x14ac:dyDescent="0.3">
      <c r="A1530" t="s">
        <v>2278</v>
      </c>
      <c r="B1530" t="s">
        <v>1951</v>
      </c>
      <c r="C1530" t="s">
        <v>1957</v>
      </c>
      <c r="D1530">
        <v>3</v>
      </c>
      <c r="E1530" t="s">
        <v>1447</v>
      </c>
      <c r="F1530" t="s">
        <v>1958</v>
      </c>
      <c r="G1530" t="s">
        <v>1737</v>
      </c>
      <c r="H1530" t="s">
        <v>2277</v>
      </c>
      <c r="I1530" t="s">
        <v>2277</v>
      </c>
      <c r="J1530" t="s">
        <v>2277</v>
      </c>
      <c r="K1530" t="s">
        <v>2277</v>
      </c>
      <c r="L1530" t="s">
        <v>1490</v>
      </c>
      <c r="M1530" t="s">
        <v>2277</v>
      </c>
      <c r="N1530" t="s">
        <v>2277</v>
      </c>
      <c r="O1530" s="190" t="str">
        <f t="shared" si="23"/>
        <v>[S06_AccredCertVerifiersAnnexI][3][AccredCertScope]</v>
      </c>
    </row>
    <row r="1531" spans="1:15" x14ac:dyDescent="0.3">
      <c r="A1531" t="s">
        <v>2278</v>
      </c>
      <c r="B1531" t="s">
        <v>1951</v>
      </c>
      <c r="C1531" t="s">
        <v>1957</v>
      </c>
      <c r="D1531">
        <v>4</v>
      </c>
      <c r="E1531" t="s">
        <v>1447</v>
      </c>
      <c r="F1531" t="s">
        <v>1958</v>
      </c>
      <c r="G1531" t="s">
        <v>1737</v>
      </c>
      <c r="H1531" t="s">
        <v>2277</v>
      </c>
      <c r="I1531" t="s">
        <v>2277</v>
      </c>
      <c r="J1531" t="s">
        <v>2277</v>
      </c>
      <c r="K1531" t="s">
        <v>2277</v>
      </c>
      <c r="L1531" t="s">
        <v>1510</v>
      </c>
      <c r="M1531" t="s">
        <v>2277</v>
      </c>
      <c r="N1531" t="s">
        <v>2277</v>
      </c>
      <c r="O1531" s="190" t="str">
        <f t="shared" si="23"/>
        <v>[S06_AccredCertVerifiersAnnexI][4][AccredCertScope]</v>
      </c>
    </row>
    <row r="1532" spans="1:15" x14ac:dyDescent="0.3">
      <c r="A1532" t="s">
        <v>2278</v>
      </c>
      <c r="B1532" t="s">
        <v>1951</v>
      </c>
      <c r="C1532" t="s">
        <v>1957</v>
      </c>
      <c r="D1532">
        <v>5</v>
      </c>
      <c r="E1532" t="s">
        <v>1447</v>
      </c>
      <c r="F1532" t="s">
        <v>1958</v>
      </c>
      <c r="G1532" t="s">
        <v>1737</v>
      </c>
      <c r="H1532" t="s">
        <v>2277</v>
      </c>
      <c r="I1532" t="s">
        <v>2277</v>
      </c>
      <c r="J1532" t="s">
        <v>2277</v>
      </c>
      <c r="K1532" t="s">
        <v>2277</v>
      </c>
      <c r="L1532" t="s">
        <v>1523</v>
      </c>
      <c r="M1532" t="s">
        <v>2277</v>
      </c>
      <c r="N1532" t="s">
        <v>2277</v>
      </c>
      <c r="O1532" s="190" t="str">
        <f t="shared" si="23"/>
        <v>[S06_AccredCertVerifiersAnnexI][5][AccredCertScope]</v>
      </c>
    </row>
    <row r="1533" spans="1:15" x14ac:dyDescent="0.3">
      <c r="A1533" t="s">
        <v>2278</v>
      </c>
      <c r="B1533" t="s">
        <v>1951</v>
      </c>
      <c r="C1533" t="s">
        <v>1957</v>
      </c>
      <c r="D1533">
        <v>6</v>
      </c>
      <c r="E1533" t="s">
        <v>1447</v>
      </c>
      <c r="F1533" t="s">
        <v>1958</v>
      </c>
      <c r="G1533" t="s">
        <v>1737</v>
      </c>
      <c r="H1533" t="s">
        <v>2277</v>
      </c>
      <c r="I1533" t="s">
        <v>2277</v>
      </c>
      <c r="J1533" t="s">
        <v>2277</v>
      </c>
      <c r="K1533" t="s">
        <v>2277</v>
      </c>
      <c r="L1533" t="s">
        <v>1535</v>
      </c>
      <c r="M1533" t="s">
        <v>2277</v>
      </c>
      <c r="N1533" t="s">
        <v>2277</v>
      </c>
      <c r="O1533" s="190" t="str">
        <f t="shared" si="23"/>
        <v>[S06_AccredCertVerifiersAnnexI][6][AccredCertScope]</v>
      </c>
    </row>
    <row r="1534" spans="1:15" x14ac:dyDescent="0.3">
      <c r="A1534" t="s">
        <v>2278</v>
      </c>
      <c r="B1534" t="s">
        <v>1951</v>
      </c>
      <c r="C1534" t="s">
        <v>1957</v>
      </c>
      <c r="D1534">
        <v>7</v>
      </c>
      <c r="E1534" t="s">
        <v>1447</v>
      </c>
      <c r="F1534" t="s">
        <v>1958</v>
      </c>
      <c r="G1534" t="s">
        <v>1737</v>
      </c>
      <c r="H1534" t="s">
        <v>2277</v>
      </c>
      <c r="I1534" t="s">
        <v>2277</v>
      </c>
      <c r="J1534" t="s">
        <v>2277</v>
      </c>
      <c r="K1534" t="s">
        <v>2277</v>
      </c>
      <c r="L1534" t="s">
        <v>1545</v>
      </c>
      <c r="M1534" t="s">
        <v>2277</v>
      </c>
      <c r="N1534" t="s">
        <v>2277</v>
      </c>
      <c r="O1534" s="190" t="str">
        <f t="shared" si="23"/>
        <v>[S06_AccredCertVerifiersAnnexI][7][AccredCertScope]</v>
      </c>
    </row>
    <row r="1535" spans="1:15" x14ac:dyDescent="0.3">
      <c r="A1535" t="s">
        <v>2278</v>
      </c>
      <c r="B1535" t="s">
        <v>1951</v>
      </c>
      <c r="C1535" t="s">
        <v>1957</v>
      </c>
      <c r="D1535">
        <v>8</v>
      </c>
      <c r="E1535" t="s">
        <v>1447</v>
      </c>
      <c r="F1535" t="s">
        <v>1958</v>
      </c>
      <c r="G1535" t="s">
        <v>1737</v>
      </c>
      <c r="H1535" t="s">
        <v>2277</v>
      </c>
      <c r="I1535" t="s">
        <v>2277</v>
      </c>
      <c r="J1535" t="s">
        <v>2277</v>
      </c>
      <c r="K1535" t="s">
        <v>2277</v>
      </c>
      <c r="L1535" t="s">
        <v>1553</v>
      </c>
      <c r="M1535" t="s">
        <v>2277</v>
      </c>
      <c r="N1535" t="s">
        <v>2277</v>
      </c>
      <c r="O1535" s="190" t="str">
        <f t="shared" si="23"/>
        <v>[S06_AccredCertVerifiersAnnexI][8][AccredCertScope]</v>
      </c>
    </row>
    <row r="1536" spans="1:15" x14ac:dyDescent="0.3">
      <c r="A1536" t="s">
        <v>2278</v>
      </c>
      <c r="B1536" t="s">
        <v>1951</v>
      </c>
      <c r="C1536" t="s">
        <v>1957</v>
      </c>
      <c r="D1536">
        <v>9</v>
      </c>
      <c r="E1536" t="s">
        <v>1447</v>
      </c>
      <c r="F1536" t="s">
        <v>1958</v>
      </c>
      <c r="G1536" t="s">
        <v>1737</v>
      </c>
      <c r="H1536" t="s">
        <v>2277</v>
      </c>
      <c r="I1536" t="s">
        <v>2277</v>
      </c>
      <c r="J1536" t="s">
        <v>2277</v>
      </c>
      <c r="K1536" t="s">
        <v>2277</v>
      </c>
      <c r="L1536" t="s">
        <v>1561</v>
      </c>
      <c r="M1536" t="s">
        <v>2277</v>
      </c>
      <c r="N1536" t="s">
        <v>2277</v>
      </c>
      <c r="O1536" s="190" t="str">
        <f t="shared" si="23"/>
        <v>[S06_AccredCertVerifiersAnnexI][9][AccredCertScope]</v>
      </c>
    </row>
    <row r="1537" spans="1:15" x14ac:dyDescent="0.3">
      <c r="A1537" t="s">
        <v>2278</v>
      </c>
      <c r="B1537" t="s">
        <v>1951</v>
      </c>
      <c r="C1537" t="s">
        <v>1957</v>
      </c>
      <c r="D1537">
        <v>10</v>
      </c>
      <c r="E1537" t="s">
        <v>1447</v>
      </c>
      <c r="F1537" t="s">
        <v>1958</v>
      </c>
      <c r="G1537" t="s">
        <v>1737</v>
      </c>
      <c r="H1537" t="s">
        <v>2277</v>
      </c>
      <c r="I1537" t="s">
        <v>2277</v>
      </c>
      <c r="J1537" t="s">
        <v>2277</v>
      </c>
      <c r="K1537" t="s">
        <v>2277</v>
      </c>
      <c r="L1537" t="s">
        <v>1566</v>
      </c>
      <c r="M1537" t="s">
        <v>2277</v>
      </c>
      <c r="N1537" t="s">
        <v>2277</v>
      </c>
      <c r="O1537" s="190" t="str">
        <f t="shared" si="23"/>
        <v>[S06_AccredCertVerifiersAnnexI][10][AccredCertScope]</v>
      </c>
    </row>
    <row r="1538" spans="1:15" x14ac:dyDescent="0.3">
      <c r="A1538" t="s">
        <v>2278</v>
      </c>
      <c r="B1538" t="s">
        <v>1951</v>
      </c>
      <c r="C1538" t="s">
        <v>1957</v>
      </c>
      <c r="D1538">
        <v>11</v>
      </c>
      <c r="E1538" t="s">
        <v>1447</v>
      </c>
      <c r="F1538" t="s">
        <v>1958</v>
      </c>
      <c r="G1538" t="s">
        <v>1737</v>
      </c>
      <c r="H1538" t="s">
        <v>2277</v>
      </c>
      <c r="I1538" t="s">
        <v>2277</v>
      </c>
      <c r="J1538" t="s">
        <v>2277</v>
      </c>
      <c r="K1538" t="s">
        <v>2277</v>
      </c>
      <c r="L1538" t="s">
        <v>1571</v>
      </c>
      <c r="M1538" t="s">
        <v>2277</v>
      </c>
      <c r="N1538" t="s">
        <v>2277</v>
      </c>
      <c r="O1538" s="190" t="str">
        <f t="shared" ref="O1538:O1601" si="24">"["&amp;$C1538&amp;"]["&amp;$D1538&amp;"]["&amp;$F1538&amp;"]"</f>
        <v>[S06_AccredCertVerifiersAnnexI][11][AccredCertScope]</v>
      </c>
    </row>
    <row r="1539" spans="1:15" x14ac:dyDescent="0.3">
      <c r="A1539" t="s">
        <v>2278</v>
      </c>
      <c r="B1539" t="s">
        <v>1951</v>
      </c>
      <c r="C1539" t="s">
        <v>1957</v>
      </c>
      <c r="D1539">
        <v>12</v>
      </c>
      <c r="E1539" t="s">
        <v>1447</v>
      </c>
      <c r="F1539" t="s">
        <v>1958</v>
      </c>
      <c r="G1539" t="s">
        <v>1737</v>
      </c>
      <c r="H1539" t="s">
        <v>2277</v>
      </c>
      <c r="I1539" t="s">
        <v>2277</v>
      </c>
      <c r="J1539" t="s">
        <v>2277</v>
      </c>
      <c r="K1539" t="s">
        <v>2277</v>
      </c>
      <c r="L1539" t="s">
        <v>1576</v>
      </c>
      <c r="M1539" t="s">
        <v>2277</v>
      </c>
      <c r="N1539" t="s">
        <v>2277</v>
      </c>
      <c r="O1539" s="190" t="str">
        <f t="shared" si="24"/>
        <v>[S06_AccredCertVerifiersAnnexI][12][AccredCertScope]</v>
      </c>
    </row>
    <row r="1540" spans="1:15" x14ac:dyDescent="0.3">
      <c r="A1540" t="s">
        <v>2278</v>
      </c>
      <c r="B1540" t="s">
        <v>1951</v>
      </c>
      <c r="C1540" t="s">
        <v>1957</v>
      </c>
      <c r="D1540">
        <v>13</v>
      </c>
      <c r="E1540" t="s">
        <v>1447</v>
      </c>
      <c r="F1540" t="s">
        <v>1958</v>
      </c>
      <c r="G1540" t="s">
        <v>1737</v>
      </c>
      <c r="H1540" t="s">
        <v>2277</v>
      </c>
      <c r="I1540" t="s">
        <v>2277</v>
      </c>
      <c r="J1540" t="s">
        <v>2277</v>
      </c>
      <c r="K1540" t="s">
        <v>2277</v>
      </c>
      <c r="L1540" t="s">
        <v>1580</v>
      </c>
      <c r="M1540" t="s">
        <v>2277</v>
      </c>
      <c r="N1540" t="s">
        <v>2277</v>
      </c>
      <c r="O1540" s="190" t="str">
        <f t="shared" si="24"/>
        <v>[S06_AccredCertVerifiersAnnexI][13][AccredCertScope]</v>
      </c>
    </row>
    <row r="1541" spans="1:15" x14ac:dyDescent="0.3">
      <c r="A1541" t="s">
        <v>2278</v>
      </c>
      <c r="B1541" t="s">
        <v>1951</v>
      </c>
      <c r="C1541" t="s">
        <v>1957</v>
      </c>
      <c r="D1541">
        <v>14</v>
      </c>
      <c r="E1541" t="s">
        <v>1447</v>
      </c>
      <c r="F1541" t="s">
        <v>1958</v>
      </c>
      <c r="G1541" t="s">
        <v>1737</v>
      </c>
      <c r="H1541" t="s">
        <v>2277</v>
      </c>
      <c r="I1541" t="s">
        <v>2277</v>
      </c>
      <c r="J1541" t="s">
        <v>2277</v>
      </c>
      <c r="K1541" t="s">
        <v>2277</v>
      </c>
      <c r="L1541" t="s">
        <v>1585</v>
      </c>
      <c r="M1541" t="s">
        <v>2277</v>
      </c>
      <c r="N1541" t="s">
        <v>2277</v>
      </c>
      <c r="O1541" s="190" t="str">
        <f t="shared" si="24"/>
        <v>[S06_AccredCertVerifiersAnnexI][14][AccredCertScope]</v>
      </c>
    </row>
    <row r="1542" spans="1:15" x14ac:dyDescent="0.3">
      <c r="A1542" t="s">
        <v>2278</v>
      </c>
      <c r="B1542" t="s">
        <v>1951</v>
      </c>
      <c r="C1542" t="s">
        <v>1957</v>
      </c>
      <c r="D1542">
        <v>15</v>
      </c>
      <c r="E1542" t="s">
        <v>1447</v>
      </c>
      <c r="F1542" t="s">
        <v>1958</v>
      </c>
      <c r="G1542" t="s">
        <v>1737</v>
      </c>
      <c r="H1542" t="s">
        <v>2277</v>
      </c>
      <c r="I1542" t="s">
        <v>2277</v>
      </c>
      <c r="J1542" t="s">
        <v>2277</v>
      </c>
      <c r="K1542" t="s">
        <v>2277</v>
      </c>
      <c r="L1542" t="s">
        <v>1590</v>
      </c>
      <c r="M1542" t="s">
        <v>2277</v>
      </c>
      <c r="N1542" t="s">
        <v>2277</v>
      </c>
      <c r="O1542" s="190" t="str">
        <f t="shared" si="24"/>
        <v>[S06_AccredCertVerifiersAnnexI][15][AccredCertScope]</v>
      </c>
    </row>
    <row r="1543" spans="1:15" x14ac:dyDescent="0.3">
      <c r="A1543" t="s">
        <v>2278</v>
      </c>
      <c r="B1543" t="s">
        <v>1951</v>
      </c>
      <c r="C1543" t="s">
        <v>1957</v>
      </c>
      <c r="D1543">
        <v>16</v>
      </c>
      <c r="E1543" t="s">
        <v>1447</v>
      </c>
      <c r="F1543" t="s">
        <v>1958</v>
      </c>
      <c r="G1543" t="s">
        <v>1737</v>
      </c>
      <c r="H1543" t="s">
        <v>2277</v>
      </c>
      <c r="I1543" t="s">
        <v>2277</v>
      </c>
      <c r="J1543" t="s">
        <v>2277</v>
      </c>
      <c r="K1543" t="s">
        <v>2277</v>
      </c>
      <c r="L1543" t="s">
        <v>1595</v>
      </c>
      <c r="M1543" t="s">
        <v>2277</v>
      </c>
      <c r="N1543" t="s">
        <v>2277</v>
      </c>
      <c r="O1543" s="190" t="str">
        <f t="shared" si="24"/>
        <v>[S06_AccredCertVerifiersAnnexI][16][AccredCertScope]</v>
      </c>
    </row>
    <row r="1544" spans="1:15" x14ac:dyDescent="0.3">
      <c r="A1544" t="s">
        <v>2278</v>
      </c>
      <c r="B1544" t="s">
        <v>1951</v>
      </c>
      <c r="C1544" t="s">
        <v>1957</v>
      </c>
      <c r="D1544">
        <v>17</v>
      </c>
      <c r="E1544" t="s">
        <v>1447</v>
      </c>
      <c r="F1544" t="s">
        <v>1958</v>
      </c>
      <c r="G1544" t="s">
        <v>1737</v>
      </c>
      <c r="H1544" t="s">
        <v>2277</v>
      </c>
      <c r="I1544" t="s">
        <v>2277</v>
      </c>
      <c r="J1544" t="s">
        <v>2277</v>
      </c>
      <c r="K1544" t="s">
        <v>2277</v>
      </c>
      <c r="L1544" t="s">
        <v>1600</v>
      </c>
      <c r="M1544" t="s">
        <v>2277</v>
      </c>
      <c r="N1544" t="s">
        <v>2277</v>
      </c>
      <c r="O1544" s="190" t="str">
        <f t="shared" si="24"/>
        <v>[S06_AccredCertVerifiersAnnexI][17][AccredCertScope]</v>
      </c>
    </row>
    <row r="1545" spans="1:15" x14ac:dyDescent="0.3">
      <c r="A1545" t="s">
        <v>2278</v>
      </c>
      <c r="B1545" t="s">
        <v>1951</v>
      </c>
      <c r="C1545" t="s">
        <v>1957</v>
      </c>
      <c r="D1545">
        <v>18</v>
      </c>
      <c r="E1545" t="s">
        <v>1447</v>
      </c>
      <c r="F1545" t="s">
        <v>1958</v>
      </c>
      <c r="G1545" t="s">
        <v>1737</v>
      </c>
      <c r="H1545" t="s">
        <v>2277</v>
      </c>
      <c r="I1545" t="s">
        <v>2277</v>
      </c>
      <c r="J1545" t="s">
        <v>2277</v>
      </c>
      <c r="K1545" t="s">
        <v>2277</v>
      </c>
      <c r="L1545" t="s">
        <v>1605</v>
      </c>
      <c r="M1545" t="s">
        <v>2277</v>
      </c>
      <c r="N1545" t="s">
        <v>2277</v>
      </c>
      <c r="O1545" s="190" t="str">
        <f t="shared" si="24"/>
        <v>[S06_AccredCertVerifiersAnnexI][18][AccredCertScope]</v>
      </c>
    </row>
    <row r="1546" spans="1:15" x14ac:dyDescent="0.3">
      <c r="A1546" t="s">
        <v>2278</v>
      </c>
      <c r="B1546" t="s">
        <v>1951</v>
      </c>
      <c r="C1546" t="s">
        <v>1957</v>
      </c>
      <c r="D1546">
        <v>19</v>
      </c>
      <c r="E1546" t="s">
        <v>1447</v>
      </c>
      <c r="F1546" t="s">
        <v>1958</v>
      </c>
      <c r="G1546" t="s">
        <v>1737</v>
      </c>
      <c r="H1546" t="s">
        <v>2277</v>
      </c>
      <c r="I1546" t="s">
        <v>2277</v>
      </c>
      <c r="J1546" t="s">
        <v>2277</v>
      </c>
      <c r="K1546" t="s">
        <v>2277</v>
      </c>
      <c r="L1546" t="s">
        <v>1610</v>
      </c>
      <c r="M1546" t="s">
        <v>2277</v>
      </c>
      <c r="N1546" t="s">
        <v>2277</v>
      </c>
      <c r="O1546" s="190" t="str">
        <f t="shared" si="24"/>
        <v>[S06_AccredCertVerifiersAnnexI][19][AccredCertScope]</v>
      </c>
    </row>
    <row r="1547" spans="1:15" x14ac:dyDescent="0.3">
      <c r="A1547" t="s">
        <v>2278</v>
      </c>
      <c r="B1547" t="s">
        <v>1951</v>
      </c>
      <c r="C1547" t="s">
        <v>1957</v>
      </c>
      <c r="D1547">
        <v>20</v>
      </c>
      <c r="E1547" t="s">
        <v>1447</v>
      </c>
      <c r="F1547" t="s">
        <v>1958</v>
      </c>
      <c r="G1547" t="s">
        <v>1737</v>
      </c>
      <c r="H1547" t="s">
        <v>2277</v>
      </c>
      <c r="I1547" t="s">
        <v>2277</v>
      </c>
      <c r="J1547" t="s">
        <v>2277</v>
      </c>
      <c r="K1547" t="s">
        <v>2277</v>
      </c>
      <c r="L1547" t="s">
        <v>1615</v>
      </c>
      <c r="M1547" t="s">
        <v>2277</v>
      </c>
      <c r="N1547" t="s">
        <v>2277</v>
      </c>
      <c r="O1547" s="190" t="str">
        <f t="shared" si="24"/>
        <v>[S06_AccredCertVerifiersAnnexI][20][AccredCertScope]</v>
      </c>
    </row>
    <row r="1548" spans="1:15" x14ac:dyDescent="0.3">
      <c r="A1548" t="s">
        <v>2278</v>
      </c>
      <c r="B1548" t="s">
        <v>1951</v>
      </c>
      <c r="C1548" t="s">
        <v>1957</v>
      </c>
      <c r="D1548">
        <v>21</v>
      </c>
      <c r="E1548" t="s">
        <v>1447</v>
      </c>
      <c r="F1548" t="s">
        <v>1958</v>
      </c>
      <c r="G1548" t="s">
        <v>1737</v>
      </c>
      <c r="H1548" t="s">
        <v>2277</v>
      </c>
      <c r="I1548" t="s">
        <v>2277</v>
      </c>
      <c r="J1548" t="s">
        <v>2277</v>
      </c>
      <c r="K1548" t="s">
        <v>2277</v>
      </c>
      <c r="L1548" t="s">
        <v>1620</v>
      </c>
      <c r="M1548" t="s">
        <v>2277</v>
      </c>
      <c r="N1548" t="s">
        <v>2277</v>
      </c>
      <c r="O1548" s="190" t="str">
        <f t="shared" si="24"/>
        <v>[S06_AccredCertVerifiersAnnexI][21][AccredCertScope]</v>
      </c>
    </row>
    <row r="1549" spans="1:15" x14ac:dyDescent="0.3">
      <c r="A1549" t="s">
        <v>2278</v>
      </c>
      <c r="B1549" t="s">
        <v>1951</v>
      </c>
      <c r="C1549" t="s">
        <v>1957</v>
      </c>
      <c r="D1549">
        <v>22</v>
      </c>
      <c r="E1549" t="s">
        <v>1447</v>
      </c>
      <c r="F1549" t="s">
        <v>1958</v>
      </c>
      <c r="G1549" t="s">
        <v>1737</v>
      </c>
      <c r="H1549" t="s">
        <v>2277</v>
      </c>
      <c r="I1549" t="s">
        <v>2277</v>
      </c>
      <c r="J1549" t="s">
        <v>2277</v>
      </c>
      <c r="K1549" t="s">
        <v>2277</v>
      </c>
      <c r="L1549" t="s">
        <v>1625</v>
      </c>
      <c r="M1549" t="s">
        <v>2277</v>
      </c>
      <c r="N1549" t="s">
        <v>2277</v>
      </c>
      <c r="O1549" s="190" t="str">
        <f t="shared" si="24"/>
        <v>[S06_AccredCertVerifiersAnnexI][22][AccredCertScope]</v>
      </c>
    </row>
    <row r="1550" spans="1:15" x14ac:dyDescent="0.3">
      <c r="A1550" t="s">
        <v>2278</v>
      </c>
      <c r="B1550" t="s">
        <v>1951</v>
      </c>
      <c r="C1550" t="s">
        <v>1957</v>
      </c>
      <c r="D1550">
        <v>23</v>
      </c>
      <c r="E1550" t="s">
        <v>1447</v>
      </c>
      <c r="F1550" t="s">
        <v>1958</v>
      </c>
      <c r="G1550" t="s">
        <v>1737</v>
      </c>
      <c r="H1550" t="s">
        <v>2277</v>
      </c>
      <c r="I1550" t="s">
        <v>2277</v>
      </c>
      <c r="J1550" t="s">
        <v>2277</v>
      </c>
      <c r="K1550" t="s">
        <v>2277</v>
      </c>
      <c r="L1550" t="s">
        <v>1629</v>
      </c>
      <c r="M1550" t="s">
        <v>2277</v>
      </c>
      <c r="N1550" t="s">
        <v>2277</v>
      </c>
      <c r="O1550" s="190" t="str">
        <f t="shared" si="24"/>
        <v>[S06_AccredCertVerifiersAnnexI][23][AccredCertScope]</v>
      </c>
    </row>
    <row r="1551" spans="1:15" x14ac:dyDescent="0.3">
      <c r="A1551" t="s">
        <v>2278</v>
      </c>
      <c r="B1551" t="s">
        <v>1951</v>
      </c>
      <c r="C1551" t="s">
        <v>1957</v>
      </c>
      <c r="D1551">
        <v>24</v>
      </c>
      <c r="E1551" t="s">
        <v>1447</v>
      </c>
      <c r="F1551" t="s">
        <v>1958</v>
      </c>
      <c r="G1551" t="s">
        <v>1737</v>
      </c>
      <c r="H1551" t="s">
        <v>2277</v>
      </c>
      <c r="I1551" t="s">
        <v>2277</v>
      </c>
      <c r="J1551" t="s">
        <v>2277</v>
      </c>
      <c r="K1551" t="s">
        <v>2277</v>
      </c>
      <c r="L1551" t="s">
        <v>1634</v>
      </c>
      <c r="M1551" t="s">
        <v>2277</v>
      </c>
      <c r="N1551" t="s">
        <v>2277</v>
      </c>
      <c r="O1551" s="190" t="str">
        <f t="shared" si="24"/>
        <v>[S06_AccredCertVerifiersAnnexI][24][AccredCertScope]</v>
      </c>
    </row>
    <row r="1552" spans="1:15" x14ac:dyDescent="0.3">
      <c r="A1552" t="s">
        <v>2278</v>
      </c>
      <c r="B1552" t="s">
        <v>1951</v>
      </c>
      <c r="C1552" t="s">
        <v>1957</v>
      </c>
      <c r="D1552">
        <v>25</v>
      </c>
      <c r="E1552" t="s">
        <v>1447</v>
      </c>
      <c r="F1552" t="s">
        <v>1958</v>
      </c>
      <c r="G1552" t="s">
        <v>1737</v>
      </c>
      <c r="H1552" t="s">
        <v>2277</v>
      </c>
      <c r="I1552" t="s">
        <v>2277</v>
      </c>
      <c r="J1552" t="s">
        <v>2277</v>
      </c>
      <c r="K1552" t="s">
        <v>2277</v>
      </c>
      <c r="L1552" t="s">
        <v>1639</v>
      </c>
      <c r="M1552" t="s">
        <v>2277</v>
      </c>
      <c r="N1552" t="s">
        <v>2277</v>
      </c>
      <c r="O1552" s="190" t="str">
        <f t="shared" si="24"/>
        <v>[S06_AccredCertVerifiersAnnexI][25][AccredCertScope]</v>
      </c>
    </row>
    <row r="1553" spans="1:15" x14ac:dyDescent="0.3">
      <c r="A1553" t="s">
        <v>2278</v>
      </c>
      <c r="B1553" t="s">
        <v>1951</v>
      </c>
      <c r="C1553" t="s">
        <v>1957</v>
      </c>
      <c r="D1553">
        <v>26</v>
      </c>
      <c r="E1553" t="s">
        <v>1447</v>
      </c>
      <c r="F1553" t="s">
        <v>1958</v>
      </c>
      <c r="G1553" t="s">
        <v>1737</v>
      </c>
      <c r="H1553" t="s">
        <v>2277</v>
      </c>
      <c r="I1553" t="s">
        <v>2277</v>
      </c>
      <c r="J1553" t="s">
        <v>2277</v>
      </c>
      <c r="K1553" t="s">
        <v>2277</v>
      </c>
      <c r="L1553" t="s">
        <v>1644</v>
      </c>
      <c r="M1553" t="s">
        <v>2277</v>
      </c>
      <c r="N1553" t="s">
        <v>2277</v>
      </c>
      <c r="O1553" s="190" t="str">
        <f t="shared" si="24"/>
        <v>[S06_AccredCertVerifiersAnnexI][26][AccredCertScope]</v>
      </c>
    </row>
    <row r="1554" spans="1:15" x14ac:dyDescent="0.3">
      <c r="A1554" t="s">
        <v>2278</v>
      </c>
      <c r="B1554" t="s">
        <v>1951</v>
      </c>
      <c r="C1554" t="s">
        <v>1957</v>
      </c>
      <c r="D1554">
        <v>27</v>
      </c>
      <c r="E1554" t="s">
        <v>1447</v>
      </c>
      <c r="F1554" t="s">
        <v>1958</v>
      </c>
      <c r="G1554" t="s">
        <v>1737</v>
      </c>
      <c r="H1554" t="s">
        <v>2277</v>
      </c>
      <c r="I1554" t="s">
        <v>2277</v>
      </c>
      <c r="J1554" t="s">
        <v>2277</v>
      </c>
      <c r="K1554" t="s">
        <v>2277</v>
      </c>
      <c r="L1554" t="s">
        <v>1649</v>
      </c>
      <c r="M1554" t="s">
        <v>2277</v>
      </c>
      <c r="N1554" t="s">
        <v>2277</v>
      </c>
      <c r="O1554" s="190" t="str">
        <f t="shared" si="24"/>
        <v>[S06_AccredCertVerifiersAnnexI][27][AccredCertScope]</v>
      </c>
    </row>
    <row r="1555" spans="1:15" x14ac:dyDescent="0.3">
      <c r="A1555" t="s">
        <v>2278</v>
      </c>
      <c r="B1555" t="s">
        <v>1951</v>
      </c>
      <c r="C1555" t="s">
        <v>1957</v>
      </c>
      <c r="D1555">
        <v>28</v>
      </c>
      <c r="E1555" t="s">
        <v>1447</v>
      </c>
      <c r="F1555" t="s">
        <v>1958</v>
      </c>
      <c r="G1555" t="s">
        <v>1737</v>
      </c>
      <c r="H1555" t="s">
        <v>2277</v>
      </c>
      <c r="I1555" t="s">
        <v>2277</v>
      </c>
      <c r="J1555" t="s">
        <v>2277</v>
      </c>
      <c r="K1555" t="s">
        <v>2277</v>
      </c>
      <c r="L1555" t="s">
        <v>1654</v>
      </c>
      <c r="M1555" t="s">
        <v>2277</v>
      </c>
      <c r="N1555" t="s">
        <v>2277</v>
      </c>
      <c r="O1555" s="190" t="str">
        <f t="shared" si="24"/>
        <v>[S06_AccredCertVerifiersAnnexI][28][AccredCertScope]</v>
      </c>
    </row>
    <row r="1556" spans="1:15" x14ac:dyDescent="0.3">
      <c r="A1556" t="s">
        <v>2278</v>
      </c>
      <c r="B1556" t="s">
        <v>1951</v>
      </c>
      <c r="C1556" t="s">
        <v>1957</v>
      </c>
      <c r="D1556">
        <v>29</v>
      </c>
      <c r="E1556" t="s">
        <v>1447</v>
      </c>
      <c r="F1556" t="s">
        <v>1958</v>
      </c>
      <c r="G1556" t="s">
        <v>1737</v>
      </c>
      <c r="H1556" t="s">
        <v>2277</v>
      </c>
      <c r="I1556" t="s">
        <v>2277</v>
      </c>
      <c r="J1556" t="s">
        <v>2277</v>
      </c>
      <c r="K1556" t="s">
        <v>2277</v>
      </c>
      <c r="L1556" t="s">
        <v>1659</v>
      </c>
      <c r="M1556" t="s">
        <v>2277</v>
      </c>
      <c r="N1556" t="s">
        <v>2277</v>
      </c>
      <c r="O1556" s="190" t="str">
        <f t="shared" si="24"/>
        <v>[S06_AccredCertVerifiersAnnexI][29][AccredCertScope]</v>
      </c>
    </row>
    <row r="1557" spans="1:15" x14ac:dyDescent="0.3">
      <c r="A1557" t="s">
        <v>2278</v>
      </c>
      <c r="B1557" t="s">
        <v>1951</v>
      </c>
      <c r="C1557" t="s">
        <v>1957</v>
      </c>
      <c r="D1557">
        <v>30</v>
      </c>
      <c r="E1557" t="s">
        <v>1447</v>
      </c>
      <c r="F1557" t="s">
        <v>1958</v>
      </c>
      <c r="G1557" t="s">
        <v>1737</v>
      </c>
      <c r="H1557" t="s">
        <v>2277</v>
      </c>
      <c r="I1557" t="s">
        <v>2277</v>
      </c>
      <c r="J1557" t="s">
        <v>2277</v>
      </c>
      <c r="K1557" t="s">
        <v>2277</v>
      </c>
      <c r="L1557" t="s">
        <v>1663</v>
      </c>
      <c r="M1557" t="s">
        <v>2277</v>
      </c>
      <c r="N1557" t="s">
        <v>2277</v>
      </c>
      <c r="O1557" s="190" t="str">
        <f t="shared" si="24"/>
        <v>[S06_AccredCertVerifiersAnnexI][30][AccredCertScope]</v>
      </c>
    </row>
    <row r="1558" spans="1:15" x14ac:dyDescent="0.3">
      <c r="A1558" t="s">
        <v>2278</v>
      </c>
      <c r="B1558" t="s">
        <v>1951</v>
      </c>
      <c r="C1558" t="s">
        <v>1957</v>
      </c>
      <c r="D1558">
        <v>31</v>
      </c>
      <c r="E1558" t="s">
        <v>1447</v>
      </c>
      <c r="F1558" t="s">
        <v>1958</v>
      </c>
      <c r="G1558" t="s">
        <v>1737</v>
      </c>
      <c r="H1558" t="s">
        <v>2277</v>
      </c>
      <c r="I1558" t="s">
        <v>2277</v>
      </c>
      <c r="J1558" t="s">
        <v>2277</v>
      </c>
      <c r="K1558" t="s">
        <v>2277</v>
      </c>
      <c r="L1558" t="s">
        <v>1666</v>
      </c>
      <c r="M1558" t="s">
        <v>2277</v>
      </c>
      <c r="N1558" t="s">
        <v>2277</v>
      </c>
      <c r="O1558" s="190" t="str">
        <f t="shared" si="24"/>
        <v>[S06_AccredCertVerifiersAnnexI][31][AccredCertScope]</v>
      </c>
    </row>
    <row r="1559" spans="1:15" x14ac:dyDescent="0.3">
      <c r="A1559" t="s">
        <v>2278</v>
      </c>
      <c r="B1559" t="s">
        <v>1951</v>
      </c>
      <c r="C1559" t="s">
        <v>1957</v>
      </c>
      <c r="D1559">
        <v>32</v>
      </c>
      <c r="E1559" t="s">
        <v>1447</v>
      </c>
      <c r="F1559" t="s">
        <v>1958</v>
      </c>
      <c r="G1559" t="s">
        <v>1737</v>
      </c>
      <c r="H1559" t="s">
        <v>2277</v>
      </c>
      <c r="I1559" t="s">
        <v>2277</v>
      </c>
      <c r="J1559" t="s">
        <v>2277</v>
      </c>
      <c r="K1559" t="s">
        <v>2277</v>
      </c>
      <c r="L1559" t="s">
        <v>1669</v>
      </c>
      <c r="M1559" t="s">
        <v>2277</v>
      </c>
      <c r="N1559" t="s">
        <v>2277</v>
      </c>
      <c r="O1559" s="190" t="str">
        <f t="shared" si="24"/>
        <v>[S06_AccredCertVerifiersAnnexI][32][AccredCertScope]</v>
      </c>
    </row>
    <row r="1560" spans="1:15" x14ac:dyDescent="0.3">
      <c r="A1560" t="s">
        <v>2278</v>
      </c>
      <c r="B1560" t="s">
        <v>1951</v>
      </c>
      <c r="C1560" t="s">
        <v>1957</v>
      </c>
      <c r="D1560">
        <v>1</v>
      </c>
      <c r="E1560" t="s">
        <v>1447</v>
      </c>
      <c r="F1560" t="s">
        <v>1959</v>
      </c>
      <c r="G1560" t="s">
        <v>1748</v>
      </c>
      <c r="H1560" t="s">
        <v>2277</v>
      </c>
      <c r="I1560">
        <v>8</v>
      </c>
      <c r="J1560" t="s">
        <v>2277</v>
      </c>
      <c r="K1560" t="s">
        <v>2277</v>
      </c>
      <c r="L1560" t="s">
        <v>2277</v>
      </c>
      <c r="M1560" t="s">
        <v>2277</v>
      </c>
      <c r="N1560" t="s">
        <v>2277</v>
      </c>
      <c r="O1560" s="190" t="str">
        <f t="shared" si="24"/>
        <v>[S06_AccredCertVerifiersAnnexI][1][NumberAccredited]</v>
      </c>
    </row>
    <row r="1561" spans="1:15" x14ac:dyDescent="0.3">
      <c r="A1561" t="s">
        <v>2278</v>
      </c>
      <c r="B1561" t="s">
        <v>1951</v>
      </c>
      <c r="C1561" t="s">
        <v>1957</v>
      </c>
      <c r="D1561">
        <v>2</v>
      </c>
      <c r="E1561" t="s">
        <v>1447</v>
      </c>
      <c r="F1561" t="s">
        <v>1959</v>
      </c>
      <c r="G1561" t="s">
        <v>1748</v>
      </c>
      <c r="H1561" t="s">
        <v>2277</v>
      </c>
      <c r="I1561">
        <v>7</v>
      </c>
      <c r="J1561" t="s">
        <v>2277</v>
      </c>
      <c r="K1561" t="s">
        <v>2277</v>
      </c>
      <c r="L1561" t="s">
        <v>2277</v>
      </c>
      <c r="M1561" t="s">
        <v>2277</v>
      </c>
      <c r="N1561" t="s">
        <v>2277</v>
      </c>
      <c r="O1561" s="190" t="str">
        <f t="shared" si="24"/>
        <v>[S06_AccredCertVerifiersAnnexI][2][NumberAccredited]</v>
      </c>
    </row>
    <row r="1562" spans="1:15" x14ac:dyDescent="0.3">
      <c r="A1562" t="s">
        <v>2278</v>
      </c>
      <c r="B1562" t="s">
        <v>1951</v>
      </c>
      <c r="C1562" t="s">
        <v>1957</v>
      </c>
      <c r="D1562">
        <v>3</v>
      </c>
      <c r="E1562" t="s">
        <v>1447</v>
      </c>
      <c r="F1562" t="s">
        <v>1959</v>
      </c>
      <c r="G1562" t="s">
        <v>1748</v>
      </c>
      <c r="H1562" t="s">
        <v>2277</v>
      </c>
      <c r="I1562">
        <v>2</v>
      </c>
      <c r="J1562" t="s">
        <v>2277</v>
      </c>
      <c r="K1562" t="s">
        <v>2277</v>
      </c>
      <c r="L1562" t="s">
        <v>2277</v>
      </c>
      <c r="M1562" t="s">
        <v>2277</v>
      </c>
      <c r="N1562" t="s">
        <v>2277</v>
      </c>
      <c r="O1562" s="190" t="str">
        <f t="shared" si="24"/>
        <v>[S06_AccredCertVerifiersAnnexI][3][NumberAccredited]</v>
      </c>
    </row>
    <row r="1563" spans="1:15" x14ac:dyDescent="0.3">
      <c r="A1563" t="s">
        <v>2278</v>
      </c>
      <c r="B1563" t="s">
        <v>1951</v>
      </c>
      <c r="C1563" t="s">
        <v>1957</v>
      </c>
      <c r="D1563">
        <v>4</v>
      </c>
      <c r="E1563" t="s">
        <v>1447</v>
      </c>
      <c r="F1563" t="s">
        <v>1959</v>
      </c>
      <c r="G1563" t="s">
        <v>1748</v>
      </c>
      <c r="H1563" t="s">
        <v>2277</v>
      </c>
      <c r="I1563">
        <v>5</v>
      </c>
      <c r="J1563" t="s">
        <v>2277</v>
      </c>
      <c r="K1563" t="s">
        <v>2277</v>
      </c>
      <c r="L1563" t="s">
        <v>2277</v>
      </c>
      <c r="M1563" t="s">
        <v>2277</v>
      </c>
      <c r="N1563" t="s">
        <v>2277</v>
      </c>
      <c r="O1563" s="190" t="str">
        <f t="shared" si="24"/>
        <v>[S06_AccredCertVerifiersAnnexI][4][NumberAccredited]</v>
      </c>
    </row>
    <row r="1564" spans="1:15" x14ac:dyDescent="0.3">
      <c r="A1564" t="s">
        <v>2278</v>
      </c>
      <c r="B1564" t="s">
        <v>1951</v>
      </c>
      <c r="C1564" t="s">
        <v>1957</v>
      </c>
      <c r="D1564">
        <v>5</v>
      </c>
      <c r="E1564" t="s">
        <v>1447</v>
      </c>
      <c r="F1564" t="s">
        <v>1959</v>
      </c>
      <c r="G1564" t="s">
        <v>1748</v>
      </c>
      <c r="H1564" t="s">
        <v>2277</v>
      </c>
      <c r="I1564">
        <v>6</v>
      </c>
      <c r="J1564" t="s">
        <v>2277</v>
      </c>
      <c r="K1564" t="s">
        <v>2277</v>
      </c>
      <c r="L1564" t="s">
        <v>2277</v>
      </c>
      <c r="M1564" t="s">
        <v>2277</v>
      </c>
      <c r="N1564" t="s">
        <v>2277</v>
      </c>
      <c r="O1564" s="190" t="str">
        <f t="shared" si="24"/>
        <v>[S06_AccredCertVerifiersAnnexI][5][NumberAccredited]</v>
      </c>
    </row>
    <row r="1565" spans="1:15" x14ac:dyDescent="0.3">
      <c r="A1565" t="s">
        <v>2278</v>
      </c>
      <c r="B1565" t="s">
        <v>1951</v>
      </c>
      <c r="C1565" t="s">
        <v>1957</v>
      </c>
      <c r="D1565">
        <v>6</v>
      </c>
      <c r="E1565" t="s">
        <v>1447</v>
      </c>
      <c r="F1565" t="s">
        <v>1959</v>
      </c>
      <c r="G1565" t="s">
        <v>1748</v>
      </c>
      <c r="H1565" t="s">
        <v>2277</v>
      </c>
      <c r="I1565">
        <v>5</v>
      </c>
      <c r="J1565" t="s">
        <v>2277</v>
      </c>
      <c r="K1565" t="s">
        <v>2277</v>
      </c>
      <c r="L1565" t="s">
        <v>2277</v>
      </c>
      <c r="M1565" t="s">
        <v>2277</v>
      </c>
      <c r="N1565" t="s">
        <v>2277</v>
      </c>
      <c r="O1565" s="190" t="str">
        <f t="shared" si="24"/>
        <v>[S06_AccredCertVerifiersAnnexI][6][NumberAccredited]</v>
      </c>
    </row>
    <row r="1566" spans="1:15" x14ac:dyDescent="0.3">
      <c r="A1566" t="s">
        <v>2278</v>
      </c>
      <c r="B1566" t="s">
        <v>1951</v>
      </c>
      <c r="C1566" t="s">
        <v>1957</v>
      </c>
      <c r="D1566">
        <v>7</v>
      </c>
      <c r="E1566" t="s">
        <v>1447</v>
      </c>
      <c r="F1566" t="s">
        <v>1959</v>
      </c>
      <c r="G1566" t="s">
        <v>1748</v>
      </c>
      <c r="H1566" t="s">
        <v>2277</v>
      </c>
      <c r="I1566">
        <v>6</v>
      </c>
      <c r="J1566" t="s">
        <v>2277</v>
      </c>
      <c r="K1566" t="s">
        <v>2277</v>
      </c>
      <c r="L1566" t="s">
        <v>2277</v>
      </c>
      <c r="M1566" t="s">
        <v>2277</v>
      </c>
      <c r="N1566" t="s">
        <v>2277</v>
      </c>
      <c r="O1566" s="190" t="str">
        <f t="shared" si="24"/>
        <v>[S06_AccredCertVerifiersAnnexI][7][NumberAccredited]</v>
      </c>
    </row>
    <row r="1567" spans="1:15" x14ac:dyDescent="0.3">
      <c r="A1567" t="s">
        <v>2278</v>
      </c>
      <c r="B1567" t="s">
        <v>1951</v>
      </c>
      <c r="C1567" t="s">
        <v>1957</v>
      </c>
      <c r="D1567">
        <v>8</v>
      </c>
      <c r="E1567" t="s">
        <v>1447</v>
      </c>
      <c r="F1567" t="s">
        <v>1959</v>
      </c>
      <c r="G1567" t="s">
        <v>1748</v>
      </c>
      <c r="H1567" t="s">
        <v>2277</v>
      </c>
      <c r="I1567">
        <v>2</v>
      </c>
      <c r="J1567" t="s">
        <v>2277</v>
      </c>
      <c r="K1567" t="s">
        <v>2277</v>
      </c>
      <c r="L1567" t="s">
        <v>2277</v>
      </c>
      <c r="M1567" t="s">
        <v>2277</v>
      </c>
      <c r="N1567" t="s">
        <v>2277</v>
      </c>
      <c r="O1567" s="190" t="str">
        <f t="shared" si="24"/>
        <v>[S06_AccredCertVerifiersAnnexI][8][NumberAccredited]</v>
      </c>
    </row>
    <row r="1568" spans="1:15" x14ac:dyDescent="0.3">
      <c r="A1568" t="s">
        <v>2278</v>
      </c>
      <c r="B1568" t="s">
        <v>1951</v>
      </c>
      <c r="C1568" t="s">
        <v>1957</v>
      </c>
      <c r="D1568">
        <v>9</v>
      </c>
      <c r="E1568" t="s">
        <v>1447</v>
      </c>
      <c r="F1568" t="s">
        <v>1959</v>
      </c>
      <c r="G1568" t="s">
        <v>1748</v>
      </c>
      <c r="H1568" t="s">
        <v>2277</v>
      </c>
      <c r="I1568">
        <v>4</v>
      </c>
      <c r="J1568" t="s">
        <v>2277</v>
      </c>
      <c r="K1568" t="s">
        <v>2277</v>
      </c>
      <c r="L1568" t="s">
        <v>2277</v>
      </c>
      <c r="M1568" t="s">
        <v>2277</v>
      </c>
      <c r="N1568" t="s">
        <v>2277</v>
      </c>
      <c r="O1568" s="190" t="str">
        <f t="shared" si="24"/>
        <v>[S06_AccredCertVerifiersAnnexI][9][NumberAccredited]</v>
      </c>
    </row>
    <row r="1569" spans="1:15" x14ac:dyDescent="0.3">
      <c r="A1569" t="s">
        <v>2278</v>
      </c>
      <c r="B1569" t="s">
        <v>1951</v>
      </c>
      <c r="C1569" t="s">
        <v>1957</v>
      </c>
      <c r="D1569">
        <v>10</v>
      </c>
      <c r="E1569" t="s">
        <v>1447</v>
      </c>
      <c r="F1569" t="s">
        <v>1959</v>
      </c>
      <c r="G1569" t="s">
        <v>1748</v>
      </c>
      <c r="H1569" t="s">
        <v>2277</v>
      </c>
      <c r="I1569">
        <v>0</v>
      </c>
      <c r="J1569" t="s">
        <v>2277</v>
      </c>
      <c r="K1569" t="s">
        <v>2277</v>
      </c>
      <c r="L1569" t="s">
        <v>2277</v>
      </c>
      <c r="M1569" t="s">
        <v>2277</v>
      </c>
      <c r="N1569" t="s">
        <v>2277</v>
      </c>
      <c r="O1569" s="190" t="str">
        <f t="shared" si="24"/>
        <v>[S06_AccredCertVerifiersAnnexI][10][NumberAccredited]</v>
      </c>
    </row>
    <row r="1570" spans="1:15" x14ac:dyDescent="0.3">
      <c r="A1570" t="s">
        <v>2278</v>
      </c>
      <c r="B1570" t="s">
        <v>1951</v>
      </c>
      <c r="C1570" t="s">
        <v>1957</v>
      </c>
      <c r="D1570">
        <v>11</v>
      </c>
      <c r="E1570" t="s">
        <v>1447</v>
      </c>
      <c r="F1570" t="s">
        <v>1959</v>
      </c>
      <c r="G1570" t="s">
        <v>1748</v>
      </c>
      <c r="H1570" t="s">
        <v>2277</v>
      </c>
      <c r="I1570">
        <v>3</v>
      </c>
      <c r="J1570" t="s">
        <v>2277</v>
      </c>
      <c r="K1570" t="s">
        <v>2277</v>
      </c>
      <c r="L1570" t="s">
        <v>2277</v>
      </c>
      <c r="M1570" t="s">
        <v>2277</v>
      </c>
      <c r="N1570" t="s">
        <v>2277</v>
      </c>
      <c r="O1570" s="190" t="str">
        <f t="shared" si="24"/>
        <v>[S06_AccredCertVerifiersAnnexI][11][NumberAccredited]</v>
      </c>
    </row>
    <row r="1571" spans="1:15" x14ac:dyDescent="0.3">
      <c r="A1571" t="s">
        <v>2278</v>
      </c>
      <c r="B1571" t="s">
        <v>1951</v>
      </c>
      <c r="C1571" t="s">
        <v>1957</v>
      </c>
      <c r="D1571">
        <v>12</v>
      </c>
      <c r="E1571" t="s">
        <v>1447</v>
      </c>
      <c r="F1571" t="s">
        <v>1959</v>
      </c>
      <c r="G1571" t="s">
        <v>1748</v>
      </c>
      <c r="H1571" t="s">
        <v>2277</v>
      </c>
      <c r="I1571">
        <v>5</v>
      </c>
      <c r="J1571" t="s">
        <v>2277</v>
      </c>
      <c r="K1571" t="s">
        <v>2277</v>
      </c>
      <c r="L1571" t="s">
        <v>2277</v>
      </c>
      <c r="M1571" t="s">
        <v>2277</v>
      </c>
      <c r="N1571" t="s">
        <v>2277</v>
      </c>
      <c r="O1571" s="190" t="str">
        <f t="shared" si="24"/>
        <v>[S06_AccredCertVerifiersAnnexI][12][NumberAccredited]</v>
      </c>
    </row>
    <row r="1572" spans="1:15" x14ac:dyDescent="0.3">
      <c r="A1572" t="s">
        <v>2278</v>
      </c>
      <c r="B1572" t="s">
        <v>1951</v>
      </c>
      <c r="C1572" t="s">
        <v>1957</v>
      </c>
      <c r="D1572">
        <v>13</v>
      </c>
      <c r="E1572" t="s">
        <v>1447</v>
      </c>
      <c r="F1572" t="s">
        <v>1959</v>
      </c>
      <c r="G1572" t="s">
        <v>1748</v>
      </c>
      <c r="H1572" t="s">
        <v>2277</v>
      </c>
      <c r="I1572">
        <v>5</v>
      </c>
      <c r="J1572" t="s">
        <v>2277</v>
      </c>
      <c r="K1572" t="s">
        <v>2277</v>
      </c>
      <c r="L1572" t="s">
        <v>2277</v>
      </c>
      <c r="M1572" t="s">
        <v>2277</v>
      </c>
      <c r="N1572" t="s">
        <v>2277</v>
      </c>
      <c r="O1572" s="190" t="str">
        <f t="shared" si="24"/>
        <v>[S06_AccredCertVerifiersAnnexI][13][NumberAccredited]</v>
      </c>
    </row>
    <row r="1573" spans="1:15" x14ac:dyDescent="0.3">
      <c r="A1573" t="s">
        <v>2278</v>
      </c>
      <c r="B1573" t="s">
        <v>1951</v>
      </c>
      <c r="C1573" t="s">
        <v>1957</v>
      </c>
      <c r="D1573">
        <v>14</v>
      </c>
      <c r="E1573" t="s">
        <v>1447</v>
      </c>
      <c r="F1573" t="s">
        <v>1959</v>
      </c>
      <c r="G1573" t="s">
        <v>1748</v>
      </c>
      <c r="H1573" t="s">
        <v>2277</v>
      </c>
      <c r="I1573">
        <v>7</v>
      </c>
      <c r="J1573" t="s">
        <v>2277</v>
      </c>
      <c r="K1573" t="s">
        <v>2277</v>
      </c>
      <c r="L1573" t="s">
        <v>2277</v>
      </c>
      <c r="M1573" t="s">
        <v>2277</v>
      </c>
      <c r="N1573" t="s">
        <v>2277</v>
      </c>
      <c r="O1573" s="190" t="str">
        <f t="shared" si="24"/>
        <v>[S06_AccredCertVerifiersAnnexI][14][NumberAccredited]</v>
      </c>
    </row>
    <row r="1574" spans="1:15" x14ac:dyDescent="0.3">
      <c r="A1574" t="s">
        <v>2278</v>
      </c>
      <c r="B1574" t="s">
        <v>1951</v>
      </c>
      <c r="C1574" t="s">
        <v>1957</v>
      </c>
      <c r="D1574">
        <v>15</v>
      </c>
      <c r="E1574" t="s">
        <v>1447</v>
      </c>
      <c r="F1574" t="s">
        <v>1959</v>
      </c>
      <c r="G1574" t="s">
        <v>1748</v>
      </c>
      <c r="H1574" t="s">
        <v>2277</v>
      </c>
      <c r="I1574">
        <v>5</v>
      </c>
      <c r="J1574" t="s">
        <v>2277</v>
      </c>
      <c r="K1574" t="s">
        <v>2277</v>
      </c>
      <c r="L1574" t="s">
        <v>2277</v>
      </c>
      <c r="M1574" t="s">
        <v>2277</v>
      </c>
      <c r="N1574" t="s">
        <v>2277</v>
      </c>
      <c r="O1574" s="190" t="str">
        <f t="shared" si="24"/>
        <v>[S06_AccredCertVerifiersAnnexI][15][NumberAccredited]</v>
      </c>
    </row>
    <row r="1575" spans="1:15" x14ac:dyDescent="0.3">
      <c r="A1575" t="s">
        <v>2278</v>
      </c>
      <c r="B1575" t="s">
        <v>1951</v>
      </c>
      <c r="C1575" t="s">
        <v>1957</v>
      </c>
      <c r="D1575">
        <v>16</v>
      </c>
      <c r="E1575" t="s">
        <v>1447</v>
      </c>
      <c r="F1575" t="s">
        <v>1959</v>
      </c>
      <c r="G1575" t="s">
        <v>1748</v>
      </c>
      <c r="H1575" t="s">
        <v>2277</v>
      </c>
      <c r="I1575">
        <v>5</v>
      </c>
      <c r="J1575" t="s">
        <v>2277</v>
      </c>
      <c r="K1575" t="s">
        <v>2277</v>
      </c>
      <c r="L1575" t="s">
        <v>2277</v>
      </c>
      <c r="M1575" t="s">
        <v>2277</v>
      </c>
      <c r="N1575" t="s">
        <v>2277</v>
      </c>
      <c r="O1575" s="190" t="str">
        <f t="shared" si="24"/>
        <v>[S06_AccredCertVerifiersAnnexI][16][NumberAccredited]</v>
      </c>
    </row>
    <row r="1576" spans="1:15" x14ac:dyDescent="0.3">
      <c r="A1576" t="s">
        <v>2278</v>
      </c>
      <c r="B1576" t="s">
        <v>1951</v>
      </c>
      <c r="C1576" t="s">
        <v>1957</v>
      </c>
      <c r="D1576">
        <v>17</v>
      </c>
      <c r="E1576" t="s">
        <v>1447</v>
      </c>
      <c r="F1576" t="s">
        <v>1959</v>
      </c>
      <c r="G1576" t="s">
        <v>1748</v>
      </c>
      <c r="H1576" t="s">
        <v>2277</v>
      </c>
      <c r="I1576">
        <v>4</v>
      </c>
      <c r="J1576" t="s">
        <v>2277</v>
      </c>
      <c r="K1576" t="s">
        <v>2277</v>
      </c>
      <c r="L1576" t="s">
        <v>2277</v>
      </c>
      <c r="M1576" t="s">
        <v>2277</v>
      </c>
      <c r="N1576" t="s">
        <v>2277</v>
      </c>
      <c r="O1576" s="190" t="str">
        <f t="shared" si="24"/>
        <v>[S06_AccredCertVerifiersAnnexI][17][NumberAccredited]</v>
      </c>
    </row>
    <row r="1577" spans="1:15" x14ac:dyDescent="0.3">
      <c r="A1577" t="s">
        <v>2278</v>
      </c>
      <c r="B1577" t="s">
        <v>1951</v>
      </c>
      <c r="C1577" t="s">
        <v>1957</v>
      </c>
      <c r="D1577">
        <v>18</v>
      </c>
      <c r="E1577" t="s">
        <v>1447</v>
      </c>
      <c r="F1577" t="s">
        <v>1959</v>
      </c>
      <c r="G1577" t="s">
        <v>1748</v>
      </c>
      <c r="H1577" t="s">
        <v>2277</v>
      </c>
      <c r="I1577">
        <v>5</v>
      </c>
      <c r="J1577" t="s">
        <v>2277</v>
      </c>
      <c r="K1577" t="s">
        <v>2277</v>
      </c>
      <c r="L1577" t="s">
        <v>2277</v>
      </c>
      <c r="M1577" t="s">
        <v>2277</v>
      </c>
      <c r="N1577" t="s">
        <v>2277</v>
      </c>
      <c r="O1577" s="190" t="str">
        <f t="shared" si="24"/>
        <v>[S06_AccredCertVerifiersAnnexI][18][NumberAccredited]</v>
      </c>
    </row>
    <row r="1578" spans="1:15" x14ac:dyDescent="0.3">
      <c r="A1578" t="s">
        <v>2278</v>
      </c>
      <c r="B1578" t="s">
        <v>1951</v>
      </c>
      <c r="C1578" t="s">
        <v>1957</v>
      </c>
      <c r="D1578">
        <v>19</v>
      </c>
      <c r="E1578" t="s">
        <v>1447</v>
      </c>
      <c r="F1578" t="s">
        <v>1959</v>
      </c>
      <c r="G1578" t="s">
        <v>1748</v>
      </c>
      <c r="H1578" t="s">
        <v>2277</v>
      </c>
      <c r="I1578">
        <v>2</v>
      </c>
      <c r="J1578" t="s">
        <v>2277</v>
      </c>
      <c r="K1578" t="s">
        <v>2277</v>
      </c>
      <c r="L1578" t="s">
        <v>2277</v>
      </c>
      <c r="M1578" t="s">
        <v>2277</v>
      </c>
      <c r="N1578" t="s">
        <v>2277</v>
      </c>
      <c r="O1578" s="190" t="str">
        <f t="shared" si="24"/>
        <v>[S06_AccredCertVerifiersAnnexI][19][NumberAccredited]</v>
      </c>
    </row>
    <row r="1579" spans="1:15" x14ac:dyDescent="0.3">
      <c r="A1579" t="s">
        <v>2278</v>
      </c>
      <c r="B1579" t="s">
        <v>1951</v>
      </c>
      <c r="C1579" t="s">
        <v>1957</v>
      </c>
      <c r="D1579">
        <v>20</v>
      </c>
      <c r="E1579" t="s">
        <v>1447</v>
      </c>
      <c r="F1579" t="s">
        <v>1959</v>
      </c>
      <c r="G1579" t="s">
        <v>1748</v>
      </c>
      <c r="H1579" t="s">
        <v>2277</v>
      </c>
      <c r="I1579">
        <v>3</v>
      </c>
      <c r="J1579" t="s">
        <v>2277</v>
      </c>
      <c r="K1579" t="s">
        <v>2277</v>
      </c>
      <c r="L1579" t="s">
        <v>2277</v>
      </c>
      <c r="M1579" t="s">
        <v>2277</v>
      </c>
      <c r="N1579" t="s">
        <v>2277</v>
      </c>
      <c r="O1579" s="190" t="str">
        <f t="shared" si="24"/>
        <v>[S06_AccredCertVerifiersAnnexI][20][NumberAccredited]</v>
      </c>
    </row>
    <row r="1580" spans="1:15" x14ac:dyDescent="0.3">
      <c r="A1580" t="s">
        <v>2278</v>
      </c>
      <c r="B1580" t="s">
        <v>1951</v>
      </c>
      <c r="C1580" t="s">
        <v>1957</v>
      </c>
      <c r="D1580">
        <v>21</v>
      </c>
      <c r="E1580" t="s">
        <v>1447</v>
      </c>
      <c r="F1580" t="s">
        <v>1959</v>
      </c>
      <c r="G1580" t="s">
        <v>1748</v>
      </c>
      <c r="H1580" t="s">
        <v>2277</v>
      </c>
      <c r="I1580">
        <v>3</v>
      </c>
      <c r="J1580" t="s">
        <v>2277</v>
      </c>
      <c r="K1580" t="s">
        <v>2277</v>
      </c>
      <c r="L1580" t="s">
        <v>2277</v>
      </c>
      <c r="M1580" t="s">
        <v>2277</v>
      </c>
      <c r="N1580" t="s">
        <v>2277</v>
      </c>
      <c r="O1580" s="190" t="str">
        <f t="shared" si="24"/>
        <v>[S06_AccredCertVerifiersAnnexI][21][NumberAccredited]</v>
      </c>
    </row>
    <row r="1581" spans="1:15" x14ac:dyDescent="0.3">
      <c r="A1581" t="s">
        <v>2278</v>
      </c>
      <c r="B1581" t="s">
        <v>1951</v>
      </c>
      <c r="C1581" t="s">
        <v>1957</v>
      </c>
      <c r="D1581">
        <v>22</v>
      </c>
      <c r="E1581" t="s">
        <v>1447</v>
      </c>
      <c r="F1581" t="s">
        <v>1959</v>
      </c>
      <c r="G1581" t="s">
        <v>1748</v>
      </c>
      <c r="H1581" t="s">
        <v>2277</v>
      </c>
      <c r="I1581">
        <v>3</v>
      </c>
      <c r="J1581" t="s">
        <v>2277</v>
      </c>
      <c r="K1581" t="s">
        <v>2277</v>
      </c>
      <c r="L1581" t="s">
        <v>2277</v>
      </c>
      <c r="M1581" t="s">
        <v>2277</v>
      </c>
      <c r="N1581" t="s">
        <v>2277</v>
      </c>
      <c r="O1581" s="190" t="str">
        <f t="shared" si="24"/>
        <v>[S06_AccredCertVerifiersAnnexI][22][NumberAccredited]</v>
      </c>
    </row>
    <row r="1582" spans="1:15" x14ac:dyDescent="0.3">
      <c r="A1582" t="s">
        <v>2278</v>
      </c>
      <c r="B1582" t="s">
        <v>1951</v>
      </c>
      <c r="C1582" t="s">
        <v>1957</v>
      </c>
      <c r="D1582">
        <v>23</v>
      </c>
      <c r="E1582" t="s">
        <v>1447</v>
      </c>
      <c r="F1582" t="s">
        <v>1959</v>
      </c>
      <c r="G1582" t="s">
        <v>1748</v>
      </c>
      <c r="H1582" t="s">
        <v>2277</v>
      </c>
      <c r="I1582">
        <v>3</v>
      </c>
      <c r="J1582" t="s">
        <v>2277</v>
      </c>
      <c r="K1582" t="s">
        <v>2277</v>
      </c>
      <c r="L1582" t="s">
        <v>2277</v>
      </c>
      <c r="M1582" t="s">
        <v>2277</v>
      </c>
      <c r="N1582" t="s">
        <v>2277</v>
      </c>
      <c r="O1582" s="190" t="str">
        <f t="shared" si="24"/>
        <v>[S06_AccredCertVerifiersAnnexI][23][NumberAccredited]</v>
      </c>
    </row>
    <row r="1583" spans="1:15" x14ac:dyDescent="0.3">
      <c r="A1583" t="s">
        <v>2278</v>
      </c>
      <c r="B1583" t="s">
        <v>1951</v>
      </c>
      <c r="C1583" t="s">
        <v>1957</v>
      </c>
      <c r="D1583">
        <v>24</v>
      </c>
      <c r="E1583" t="s">
        <v>1447</v>
      </c>
      <c r="F1583" t="s">
        <v>1959</v>
      </c>
      <c r="G1583" t="s">
        <v>1748</v>
      </c>
      <c r="H1583" t="s">
        <v>2277</v>
      </c>
      <c r="I1583">
        <v>3</v>
      </c>
      <c r="J1583" t="s">
        <v>2277</v>
      </c>
      <c r="K1583" t="s">
        <v>2277</v>
      </c>
      <c r="L1583" t="s">
        <v>2277</v>
      </c>
      <c r="M1583" t="s">
        <v>2277</v>
      </c>
      <c r="N1583" t="s">
        <v>2277</v>
      </c>
      <c r="O1583" s="190" t="str">
        <f t="shared" si="24"/>
        <v>[S06_AccredCertVerifiersAnnexI][24][NumberAccredited]</v>
      </c>
    </row>
    <row r="1584" spans="1:15" x14ac:dyDescent="0.3">
      <c r="A1584" t="s">
        <v>2278</v>
      </c>
      <c r="B1584" t="s">
        <v>1951</v>
      </c>
      <c r="C1584" t="s">
        <v>1957</v>
      </c>
      <c r="D1584">
        <v>25</v>
      </c>
      <c r="E1584" t="s">
        <v>1447</v>
      </c>
      <c r="F1584" t="s">
        <v>1959</v>
      </c>
      <c r="G1584" t="s">
        <v>1748</v>
      </c>
      <c r="H1584" t="s">
        <v>2277</v>
      </c>
      <c r="I1584">
        <v>1</v>
      </c>
      <c r="J1584" t="s">
        <v>2277</v>
      </c>
      <c r="K1584" t="s">
        <v>2277</v>
      </c>
      <c r="L1584" t="s">
        <v>2277</v>
      </c>
      <c r="M1584" t="s">
        <v>2277</v>
      </c>
      <c r="N1584" t="s">
        <v>2277</v>
      </c>
      <c r="O1584" s="190" t="str">
        <f t="shared" si="24"/>
        <v>[S06_AccredCertVerifiersAnnexI][25][NumberAccredited]</v>
      </c>
    </row>
    <row r="1585" spans="1:15" x14ac:dyDescent="0.3">
      <c r="A1585" t="s">
        <v>2278</v>
      </c>
      <c r="B1585" t="s">
        <v>1951</v>
      </c>
      <c r="C1585" t="s">
        <v>1957</v>
      </c>
      <c r="D1585">
        <v>26</v>
      </c>
      <c r="E1585" t="s">
        <v>1447</v>
      </c>
      <c r="F1585" t="s">
        <v>1959</v>
      </c>
      <c r="G1585" t="s">
        <v>1748</v>
      </c>
      <c r="H1585" t="s">
        <v>2277</v>
      </c>
      <c r="I1585">
        <v>1</v>
      </c>
      <c r="J1585" t="s">
        <v>2277</v>
      </c>
      <c r="K1585" t="s">
        <v>2277</v>
      </c>
      <c r="L1585" t="s">
        <v>2277</v>
      </c>
      <c r="M1585" t="s">
        <v>2277</v>
      </c>
      <c r="N1585" t="s">
        <v>2277</v>
      </c>
      <c r="O1585" s="190" t="str">
        <f t="shared" si="24"/>
        <v>[S06_AccredCertVerifiersAnnexI][26][NumberAccredited]</v>
      </c>
    </row>
    <row r="1586" spans="1:15" x14ac:dyDescent="0.3">
      <c r="A1586" t="s">
        <v>2278</v>
      </c>
      <c r="B1586" t="s">
        <v>1951</v>
      </c>
      <c r="C1586" t="s">
        <v>1957</v>
      </c>
      <c r="D1586">
        <v>27</v>
      </c>
      <c r="E1586" t="s">
        <v>1447</v>
      </c>
      <c r="F1586" t="s">
        <v>1959</v>
      </c>
      <c r="G1586" t="s">
        <v>1748</v>
      </c>
      <c r="H1586" t="s">
        <v>2277</v>
      </c>
      <c r="I1586">
        <v>0</v>
      </c>
      <c r="J1586" t="s">
        <v>2277</v>
      </c>
      <c r="K1586" t="s">
        <v>2277</v>
      </c>
      <c r="L1586" t="s">
        <v>2277</v>
      </c>
      <c r="M1586" t="s">
        <v>2277</v>
      </c>
      <c r="N1586" t="s">
        <v>2277</v>
      </c>
      <c r="O1586" s="190" t="str">
        <f t="shared" si="24"/>
        <v>[S06_AccredCertVerifiersAnnexI][27][NumberAccredited]</v>
      </c>
    </row>
    <row r="1587" spans="1:15" x14ac:dyDescent="0.3">
      <c r="A1587" t="s">
        <v>2278</v>
      </c>
      <c r="B1587" t="s">
        <v>1951</v>
      </c>
      <c r="C1587" t="s">
        <v>1957</v>
      </c>
      <c r="D1587">
        <v>28</v>
      </c>
      <c r="E1587" t="s">
        <v>1447</v>
      </c>
      <c r="F1587" t="s">
        <v>1959</v>
      </c>
      <c r="G1587" t="s">
        <v>1748</v>
      </c>
      <c r="H1587" t="s">
        <v>2277</v>
      </c>
      <c r="I1587">
        <v>0</v>
      </c>
      <c r="J1587" t="s">
        <v>2277</v>
      </c>
      <c r="K1587" t="s">
        <v>2277</v>
      </c>
      <c r="L1587" t="s">
        <v>2277</v>
      </c>
      <c r="M1587" t="s">
        <v>2277</v>
      </c>
      <c r="N1587" t="s">
        <v>2277</v>
      </c>
      <c r="O1587" s="190" t="str">
        <f t="shared" si="24"/>
        <v>[S06_AccredCertVerifiersAnnexI][28][NumberAccredited]</v>
      </c>
    </row>
    <row r="1588" spans="1:15" x14ac:dyDescent="0.3">
      <c r="A1588" t="s">
        <v>2278</v>
      </c>
      <c r="B1588" t="s">
        <v>1951</v>
      </c>
      <c r="C1588" t="s">
        <v>1957</v>
      </c>
      <c r="D1588">
        <v>29</v>
      </c>
      <c r="E1588" t="s">
        <v>1447</v>
      </c>
      <c r="F1588" t="s">
        <v>1959</v>
      </c>
      <c r="G1588" t="s">
        <v>1748</v>
      </c>
      <c r="H1588" t="s">
        <v>2277</v>
      </c>
      <c r="I1588">
        <v>0</v>
      </c>
      <c r="J1588" t="s">
        <v>2277</v>
      </c>
      <c r="K1588" t="s">
        <v>2277</v>
      </c>
      <c r="L1588" t="s">
        <v>2277</v>
      </c>
      <c r="M1588" t="s">
        <v>2277</v>
      </c>
      <c r="N1588" t="s">
        <v>2277</v>
      </c>
      <c r="O1588" s="190" t="str">
        <f t="shared" si="24"/>
        <v>[S06_AccredCertVerifiersAnnexI][29][NumberAccredited]</v>
      </c>
    </row>
    <row r="1589" spans="1:15" x14ac:dyDescent="0.3">
      <c r="A1589" t="s">
        <v>2278</v>
      </c>
      <c r="B1589" t="s">
        <v>1951</v>
      </c>
      <c r="C1589" t="s">
        <v>1957</v>
      </c>
      <c r="D1589">
        <v>30</v>
      </c>
      <c r="E1589" t="s">
        <v>1447</v>
      </c>
      <c r="F1589" t="s">
        <v>1959</v>
      </c>
      <c r="G1589" t="s">
        <v>1748</v>
      </c>
      <c r="H1589" t="s">
        <v>2277</v>
      </c>
      <c r="I1589">
        <v>0</v>
      </c>
      <c r="J1589" t="s">
        <v>2277</v>
      </c>
      <c r="K1589" t="s">
        <v>2277</v>
      </c>
      <c r="L1589" t="s">
        <v>2277</v>
      </c>
      <c r="M1589" t="s">
        <v>2277</v>
      </c>
      <c r="N1589" t="s">
        <v>2277</v>
      </c>
      <c r="O1589" s="190" t="str">
        <f t="shared" si="24"/>
        <v>[S06_AccredCertVerifiersAnnexI][30][NumberAccredited]</v>
      </c>
    </row>
    <row r="1590" spans="1:15" x14ac:dyDescent="0.3">
      <c r="A1590" t="s">
        <v>2278</v>
      </c>
      <c r="B1590" t="s">
        <v>1951</v>
      </c>
      <c r="C1590" t="s">
        <v>1957</v>
      </c>
      <c r="D1590">
        <v>31</v>
      </c>
      <c r="E1590" t="s">
        <v>1447</v>
      </c>
      <c r="F1590" t="s">
        <v>1959</v>
      </c>
      <c r="G1590" t="s">
        <v>1748</v>
      </c>
      <c r="H1590" t="s">
        <v>2277</v>
      </c>
      <c r="I1590">
        <v>7</v>
      </c>
      <c r="J1590" t="s">
        <v>2277</v>
      </c>
      <c r="K1590" t="s">
        <v>2277</v>
      </c>
      <c r="L1590" t="s">
        <v>2277</v>
      </c>
      <c r="M1590" t="s">
        <v>2277</v>
      </c>
      <c r="N1590" t="s">
        <v>2277</v>
      </c>
      <c r="O1590" s="190" t="str">
        <f t="shared" si="24"/>
        <v>[S06_AccredCertVerifiersAnnexI][31][NumberAccredited]</v>
      </c>
    </row>
    <row r="1591" spans="1:15" x14ac:dyDescent="0.3">
      <c r="A1591" t="s">
        <v>2278</v>
      </c>
      <c r="B1591" t="s">
        <v>1951</v>
      </c>
      <c r="C1591" t="s">
        <v>1957</v>
      </c>
      <c r="D1591">
        <v>32</v>
      </c>
      <c r="E1591" t="s">
        <v>1447</v>
      </c>
      <c r="F1591" t="s">
        <v>1959</v>
      </c>
      <c r="G1591" t="s">
        <v>1748</v>
      </c>
      <c r="H1591" t="s">
        <v>2277</v>
      </c>
      <c r="I1591">
        <v>0</v>
      </c>
      <c r="J1591" t="s">
        <v>2277</v>
      </c>
      <c r="K1591" t="s">
        <v>2277</v>
      </c>
      <c r="L1591" t="s">
        <v>2277</v>
      </c>
      <c r="M1591" t="s">
        <v>2277</v>
      </c>
      <c r="N1591" t="s">
        <v>2277</v>
      </c>
      <c r="O1591" s="190" t="str">
        <f t="shared" si="24"/>
        <v>[S06_AccredCertVerifiersAnnexI][32][NumberAccredited]</v>
      </c>
    </row>
    <row r="1592" spans="1:15" x14ac:dyDescent="0.3">
      <c r="A1592" t="s">
        <v>2278</v>
      </c>
      <c r="B1592" t="s">
        <v>1961</v>
      </c>
      <c r="C1592" t="s">
        <v>1962</v>
      </c>
      <c r="D1592">
        <v>1</v>
      </c>
      <c r="E1592" t="s">
        <v>1447</v>
      </c>
      <c r="F1592" t="s">
        <v>1963</v>
      </c>
      <c r="G1592" t="s">
        <v>1759</v>
      </c>
      <c r="H1592" t="s">
        <v>2277</v>
      </c>
      <c r="I1592" t="s">
        <v>2277</v>
      </c>
      <c r="J1592" t="s">
        <v>2277</v>
      </c>
      <c r="K1592" t="s">
        <v>2277</v>
      </c>
      <c r="L1592" t="s">
        <v>1419</v>
      </c>
      <c r="M1592" t="s">
        <v>2277</v>
      </c>
      <c r="N1592" t="s">
        <v>2277</v>
      </c>
      <c r="O1592" s="190" t="str">
        <f t="shared" si="24"/>
        <v>[S06_ApplicationInformationExchangeRequirements1][1][FromOwnMS]</v>
      </c>
    </row>
    <row r="1593" spans="1:15" x14ac:dyDescent="0.3">
      <c r="A1593" t="s">
        <v>2278</v>
      </c>
      <c r="B1593" t="s">
        <v>1961</v>
      </c>
      <c r="C1593" t="s">
        <v>1962</v>
      </c>
      <c r="D1593">
        <v>1</v>
      </c>
      <c r="E1593" t="s">
        <v>1447</v>
      </c>
      <c r="F1593" t="s">
        <v>1964</v>
      </c>
      <c r="G1593" t="s">
        <v>1759</v>
      </c>
      <c r="H1593" t="s">
        <v>2277</v>
      </c>
      <c r="I1593" t="s">
        <v>2277</v>
      </c>
      <c r="J1593" t="s">
        <v>2277</v>
      </c>
      <c r="K1593" t="s">
        <v>2277</v>
      </c>
      <c r="L1593" t="s">
        <v>1447</v>
      </c>
      <c r="M1593" t="s">
        <v>2277</v>
      </c>
      <c r="N1593" t="s">
        <v>2277</v>
      </c>
      <c r="O1593" s="190" t="str">
        <f t="shared" si="24"/>
        <v>[S06_ApplicationInformationExchangeRequirements1][1][FromOtherMS]</v>
      </c>
    </row>
    <row r="1594" spans="1:15" x14ac:dyDescent="0.3">
      <c r="A1594" t="s">
        <v>2278</v>
      </c>
      <c r="B1594" t="s">
        <v>1961</v>
      </c>
      <c r="C1594" t="s">
        <v>1962</v>
      </c>
      <c r="D1594">
        <v>2</v>
      </c>
      <c r="E1594" t="s">
        <v>1447</v>
      </c>
      <c r="F1594" t="s">
        <v>1963</v>
      </c>
      <c r="G1594" t="s">
        <v>1759</v>
      </c>
      <c r="H1594" t="s">
        <v>2277</v>
      </c>
      <c r="I1594" t="s">
        <v>2277</v>
      </c>
      <c r="J1594" t="s">
        <v>2277</v>
      </c>
      <c r="K1594" t="s">
        <v>2277</v>
      </c>
      <c r="L1594" t="s">
        <v>1419</v>
      </c>
      <c r="M1594" t="s">
        <v>2277</v>
      </c>
      <c r="N1594" t="s">
        <v>2277</v>
      </c>
      <c r="O1594" s="190" t="str">
        <f t="shared" si="24"/>
        <v>[S06_ApplicationInformationExchangeRequirements1][2][FromOwnMS]</v>
      </c>
    </row>
    <row r="1595" spans="1:15" x14ac:dyDescent="0.3">
      <c r="A1595" t="s">
        <v>2278</v>
      </c>
      <c r="B1595" t="s">
        <v>1961</v>
      </c>
      <c r="C1595" t="s">
        <v>1962</v>
      </c>
      <c r="D1595">
        <v>2</v>
      </c>
      <c r="E1595" t="s">
        <v>1447</v>
      </c>
      <c r="F1595" t="s">
        <v>1964</v>
      </c>
      <c r="G1595" t="s">
        <v>1759</v>
      </c>
      <c r="H1595" t="s">
        <v>2277</v>
      </c>
      <c r="I1595" t="s">
        <v>2277</v>
      </c>
      <c r="J1595" t="s">
        <v>2277</v>
      </c>
      <c r="K1595" t="s">
        <v>2277</v>
      </c>
      <c r="L1595" t="s">
        <v>1447</v>
      </c>
      <c r="M1595" t="s">
        <v>2277</v>
      </c>
      <c r="N1595" t="s">
        <v>2277</v>
      </c>
      <c r="O1595" s="190" t="str">
        <f t="shared" si="24"/>
        <v>[S06_ApplicationInformationExchangeRequirements1][2][FromOtherMS]</v>
      </c>
    </row>
    <row r="1596" spans="1:15" x14ac:dyDescent="0.3">
      <c r="A1596" t="s">
        <v>2278</v>
      </c>
      <c r="B1596" t="s">
        <v>1961</v>
      </c>
      <c r="C1596" t="s">
        <v>1962</v>
      </c>
      <c r="D1596">
        <v>3</v>
      </c>
      <c r="E1596" t="s">
        <v>1447</v>
      </c>
      <c r="F1596" t="s">
        <v>1963</v>
      </c>
      <c r="G1596" t="s">
        <v>1759</v>
      </c>
      <c r="H1596" t="s">
        <v>2277</v>
      </c>
      <c r="I1596" t="s">
        <v>2277</v>
      </c>
      <c r="J1596" t="s">
        <v>2277</v>
      </c>
      <c r="K1596" t="s">
        <v>2277</v>
      </c>
      <c r="L1596" t="s">
        <v>1419</v>
      </c>
      <c r="M1596" t="s">
        <v>2277</v>
      </c>
      <c r="N1596" t="s">
        <v>2277</v>
      </c>
      <c r="O1596" s="190" t="str">
        <f t="shared" si="24"/>
        <v>[S06_ApplicationInformationExchangeRequirements1][3][FromOwnMS]</v>
      </c>
    </row>
    <row r="1597" spans="1:15" x14ac:dyDescent="0.3">
      <c r="A1597" t="s">
        <v>2278</v>
      </c>
      <c r="B1597" t="s">
        <v>1961</v>
      </c>
      <c r="C1597" t="s">
        <v>1962</v>
      </c>
      <c r="D1597">
        <v>3</v>
      </c>
      <c r="E1597" t="s">
        <v>1447</v>
      </c>
      <c r="F1597" t="s">
        <v>1964</v>
      </c>
      <c r="G1597" t="s">
        <v>1759</v>
      </c>
      <c r="H1597" t="s">
        <v>2277</v>
      </c>
      <c r="I1597" t="s">
        <v>2277</v>
      </c>
      <c r="J1597" t="s">
        <v>2277</v>
      </c>
      <c r="K1597" t="s">
        <v>2277</v>
      </c>
      <c r="L1597" t="s">
        <v>1447</v>
      </c>
      <c r="M1597" t="s">
        <v>2277</v>
      </c>
      <c r="N1597" t="s">
        <v>2277</v>
      </c>
      <c r="O1597" s="190" t="str">
        <f t="shared" si="24"/>
        <v>[S06_ApplicationInformationExchangeRequirements1][3][FromOtherMS]</v>
      </c>
    </row>
    <row r="1598" spans="1:15" x14ac:dyDescent="0.3">
      <c r="A1598" t="s">
        <v>2278</v>
      </c>
      <c r="B1598" t="s">
        <v>1961</v>
      </c>
      <c r="C1598" t="s">
        <v>1965</v>
      </c>
      <c r="D1598">
        <v>1</v>
      </c>
      <c r="E1598" t="s">
        <v>1447</v>
      </c>
      <c r="F1598" t="s">
        <v>1966</v>
      </c>
      <c r="G1598" t="s">
        <v>1748</v>
      </c>
      <c r="H1598" t="s">
        <v>2277</v>
      </c>
      <c r="I1598">
        <v>0</v>
      </c>
      <c r="J1598" t="s">
        <v>2277</v>
      </c>
      <c r="K1598" t="s">
        <v>2277</v>
      </c>
      <c r="L1598" t="s">
        <v>2277</v>
      </c>
      <c r="M1598" t="s">
        <v>2277</v>
      </c>
      <c r="N1598" t="s">
        <v>2277</v>
      </c>
      <c r="O1598" s="190" t="str">
        <f t="shared" si="24"/>
        <v>[S06_ApplicationInformationExchangeRequirements2][1][NumberImposedOnVerifiersSuspension]</v>
      </c>
    </row>
    <row r="1599" spans="1:15" x14ac:dyDescent="0.3">
      <c r="A1599" t="s">
        <v>2278</v>
      </c>
      <c r="B1599" t="s">
        <v>1961</v>
      </c>
      <c r="C1599" t="s">
        <v>1965</v>
      </c>
      <c r="D1599">
        <v>1</v>
      </c>
      <c r="E1599" t="s">
        <v>1447</v>
      </c>
      <c r="F1599" t="s">
        <v>1967</v>
      </c>
      <c r="G1599" t="s">
        <v>1748</v>
      </c>
      <c r="H1599" t="s">
        <v>2277</v>
      </c>
      <c r="I1599">
        <v>0</v>
      </c>
      <c r="J1599" t="s">
        <v>2277</v>
      </c>
      <c r="K1599" t="s">
        <v>2277</v>
      </c>
      <c r="L1599" t="s">
        <v>2277</v>
      </c>
      <c r="M1599" t="s">
        <v>2277</v>
      </c>
      <c r="N1599" t="s">
        <v>2277</v>
      </c>
      <c r="O1599" s="190" t="str">
        <f t="shared" si="24"/>
        <v>[S06_ApplicationInformationExchangeRequirements2][1][NumberImposedOnVerifiersWithdrawal]</v>
      </c>
    </row>
    <row r="1600" spans="1:15" x14ac:dyDescent="0.3">
      <c r="A1600" t="s">
        <v>2278</v>
      </c>
      <c r="B1600" t="s">
        <v>1961</v>
      </c>
      <c r="C1600" t="s">
        <v>1965</v>
      </c>
      <c r="D1600">
        <v>1</v>
      </c>
      <c r="E1600" t="s">
        <v>1447</v>
      </c>
      <c r="F1600" t="s">
        <v>1968</v>
      </c>
      <c r="G1600" t="s">
        <v>1748</v>
      </c>
      <c r="H1600" t="s">
        <v>2277</v>
      </c>
      <c r="I1600">
        <v>0</v>
      </c>
      <c r="J1600" t="s">
        <v>2277</v>
      </c>
      <c r="K1600" t="s">
        <v>2277</v>
      </c>
      <c r="L1600" t="s">
        <v>2277</v>
      </c>
      <c r="M1600" t="s">
        <v>2277</v>
      </c>
      <c r="N1600" t="s">
        <v>2277</v>
      </c>
      <c r="O1600" s="190" t="str">
        <f t="shared" si="24"/>
        <v>[S06_ApplicationInformationExchangeRequirements2][1][NumberImposedOnVerifiersReductionOfScope]</v>
      </c>
    </row>
    <row r="1601" spans="1:15" x14ac:dyDescent="0.3">
      <c r="A1601" t="s">
        <v>2278</v>
      </c>
      <c r="B1601" t="s">
        <v>1961</v>
      </c>
      <c r="C1601" t="s">
        <v>1969</v>
      </c>
      <c r="D1601">
        <v>0</v>
      </c>
      <c r="E1601" t="s">
        <v>1447</v>
      </c>
      <c r="F1601" t="s">
        <v>1970</v>
      </c>
      <c r="G1601" t="s">
        <v>1748</v>
      </c>
      <c r="H1601" t="s">
        <v>2277</v>
      </c>
      <c r="I1601">
        <v>0</v>
      </c>
      <c r="J1601" t="s">
        <v>2277</v>
      </c>
      <c r="K1601" t="s">
        <v>2277</v>
      </c>
      <c r="L1601" t="s">
        <v>2277</v>
      </c>
      <c r="M1601" t="s">
        <v>2277</v>
      </c>
      <c r="N1601" t="s">
        <v>2277</v>
      </c>
      <c r="O1601" s="190" t="str">
        <f t="shared" si="24"/>
        <v>[S06_ApplicationInformationExchangeRequirements3][0][TimesSurveillanceRequested]</v>
      </c>
    </row>
    <row r="1602" spans="1:15" x14ac:dyDescent="0.3">
      <c r="A1602" t="s">
        <v>2278</v>
      </c>
      <c r="B1602" t="s">
        <v>1961</v>
      </c>
      <c r="C1602" t="s">
        <v>1971</v>
      </c>
      <c r="D1602">
        <v>1</v>
      </c>
      <c r="E1602" t="s">
        <v>1447</v>
      </c>
      <c r="F1602" t="s">
        <v>1972</v>
      </c>
      <c r="G1602" t="s">
        <v>1748</v>
      </c>
      <c r="H1602" t="s">
        <v>2277</v>
      </c>
      <c r="I1602">
        <v>0</v>
      </c>
      <c r="J1602" t="s">
        <v>2277</v>
      </c>
      <c r="K1602" t="s">
        <v>2277</v>
      </c>
      <c r="L1602" t="s">
        <v>2277</v>
      </c>
      <c r="M1602" t="s">
        <v>2277</v>
      </c>
      <c r="N1602" t="s">
        <v>2277</v>
      </c>
      <c r="O1602" s="190" t="str">
        <f t="shared" ref="O1602:O1665" si="25">"["&amp;$C1602&amp;"]["&amp;$D1602&amp;"]["&amp;$F1602&amp;"]"</f>
        <v>[S06_ApplicationInformationExchangeRequirements4][1][NumberOfIssues]</v>
      </c>
    </row>
    <row r="1603" spans="1:15" x14ac:dyDescent="0.3">
      <c r="A1603" t="s">
        <v>2278</v>
      </c>
      <c r="B1603" t="s">
        <v>1961</v>
      </c>
      <c r="C1603" t="s">
        <v>1971</v>
      </c>
      <c r="D1603">
        <v>1</v>
      </c>
      <c r="E1603" t="s">
        <v>1447</v>
      </c>
      <c r="F1603" t="s">
        <v>1973</v>
      </c>
      <c r="G1603" t="s">
        <v>1748</v>
      </c>
      <c r="H1603" t="s">
        <v>2277</v>
      </c>
      <c r="I1603">
        <v>0</v>
      </c>
      <c r="J1603" t="s">
        <v>2277</v>
      </c>
      <c r="K1603" t="s">
        <v>2277</v>
      </c>
      <c r="L1603" t="s">
        <v>2277</v>
      </c>
      <c r="M1603" t="s">
        <v>2277</v>
      </c>
      <c r="N1603" t="s">
        <v>2277</v>
      </c>
      <c r="O1603" s="190" t="str">
        <f t="shared" si="25"/>
        <v>[S06_ApplicationInformationExchangeRequirements4][1][NumberOfIssuesResolved]</v>
      </c>
    </row>
    <row r="1604" spans="1:15" x14ac:dyDescent="0.3">
      <c r="A1604" t="s">
        <v>2278</v>
      </c>
      <c r="B1604" t="s">
        <v>1961</v>
      </c>
      <c r="C1604" t="s">
        <v>1971</v>
      </c>
      <c r="D1604">
        <v>1</v>
      </c>
      <c r="E1604" t="s">
        <v>1447</v>
      </c>
      <c r="F1604" t="s">
        <v>1974</v>
      </c>
      <c r="G1604" t="s">
        <v>1748</v>
      </c>
      <c r="H1604" t="s">
        <v>2277</v>
      </c>
      <c r="I1604">
        <v>0</v>
      </c>
      <c r="J1604" t="s">
        <v>2277</v>
      </c>
      <c r="K1604" t="s">
        <v>2277</v>
      </c>
      <c r="L1604" t="s">
        <v>2277</v>
      </c>
      <c r="M1604" t="s">
        <v>2277</v>
      </c>
      <c r="N1604" t="s">
        <v>2277</v>
      </c>
      <c r="O1604" s="190" t="str">
        <f t="shared" si="25"/>
        <v>[S06_ApplicationInformationExchangeRequirements4][1][NumberOfPriorIssuesResolved]</v>
      </c>
    </row>
    <row r="1605" spans="1:15" x14ac:dyDescent="0.3">
      <c r="A1605" t="s">
        <v>2278</v>
      </c>
      <c r="B1605" t="s">
        <v>1961</v>
      </c>
      <c r="C1605" t="s">
        <v>1971</v>
      </c>
      <c r="D1605">
        <v>2</v>
      </c>
      <c r="E1605" t="s">
        <v>1447</v>
      </c>
      <c r="F1605" t="s">
        <v>1972</v>
      </c>
      <c r="G1605" t="s">
        <v>1748</v>
      </c>
      <c r="H1605" t="s">
        <v>2277</v>
      </c>
      <c r="I1605">
        <v>0</v>
      </c>
      <c r="J1605" t="s">
        <v>2277</v>
      </c>
      <c r="K1605" t="s">
        <v>2277</v>
      </c>
      <c r="L1605" t="s">
        <v>2277</v>
      </c>
      <c r="M1605" t="s">
        <v>2277</v>
      </c>
      <c r="N1605" t="s">
        <v>2277</v>
      </c>
      <c r="O1605" s="190" t="str">
        <f t="shared" si="25"/>
        <v>[S06_ApplicationInformationExchangeRequirements4][2][NumberOfIssues]</v>
      </c>
    </row>
    <row r="1606" spans="1:15" x14ac:dyDescent="0.3">
      <c r="A1606" t="s">
        <v>2278</v>
      </c>
      <c r="B1606" t="s">
        <v>1961</v>
      </c>
      <c r="C1606" t="s">
        <v>1971</v>
      </c>
      <c r="D1606">
        <v>2</v>
      </c>
      <c r="E1606" t="s">
        <v>1447</v>
      </c>
      <c r="F1606" t="s">
        <v>1973</v>
      </c>
      <c r="G1606" t="s">
        <v>1748</v>
      </c>
      <c r="H1606" t="s">
        <v>2277</v>
      </c>
      <c r="I1606">
        <v>0</v>
      </c>
      <c r="J1606" t="s">
        <v>2277</v>
      </c>
      <c r="K1606" t="s">
        <v>2277</v>
      </c>
      <c r="L1606" t="s">
        <v>2277</v>
      </c>
      <c r="M1606" t="s">
        <v>2277</v>
      </c>
      <c r="N1606" t="s">
        <v>2277</v>
      </c>
      <c r="O1606" s="190" t="str">
        <f t="shared" si="25"/>
        <v>[S06_ApplicationInformationExchangeRequirements4][2][NumberOfIssuesResolved]</v>
      </c>
    </row>
    <row r="1607" spans="1:15" x14ac:dyDescent="0.3">
      <c r="A1607" t="s">
        <v>2278</v>
      </c>
      <c r="B1607" t="s">
        <v>1961</v>
      </c>
      <c r="C1607" t="s">
        <v>1971</v>
      </c>
      <c r="D1607">
        <v>2</v>
      </c>
      <c r="E1607" t="s">
        <v>1447</v>
      </c>
      <c r="F1607" t="s">
        <v>1974</v>
      </c>
      <c r="G1607" t="s">
        <v>1748</v>
      </c>
      <c r="H1607" t="s">
        <v>2277</v>
      </c>
      <c r="I1607">
        <v>0</v>
      </c>
      <c r="J1607" t="s">
        <v>2277</v>
      </c>
      <c r="K1607" t="s">
        <v>2277</v>
      </c>
      <c r="L1607" t="s">
        <v>2277</v>
      </c>
      <c r="M1607" t="s">
        <v>2277</v>
      </c>
      <c r="N1607" t="s">
        <v>2277</v>
      </c>
      <c r="O1607" s="190" t="str">
        <f t="shared" si="25"/>
        <v>[S06_ApplicationInformationExchangeRequirements4][2][NumberOfPriorIssuesResolved]</v>
      </c>
    </row>
    <row r="1608" spans="1:15" x14ac:dyDescent="0.3">
      <c r="A1608" t="s">
        <v>2278</v>
      </c>
      <c r="B1608" t="s">
        <v>1961</v>
      </c>
      <c r="C1608" t="s">
        <v>1971</v>
      </c>
      <c r="D1608">
        <v>3</v>
      </c>
      <c r="E1608" t="s">
        <v>1447</v>
      </c>
      <c r="F1608" t="s">
        <v>1972</v>
      </c>
      <c r="G1608" t="s">
        <v>1748</v>
      </c>
      <c r="H1608" t="s">
        <v>2277</v>
      </c>
      <c r="I1608">
        <v>0</v>
      </c>
      <c r="J1608" t="s">
        <v>2277</v>
      </c>
      <c r="K1608" t="s">
        <v>2277</v>
      </c>
      <c r="L1608" t="s">
        <v>2277</v>
      </c>
      <c r="M1608" t="s">
        <v>2277</v>
      </c>
      <c r="N1608" t="s">
        <v>2277</v>
      </c>
      <c r="O1608" s="190" t="str">
        <f t="shared" si="25"/>
        <v>[S06_ApplicationInformationExchangeRequirements4][3][NumberOfIssues]</v>
      </c>
    </row>
    <row r="1609" spans="1:15" x14ac:dyDescent="0.3">
      <c r="A1609" t="s">
        <v>2278</v>
      </c>
      <c r="B1609" t="s">
        <v>1961</v>
      </c>
      <c r="C1609" t="s">
        <v>1971</v>
      </c>
      <c r="D1609">
        <v>3</v>
      </c>
      <c r="E1609" t="s">
        <v>1447</v>
      </c>
      <c r="F1609" t="s">
        <v>1973</v>
      </c>
      <c r="G1609" t="s">
        <v>1748</v>
      </c>
      <c r="H1609" t="s">
        <v>2277</v>
      </c>
      <c r="I1609">
        <v>0</v>
      </c>
      <c r="J1609" t="s">
        <v>2277</v>
      </c>
      <c r="K1609" t="s">
        <v>2277</v>
      </c>
      <c r="L1609" t="s">
        <v>2277</v>
      </c>
      <c r="M1609" t="s">
        <v>2277</v>
      </c>
      <c r="N1609" t="s">
        <v>2277</v>
      </c>
      <c r="O1609" s="190" t="str">
        <f t="shared" si="25"/>
        <v>[S06_ApplicationInformationExchangeRequirements4][3][NumberOfIssuesResolved]</v>
      </c>
    </row>
    <row r="1610" spans="1:15" x14ac:dyDescent="0.3">
      <c r="A1610" t="s">
        <v>2278</v>
      </c>
      <c r="B1610" t="s">
        <v>1961</v>
      </c>
      <c r="C1610" t="s">
        <v>1971</v>
      </c>
      <c r="D1610">
        <v>3</v>
      </c>
      <c r="E1610" t="s">
        <v>1447</v>
      </c>
      <c r="F1610" t="s">
        <v>1974</v>
      </c>
      <c r="G1610" t="s">
        <v>1748</v>
      </c>
      <c r="H1610" t="s">
        <v>2277</v>
      </c>
      <c r="I1610">
        <v>0</v>
      </c>
      <c r="J1610" t="s">
        <v>2277</v>
      </c>
      <c r="K1610" t="s">
        <v>2277</v>
      </c>
      <c r="L1610" t="s">
        <v>2277</v>
      </c>
      <c r="M1610" t="s">
        <v>2277</v>
      </c>
      <c r="N1610" t="s">
        <v>2277</v>
      </c>
      <c r="O1610" s="190" t="str">
        <f t="shared" si="25"/>
        <v>[S06_ApplicationInformationExchangeRequirements4][3][NumberOfPriorIssuesResolved]</v>
      </c>
    </row>
    <row r="1611" spans="1:15" x14ac:dyDescent="0.3">
      <c r="A1611" t="s">
        <v>2278</v>
      </c>
      <c r="B1611" t="s">
        <v>1975</v>
      </c>
      <c r="C1611" t="s">
        <v>1983</v>
      </c>
      <c r="D1611">
        <v>1</v>
      </c>
      <c r="E1611" t="s">
        <v>1447</v>
      </c>
      <c r="F1611" t="s">
        <v>1984</v>
      </c>
      <c r="G1611" t="s">
        <v>1748</v>
      </c>
      <c r="H1611" t="s">
        <v>2277</v>
      </c>
      <c r="I1611">
        <v>18</v>
      </c>
      <c r="J1611" t="s">
        <v>2277</v>
      </c>
      <c r="K1611" t="s">
        <v>2277</v>
      </c>
      <c r="L1611" t="s">
        <v>2277</v>
      </c>
      <c r="M1611" t="s">
        <v>2277</v>
      </c>
      <c r="N1611" t="s">
        <v>2277</v>
      </c>
      <c r="O1611" s="190" t="str">
        <f t="shared" si="25"/>
        <v>[S06_NegativeOpinionInstallations][1][CountNegativeOpinions]</v>
      </c>
    </row>
    <row r="1612" spans="1:15" x14ac:dyDescent="0.3">
      <c r="A1612" t="s">
        <v>2278</v>
      </c>
      <c r="B1612" t="s">
        <v>1975</v>
      </c>
      <c r="C1612" t="s">
        <v>1983</v>
      </c>
      <c r="D1612">
        <v>2</v>
      </c>
      <c r="E1612" t="s">
        <v>1447</v>
      </c>
      <c r="F1612" t="s">
        <v>1984</v>
      </c>
      <c r="G1612" t="s">
        <v>1748</v>
      </c>
      <c r="H1612" t="s">
        <v>2277</v>
      </c>
      <c r="I1612">
        <v>0</v>
      </c>
      <c r="J1612" t="s">
        <v>2277</v>
      </c>
      <c r="K1612" t="s">
        <v>2277</v>
      </c>
      <c r="L1612" t="s">
        <v>2277</v>
      </c>
      <c r="M1612" t="s">
        <v>2277</v>
      </c>
      <c r="N1612" t="s">
        <v>2277</v>
      </c>
      <c r="O1612" s="190" t="str">
        <f t="shared" si="25"/>
        <v>[S06_NegativeOpinionInstallations][2][CountNegativeOpinions]</v>
      </c>
    </row>
    <row r="1613" spans="1:15" x14ac:dyDescent="0.3">
      <c r="A1613" t="s">
        <v>2278</v>
      </c>
      <c r="B1613" t="s">
        <v>1975</v>
      </c>
      <c r="C1613" t="s">
        <v>1983</v>
      </c>
      <c r="D1613">
        <v>3</v>
      </c>
      <c r="E1613" t="s">
        <v>1447</v>
      </c>
      <c r="F1613" t="s">
        <v>1984</v>
      </c>
      <c r="G1613" t="s">
        <v>1748</v>
      </c>
      <c r="H1613" t="s">
        <v>2277</v>
      </c>
      <c r="I1613">
        <v>0</v>
      </c>
      <c r="J1613" t="s">
        <v>2277</v>
      </c>
      <c r="K1613" t="s">
        <v>2277</v>
      </c>
      <c r="L1613" t="s">
        <v>2277</v>
      </c>
      <c r="M1613" t="s">
        <v>2277</v>
      </c>
      <c r="N1613" t="s">
        <v>2277</v>
      </c>
      <c r="O1613" s="190" t="str">
        <f t="shared" si="25"/>
        <v>[S06_NegativeOpinionInstallations][3][CountNegativeOpinions]</v>
      </c>
    </row>
    <row r="1614" spans="1:15" x14ac:dyDescent="0.3">
      <c r="A1614" t="s">
        <v>2278</v>
      </c>
      <c r="B1614" t="s">
        <v>1975</v>
      </c>
      <c r="C1614" t="s">
        <v>1983</v>
      </c>
      <c r="D1614">
        <v>4</v>
      </c>
      <c r="E1614" t="s">
        <v>1447</v>
      </c>
      <c r="F1614" t="s">
        <v>1984</v>
      </c>
      <c r="G1614" t="s">
        <v>1748</v>
      </c>
      <c r="H1614" t="s">
        <v>2277</v>
      </c>
      <c r="I1614">
        <v>0</v>
      </c>
      <c r="J1614" t="s">
        <v>2277</v>
      </c>
      <c r="K1614" t="s">
        <v>2277</v>
      </c>
      <c r="L1614" t="s">
        <v>2277</v>
      </c>
      <c r="M1614" t="s">
        <v>2277</v>
      </c>
      <c r="N1614" t="s">
        <v>2277</v>
      </c>
      <c r="O1614" s="190" t="str">
        <f t="shared" si="25"/>
        <v>[S06_NegativeOpinionInstallations][4][CountNegativeOpinions]</v>
      </c>
    </row>
    <row r="1615" spans="1:15" x14ac:dyDescent="0.3">
      <c r="A1615" t="s">
        <v>2278</v>
      </c>
      <c r="B1615" t="s">
        <v>1985</v>
      </c>
      <c r="C1615" t="s">
        <v>1986</v>
      </c>
      <c r="D1615">
        <v>0</v>
      </c>
      <c r="E1615" t="s">
        <v>1447</v>
      </c>
      <c r="F1615" t="s">
        <v>1986</v>
      </c>
      <c r="G1615" t="s">
        <v>1759</v>
      </c>
      <c r="H1615" t="s">
        <v>2277</v>
      </c>
      <c r="I1615" t="s">
        <v>2277</v>
      </c>
      <c r="J1615" t="s">
        <v>2277</v>
      </c>
      <c r="K1615" t="s">
        <v>2277</v>
      </c>
      <c r="L1615" t="s">
        <v>1419</v>
      </c>
      <c r="M1615" t="s">
        <v>2277</v>
      </c>
      <c r="N1615" t="s">
        <v>2277</v>
      </c>
      <c r="O1615" s="190" t="str">
        <f t="shared" si="25"/>
        <v>[InstallationsVerificationReportIssues][0][InstallationsVerificationReportIssues]</v>
      </c>
    </row>
    <row r="1616" spans="1:15" x14ac:dyDescent="0.3">
      <c r="A1616" t="s">
        <v>2278</v>
      </c>
      <c r="B1616" t="s">
        <v>1985</v>
      </c>
      <c r="C1616" t="s">
        <v>1987</v>
      </c>
      <c r="D1616">
        <v>1</v>
      </c>
      <c r="E1616" t="s">
        <v>1447</v>
      </c>
      <c r="F1616" t="s">
        <v>1988</v>
      </c>
      <c r="G1616" t="s">
        <v>1737</v>
      </c>
      <c r="H1616" t="s">
        <v>2277</v>
      </c>
      <c r="I1616" t="s">
        <v>2277</v>
      </c>
      <c r="J1616" t="s">
        <v>2277</v>
      </c>
      <c r="K1616" t="s">
        <v>2277</v>
      </c>
      <c r="L1616" t="s">
        <v>1420</v>
      </c>
      <c r="M1616" t="s">
        <v>2277</v>
      </c>
      <c r="N1616" t="s">
        <v>2277</v>
      </c>
      <c r="O1616" s="190" t="str">
        <f t="shared" si="25"/>
        <v>[S06_InstallationsVerificationReportsIssueDetail][1][AnnexIActivity]</v>
      </c>
    </row>
    <row r="1617" spans="1:15" x14ac:dyDescent="0.3">
      <c r="A1617" t="s">
        <v>2278</v>
      </c>
      <c r="B1617" t="s">
        <v>1985</v>
      </c>
      <c r="C1617" t="s">
        <v>1987</v>
      </c>
      <c r="D1617">
        <v>2</v>
      </c>
      <c r="E1617" t="s">
        <v>1447</v>
      </c>
      <c r="F1617" t="s">
        <v>1988</v>
      </c>
      <c r="G1617" t="s">
        <v>1737</v>
      </c>
      <c r="H1617" t="s">
        <v>2277</v>
      </c>
      <c r="I1617" t="s">
        <v>2277</v>
      </c>
      <c r="J1617" t="s">
        <v>2277</v>
      </c>
      <c r="K1617" t="s">
        <v>2277</v>
      </c>
      <c r="L1617" t="s">
        <v>1420</v>
      </c>
      <c r="M1617" t="s">
        <v>2277</v>
      </c>
      <c r="N1617" t="s">
        <v>2277</v>
      </c>
      <c r="O1617" s="190" t="str">
        <f t="shared" si="25"/>
        <v>[S06_InstallationsVerificationReportsIssueDetail][2][AnnexIActivity]</v>
      </c>
    </row>
    <row r="1618" spans="1:15" x14ac:dyDescent="0.3">
      <c r="A1618" t="s">
        <v>2278</v>
      </c>
      <c r="B1618" t="s">
        <v>1985</v>
      </c>
      <c r="C1618" t="s">
        <v>1987</v>
      </c>
      <c r="D1618">
        <v>3</v>
      </c>
      <c r="E1618" t="s">
        <v>1447</v>
      </c>
      <c r="F1618" t="s">
        <v>1988</v>
      </c>
      <c r="G1618" t="s">
        <v>1737</v>
      </c>
      <c r="H1618" t="s">
        <v>2277</v>
      </c>
      <c r="I1618" t="s">
        <v>2277</v>
      </c>
      <c r="J1618" t="s">
        <v>2277</v>
      </c>
      <c r="K1618" t="s">
        <v>2277</v>
      </c>
      <c r="L1618" t="s">
        <v>1420</v>
      </c>
      <c r="M1618" t="s">
        <v>2277</v>
      </c>
      <c r="N1618" t="s">
        <v>2277</v>
      </c>
      <c r="O1618" s="190" t="str">
        <f t="shared" si="25"/>
        <v>[S06_InstallationsVerificationReportsIssueDetail][3][AnnexIActivity]</v>
      </c>
    </row>
    <row r="1619" spans="1:15" x14ac:dyDescent="0.3">
      <c r="A1619" t="s">
        <v>2278</v>
      </c>
      <c r="B1619" t="s">
        <v>1985</v>
      </c>
      <c r="C1619" t="s">
        <v>1987</v>
      </c>
      <c r="D1619">
        <v>4</v>
      </c>
      <c r="E1619" t="s">
        <v>1447</v>
      </c>
      <c r="F1619" t="s">
        <v>1988</v>
      </c>
      <c r="G1619" t="s">
        <v>1737</v>
      </c>
      <c r="H1619" t="s">
        <v>2277</v>
      </c>
      <c r="I1619" t="s">
        <v>2277</v>
      </c>
      <c r="J1619" t="s">
        <v>2277</v>
      </c>
      <c r="K1619" t="s">
        <v>2277</v>
      </c>
      <c r="L1619" t="s">
        <v>1420</v>
      </c>
      <c r="M1619" t="s">
        <v>2277</v>
      </c>
      <c r="N1619" t="s">
        <v>2277</v>
      </c>
      <c r="O1619" s="190" t="str">
        <f t="shared" si="25"/>
        <v>[S06_InstallationsVerificationReportsIssueDetail][4][AnnexIActivity]</v>
      </c>
    </row>
    <row r="1620" spans="1:15" x14ac:dyDescent="0.3">
      <c r="A1620" t="s">
        <v>2278</v>
      </c>
      <c r="B1620" t="s">
        <v>1985</v>
      </c>
      <c r="C1620" t="s">
        <v>1987</v>
      </c>
      <c r="D1620">
        <v>5</v>
      </c>
      <c r="E1620" t="s">
        <v>1447</v>
      </c>
      <c r="F1620" t="s">
        <v>1988</v>
      </c>
      <c r="G1620" t="s">
        <v>1737</v>
      </c>
      <c r="H1620" t="s">
        <v>2277</v>
      </c>
      <c r="I1620" t="s">
        <v>2277</v>
      </c>
      <c r="J1620" t="s">
        <v>2277</v>
      </c>
      <c r="K1620" t="s">
        <v>2277</v>
      </c>
      <c r="L1620" t="s">
        <v>1448</v>
      </c>
      <c r="M1620" t="s">
        <v>2277</v>
      </c>
      <c r="N1620" t="s">
        <v>2277</v>
      </c>
      <c r="O1620" s="190" t="str">
        <f t="shared" si="25"/>
        <v>[S06_InstallationsVerificationReportsIssueDetail][5][AnnexIActivity]</v>
      </c>
    </row>
    <row r="1621" spans="1:15" x14ac:dyDescent="0.3">
      <c r="A1621" t="s">
        <v>2278</v>
      </c>
      <c r="B1621" t="s">
        <v>1985</v>
      </c>
      <c r="C1621" t="s">
        <v>1987</v>
      </c>
      <c r="D1621">
        <v>6</v>
      </c>
      <c r="E1621" t="s">
        <v>1447</v>
      </c>
      <c r="F1621" t="s">
        <v>1988</v>
      </c>
      <c r="G1621" t="s">
        <v>1737</v>
      </c>
      <c r="H1621" t="s">
        <v>2277</v>
      </c>
      <c r="I1621" t="s">
        <v>2277</v>
      </c>
      <c r="J1621" t="s">
        <v>2277</v>
      </c>
      <c r="K1621" t="s">
        <v>2277</v>
      </c>
      <c r="L1621" t="s">
        <v>1448</v>
      </c>
      <c r="M1621" t="s">
        <v>2277</v>
      </c>
      <c r="N1621" t="s">
        <v>2277</v>
      </c>
      <c r="O1621" s="190" t="str">
        <f t="shared" si="25"/>
        <v>[S06_InstallationsVerificationReportsIssueDetail][6][AnnexIActivity]</v>
      </c>
    </row>
    <row r="1622" spans="1:15" x14ac:dyDescent="0.3">
      <c r="A1622" t="s">
        <v>2278</v>
      </c>
      <c r="B1622" t="s">
        <v>1985</v>
      </c>
      <c r="C1622" t="s">
        <v>1987</v>
      </c>
      <c r="D1622">
        <v>7</v>
      </c>
      <c r="E1622" t="s">
        <v>1447</v>
      </c>
      <c r="F1622" t="s">
        <v>1988</v>
      </c>
      <c r="G1622" t="s">
        <v>1737</v>
      </c>
      <c r="H1622" t="s">
        <v>2277</v>
      </c>
      <c r="I1622" t="s">
        <v>2277</v>
      </c>
      <c r="J1622" t="s">
        <v>2277</v>
      </c>
      <c r="K1622" t="s">
        <v>2277</v>
      </c>
      <c r="L1622" t="s">
        <v>1448</v>
      </c>
      <c r="M1622" t="s">
        <v>2277</v>
      </c>
      <c r="N1622" t="s">
        <v>2277</v>
      </c>
      <c r="O1622" s="190" t="str">
        <f t="shared" si="25"/>
        <v>[S06_InstallationsVerificationReportsIssueDetail][7][AnnexIActivity]</v>
      </c>
    </row>
    <row r="1623" spans="1:15" x14ac:dyDescent="0.3">
      <c r="A1623" t="s">
        <v>2278</v>
      </c>
      <c r="B1623" t="s">
        <v>1985</v>
      </c>
      <c r="C1623" t="s">
        <v>1987</v>
      </c>
      <c r="D1623">
        <v>8</v>
      </c>
      <c r="E1623" t="s">
        <v>1447</v>
      </c>
      <c r="F1623" t="s">
        <v>1988</v>
      </c>
      <c r="G1623" t="s">
        <v>1737</v>
      </c>
      <c r="H1623" t="s">
        <v>2277</v>
      </c>
      <c r="I1623" t="s">
        <v>2277</v>
      </c>
      <c r="J1623" t="s">
        <v>2277</v>
      </c>
      <c r="K1623" t="s">
        <v>2277</v>
      </c>
      <c r="L1623" t="s">
        <v>1478</v>
      </c>
      <c r="M1623" t="s">
        <v>2277</v>
      </c>
      <c r="N1623" t="s">
        <v>2277</v>
      </c>
      <c r="O1623" s="190" t="str">
        <f t="shared" si="25"/>
        <v>[S06_InstallationsVerificationReportsIssueDetail][8][AnnexIActivity]</v>
      </c>
    </row>
    <row r="1624" spans="1:15" x14ac:dyDescent="0.3">
      <c r="A1624" t="s">
        <v>2278</v>
      </c>
      <c r="B1624" t="s">
        <v>1985</v>
      </c>
      <c r="C1624" t="s">
        <v>1987</v>
      </c>
      <c r="D1624">
        <v>9</v>
      </c>
      <c r="E1624" t="s">
        <v>1447</v>
      </c>
      <c r="F1624" t="s">
        <v>1988</v>
      </c>
      <c r="G1624" t="s">
        <v>1737</v>
      </c>
      <c r="H1624" t="s">
        <v>2277</v>
      </c>
      <c r="I1624" t="s">
        <v>2277</v>
      </c>
      <c r="J1624" t="s">
        <v>2277</v>
      </c>
      <c r="K1624" t="s">
        <v>2277</v>
      </c>
      <c r="L1624" t="s">
        <v>1478</v>
      </c>
      <c r="M1624" t="s">
        <v>2277</v>
      </c>
      <c r="N1624" t="s">
        <v>2277</v>
      </c>
      <c r="O1624" s="190" t="str">
        <f t="shared" si="25"/>
        <v>[S06_InstallationsVerificationReportsIssueDetail][9][AnnexIActivity]</v>
      </c>
    </row>
    <row r="1625" spans="1:15" x14ac:dyDescent="0.3">
      <c r="A1625" t="s">
        <v>2278</v>
      </c>
      <c r="B1625" t="s">
        <v>1985</v>
      </c>
      <c r="C1625" t="s">
        <v>1987</v>
      </c>
      <c r="D1625">
        <v>10</v>
      </c>
      <c r="E1625" t="s">
        <v>1447</v>
      </c>
      <c r="F1625" t="s">
        <v>1988</v>
      </c>
      <c r="G1625" t="s">
        <v>1737</v>
      </c>
      <c r="H1625" t="s">
        <v>2277</v>
      </c>
      <c r="I1625" t="s">
        <v>2277</v>
      </c>
      <c r="J1625" t="s">
        <v>2277</v>
      </c>
      <c r="K1625" t="s">
        <v>2277</v>
      </c>
      <c r="L1625" t="s">
        <v>1518</v>
      </c>
      <c r="M1625" t="s">
        <v>2277</v>
      </c>
      <c r="N1625" t="s">
        <v>2277</v>
      </c>
      <c r="O1625" s="190" t="str">
        <f t="shared" si="25"/>
        <v>[S06_InstallationsVerificationReportsIssueDetail][10][AnnexIActivity]</v>
      </c>
    </row>
    <row r="1626" spans="1:15" x14ac:dyDescent="0.3">
      <c r="A1626" t="s">
        <v>2278</v>
      </c>
      <c r="B1626" t="s">
        <v>1985</v>
      </c>
      <c r="C1626" t="s">
        <v>1987</v>
      </c>
      <c r="D1626">
        <v>11</v>
      </c>
      <c r="E1626" t="s">
        <v>1447</v>
      </c>
      <c r="F1626" t="s">
        <v>1988</v>
      </c>
      <c r="G1626" t="s">
        <v>1737</v>
      </c>
      <c r="H1626" t="s">
        <v>2277</v>
      </c>
      <c r="I1626" t="s">
        <v>2277</v>
      </c>
      <c r="J1626" t="s">
        <v>2277</v>
      </c>
      <c r="K1626" t="s">
        <v>2277</v>
      </c>
      <c r="L1626" t="s">
        <v>1518</v>
      </c>
      <c r="M1626" t="s">
        <v>2277</v>
      </c>
      <c r="N1626" t="s">
        <v>2277</v>
      </c>
      <c r="O1626" s="190" t="str">
        <f t="shared" si="25"/>
        <v>[S06_InstallationsVerificationReportsIssueDetail][11][AnnexIActivity]</v>
      </c>
    </row>
    <row r="1627" spans="1:15" x14ac:dyDescent="0.3">
      <c r="A1627" t="s">
        <v>2278</v>
      </c>
      <c r="B1627" t="s">
        <v>1985</v>
      </c>
      <c r="C1627" t="s">
        <v>1987</v>
      </c>
      <c r="D1627">
        <v>12</v>
      </c>
      <c r="E1627" t="s">
        <v>1447</v>
      </c>
      <c r="F1627" t="s">
        <v>1988</v>
      </c>
      <c r="G1627" t="s">
        <v>1737</v>
      </c>
      <c r="H1627" t="s">
        <v>2277</v>
      </c>
      <c r="I1627" t="s">
        <v>2277</v>
      </c>
      <c r="J1627" t="s">
        <v>2277</v>
      </c>
      <c r="K1627" t="s">
        <v>2277</v>
      </c>
      <c r="L1627" t="s">
        <v>1530</v>
      </c>
      <c r="M1627" t="s">
        <v>2277</v>
      </c>
      <c r="N1627" t="s">
        <v>2277</v>
      </c>
      <c r="O1627" s="190" t="str">
        <f t="shared" si="25"/>
        <v>[S06_InstallationsVerificationReportsIssueDetail][12][AnnexIActivity]</v>
      </c>
    </row>
    <row r="1628" spans="1:15" x14ac:dyDescent="0.3">
      <c r="A1628" t="s">
        <v>2278</v>
      </c>
      <c r="B1628" t="s">
        <v>1985</v>
      </c>
      <c r="C1628" t="s">
        <v>1987</v>
      </c>
      <c r="D1628">
        <v>13</v>
      </c>
      <c r="E1628" t="s">
        <v>1447</v>
      </c>
      <c r="F1628" t="s">
        <v>1988</v>
      </c>
      <c r="G1628" t="s">
        <v>1737</v>
      </c>
      <c r="H1628" t="s">
        <v>2277</v>
      </c>
      <c r="I1628" t="s">
        <v>2277</v>
      </c>
      <c r="J1628" t="s">
        <v>2277</v>
      </c>
      <c r="K1628" t="s">
        <v>2277</v>
      </c>
      <c r="L1628" t="s">
        <v>1530</v>
      </c>
      <c r="M1628" t="s">
        <v>2277</v>
      </c>
      <c r="N1628" t="s">
        <v>2277</v>
      </c>
      <c r="O1628" s="190" t="str">
        <f t="shared" si="25"/>
        <v>[S06_InstallationsVerificationReportsIssueDetail][13][AnnexIActivity]</v>
      </c>
    </row>
    <row r="1629" spans="1:15" x14ac:dyDescent="0.3">
      <c r="A1629" t="s">
        <v>2278</v>
      </c>
      <c r="B1629" t="s">
        <v>1985</v>
      </c>
      <c r="C1629" t="s">
        <v>1987</v>
      </c>
      <c r="D1629">
        <v>14</v>
      </c>
      <c r="E1629" t="s">
        <v>1447</v>
      </c>
      <c r="F1629" t="s">
        <v>1988</v>
      </c>
      <c r="G1629" t="s">
        <v>1737</v>
      </c>
      <c r="H1629" t="s">
        <v>2277</v>
      </c>
      <c r="I1629" t="s">
        <v>2277</v>
      </c>
      <c r="J1629" t="s">
        <v>2277</v>
      </c>
      <c r="K1629" t="s">
        <v>2277</v>
      </c>
      <c r="L1629" t="s">
        <v>1557</v>
      </c>
      <c r="M1629" t="s">
        <v>2277</v>
      </c>
      <c r="N1629" t="s">
        <v>2277</v>
      </c>
      <c r="O1629" s="190" t="str">
        <f t="shared" si="25"/>
        <v>[S06_InstallationsVerificationReportsIssueDetail][14][AnnexIActivity]</v>
      </c>
    </row>
    <row r="1630" spans="1:15" x14ac:dyDescent="0.3">
      <c r="A1630" t="s">
        <v>2278</v>
      </c>
      <c r="B1630" t="s">
        <v>1985</v>
      </c>
      <c r="C1630" t="s">
        <v>1987</v>
      </c>
      <c r="D1630">
        <v>15</v>
      </c>
      <c r="E1630" t="s">
        <v>1447</v>
      </c>
      <c r="F1630" t="s">
        <v>1988</v>
      </c>
      <c r="G1630" t="s">
        <v>1737</v>
      </c>
      <c r="H1630" t="s">
        <v>2277</v>
      </c>
      <c r="I1630" t="s">
        <v>2277</v>
      </c>
      <c r="J1630" t="s">
        <v>2277</v>
      </c>
      <c r="K1630" t="s">
        <v>2277</v>
      </c>
      <c r="L1630" t="s">
        <v>1557</v>
      </c>
      <c r="M1630" t="s">
        <v>2277</v>
      </c>
      <c r="N1630" t="s">
        <v>2277</v>
      </c>
      <c r="O1630" s="190" t="str">
        <f t="shared" si="25"/>
        <v>[S06_InstallationsVerificationReportsIssueDetail][15][AnnexIActivity]</v>
      </c>
    </row>
    <row r="1631" spans="1:15" x14ac:dyDescent="0.3">
      <c r="A1631" t="s">
        <v>2278</v>
      </c>
      <c r="B1631" t="s">
        <v>1985</v>
      </c>
      <c r="C1631" t="s">
        <v>1987</v>
      </c>
      <c r="D1631">
        <v>16</v>
      </c>
      <c r="E1631" t="s">
        <v>1447</v>
      </c>
      <c r="F1631" t="s">
        <v>1988</v>
      </c>
      <c r="G1631" t="s">
        <v>1737</v>
      </c>
      <c r="H1631" t="s">
        <v>2277</v>
      </c>
      <c r="I1631" t="s">
        <v>2277</v>
      </c>
      <c r="J1631" t="s">
        <v>2277</v>
      </c>
      <c r="K1631" t="s">
        <v>2277</v>
      </c>
      <c r="L1631" t="s">
        <v>1557</v>
      </c>
      <c r="M1631" t="s">
        <v>2277</v>
      </c>
      <c r="N1631" t="s">
        <v>2277</v>
      </c>
      <c r="O1631" s="190" t="str">
        <f t="shared" si="25"/>
        <v>[S06_InstallationsVerificationReportsIssueDetail][16][AnnexIActivity]</v>
      </c>
    </row>
    <row r="1632" spans="1:15" x14ac:dyDescent="0.3">
      <c r="A1632" t="s">
        <v>2278</v>
      </c>
      <c r="B1632" t="s">
        <v>1985</v>
      </c>
      <c r="C1632" t="s">
        <v>1987</v>
      </c>
      <c r="D1632">
        <v>17</v>
      </c>
      <c r="E1632" t="s">
        <v>1447</v>
      </c>
      <c r="F1632" t="s">
        <v>1988</v>
      </c>
      <c r="G1632" t="s">
        <v>1737</v>
      </c>
      <c r="H1632" t="s">
        <v>2277</v>
      </c>
      <c r="I1632" t="s">
        <v>2277</v>
      </c>
      <c r="J1632" t="s">
        <v>2277</v>
      </c>
      <c r="K1632" t="s">
        <v>2277</v>
      </c>
      <c r="L1632" t="s">
        <v>1562</v>
      </c>
      <c r="M1632" t="s">
        <v>2277</v>
      </c>
      <c r="N1632" t="s">
        <v>2277</v>
      </c>
      <c r="O1632" s="190" t="str">
        <f t="shared" si="25"/>
        <v>[S06_InstallationsVerificationReportsIssueDetail][17][AnnexIActivity]</v>
      </c>
    </row>
    <row r="1633" spans="1:15" x14ac:dyDescent="0.3">
      <c r="A1633" t="s">
        <v>2278</v>
      </c>
      <c r="B1633" t="s">
        <v>1985</v>
      </c>
      <c r="C1633" t="s">
        <v>1987</v>
      </c>
      <c r="D1633">
        <v>18</v>
      </c>
      <c r="E1633" t="s">
        <v>1447</v>
      </c>
      <c r="F1633" t="s">
        <v>1988</v>
      </c>
      <c r="G1633" t="s">
        <v>1737</v>
      </c>
      <c r="H1633" t="s">
        <v>2277</v>
      </c>
      <c r="I1633" t="s">
        <v>2277</v>
      </c>
      <c r="J1633" t="s">
        <v>2277</v>
      </c>
      <c r="K1633" t="s">
        <v>2277</v>
      </c>
      <c r="L1633" t="s">
        <v>1562</v>
      </c>
      <c r="M1633" t="s">
        <v>2277</v>
      </c>
      <c r="N1633" t="s">
        <v>2277</v>
      </c>
      <c r="O1633" s="190" t="str">
        <f t="shared" si="25"/>
        <v>[S06_InstallationsVerificationReportsIssueDetail][18][AnnexIActivity]</v>
      </c>
    </row>
    <row r="1634" spans="1:15" x14ac:dyDescent="0.3">
      <c r="A1634" t="s">
        <v>2278</v>
      </c>
      <c r="B1634" t="s">
        <v>1985</v>
      </c>
      <c r="C1634" t="s">
        <v>1987</v>
      </c>
      <c r="D1634">
        <v>19</v>
      </c>
      <c r="E1634" t="s">
        <v>1447</v>
      </c>
      <c r="F1634" t="s">
        <v>1988</v>
      </c>
      <c r="G1634" t="s">
        <v>1737</v>
      </c>
      <c r="H1634" t="s">
        <v>2277</v>
      </c>
      <c r="I1634" t="s">
        <v>2277</v>
      </c>
      <c r="J1634" t="s">
        <v>2277</v>
      </c>
      <c r="K1634" t="s">
        <v>2277</v>
      </c>
      <c r="L1634" t="s">
        <v>1568</v>
      </c>
      <c r="M1634" t="s">
        <v>2277</v>
      </c>
      <c r="N1634" t="s">
        <v>2277</v>
      </c>
      <c r="O1634" s="190" t="str">
        <f t="shared" si="25"/>
        <v>[S06_InstallationsVerificationReportsIssueDetail][19][AnnexIActivity]</v>
      </c>
    </row>
    <row r="1635" spans="1:15" x14ac:dyDescent="0.3">
      <c r="A1635" t="s">
        <v>2278</v>
      </c>
      <c r="B1635" t="s">
        <v>1985</v>
      </c>
      <c r="C1635" t="s">
        <v>1987</v>
      </c>
      <c r="D1635">
        <v>20</v>
      </c>
      <c r="E1635" t="s">
        <v>1447</v>
      </c>
      <c r="F1635" t="s">
        <v>1988</v>
      </c>
      <c r="G1635" t="s">
        <v>1737</v>
      </c>
      <c r="H1635" t="s">
        <v>2277</v>
      </c>
      <c r="I1635" t="s">
        <v>2277</v>
      </c>
      <c r="J1635" t="s">
        <v>2277</v>
      </c>
      <c r="K1635" t="s">
        <v>2277</v>
      </c>
      <c r="L1635" t="s">
        <v>1573</v>
      </c>
      <c r="M1635" t="s">
        <v>2277</v>
      </c>
      <c r="N1635" t="s">
        <v>2277</v>
      </c>
      <c r="O1635" s="190" t="str">
        <f t="shared" si="25"/>
        <v>[S06_InstallationsVerificationReportsIssueDetail][20][AnnexIActivity]</v>
      </c>
    </row>
    <row r="1636" spans="1:15" x14ac:dyDescent="0.3">
      <c r="A1636" t="s">
        <v>2278</v>
      </c>
      <c r="B1636" t="s">
        <v>1985</v>
      </c>
      <c r="C1636" t="s">
        <v>1987</v>
      </c>
      <c r="D1636">
        <v>21</v>
      </c>
      <c r="E1636" t="s">
        <v>1447</v>
      </c>
      <c r="F1636" t="s">
        <v>1988</v>
      </c>
      <c r="G1636" t="s">
        <v>1737</v>
      </c>
      <c r="H1636" t="s">
        <v>2277</v>
      </c>
      <c r="I1636" t="s">
        <v>2277</v>
      </c>
      <c r="J1636" t="s">
        <v>2277</v>
      </c>
      <c r="K1636" t="s">
        <v>2277</v>
      </c>
      <c r="L1636" t="s">
        <v>1573</v>
      </c>
      <c r="M1636" t="s">
        <v>2277</v>
      </c>
      <c r="N1636" t="s">
        <v>2277</v>
      </c>
      <c r="O1636" s="190" t="str">
        <f t="shared" si="25"/>
        <v>[S06_InstallationsVerificationReportsIssueDetail][21][AnnexIActivity]</v>
      </c>
    </row>
    <row r="1637" spans="1:15" x14ac:dyDescent="0.3">
      <c r="A1637" t="s">
        <v>2278</v>
      </c>
      <c r="B1637" t="s">
        <v>1985</v>
      </c>
      <c r="C1637" t="s">
        <v>1987</v>
      </c>
      <c r="D1637">
        <v>22</v>
      </c>
      <c r="E1637" t="s">
        <v>1447</v>
      </c>
      <c r="F1637" t="s">
        <v>1988</v>
      </c>
      <c r="G1637" t="s">
        <v>1737</v>
      </c>
      <c r="H1637" t="s">
        <v>2277</v>
      </c>
      <c r="I1637" t="s">
        <v>2277</v>
      </c>
      <c r="J1637" t="s">
        <v>2277</v>
      </c>
      <c r="K1637" t="s">
        <v>2277</v>
      </c>
      <c r="L1637" t="s">
        <v>1573</v>
      </c>
      <c r="M1637" t="s">
        <v>2277</v>
      </c>
      <c r="N1637" t="s">
        <v>2277</v>
      </c>
      <c r="O1637" s="190" t="str">
        <f t="shared" si="25"/>
        <v>[S06_InstallationsVerificationReportsIssueDetail][22][AnnexIActivity]</v>
      </c>
    </row>
    <row r="1638" spans="1:15" x14ac:dyDescent="0.3">
      <c r="A1638" t="s">
        <v>2278</v>
      </c>
      <c r="B1638" t="s">
        <v>1985</v>
      </c>
      <c r="C1638" t="s">
        <v>1987</v>
      </c>
      <c r="D1638">
        <v>23</v>
      </c>
      <c r="E1638" t="s">
        <v>1447</v>
      </c>
      <c r="F1638" t="s">
        <v>1988</v>
      </c>
      <c r="G1638" t="s">
        <v>1737</v>
      </c>
      <c r="H1638" t="s">
        <v>2277</v>
      </c>
      <c r="I1638" t="s">
        <v>2277</v>
      </c>
      <c r="J1638" t="s">
        <v>2277</v>
      </c>
      <c r="K1638" t="s">
        <v>2277</v>
      </c>
      <c r="L1638" t="s">
        <v>1577</v>
      </c>
      <c r="M1638" t="s">
        <v>2277</v>
      </c>
      <c r="N1638" t="s">
        <v>2277</v>
      </c>
      <c r="O1638" s="190" t="str">
        <f t="shared" si="25"/>
        <v>[S06_InstallationsVerificationReportsIssueDetail][23][AnnexIActivity]</v>
      </c>
    </row>
    <row r="1639" spans="1:15" x14ac:dyDescent="0.3">
      <c r="A1639" t="s">
        <v>2278</v>
      </c>
      <c r="B1639" t="s">
        <v>1985</v>
      </c>
      <c r="C1639" t="s">
        <v>1987</v>
      </c>
      <c r="D1639">
        <v>24</v>
      </c>
      <c r="E1639" t="s">
        <v>1447</v>
      </c>
      <c r="F1639" t="s">
        <v>1988</v>
      </c>
      <c r="G1639" t="s">
        <v>1737</v>
      </c>
      <c r="H1639" t="s">
        <v>2277</v>
      </c>
      <c r="I1639" t="s">
        <v>2277</v>
      </c>
      <c r="J1639" t="s">
        <v>2277</v>
      </c>
      <c r="K1639" t="s">
        <v>2277</v>
      </c>
      <c r="L1639" t="s">
        <v>1577</v>
      </c>
      <c r="M1639" t="s">
        <v>2277</v>
      </c>
      <c r="N1639" t="s">
        <v>2277</v>
      </c>
      <c r="O1639" s="190" t="str">
        <f t="shared" si="25"/>
        <v>[S06_InstallationsVerificationReportsIssueDetail][24][AnnexIActivity]</v>
      </c>
    </row>
    <row r="1640" spans="1:15" x14ac:dyDescent="0.3">
      <c r="A1640" t="s">
        <v>2278</v>
      </c>
      <c r="B1640" t="s">
        <v>1985</v>
      </c>
      <c r="C1640" t="s">
        <v>1987</v>
      </c>
      <c r="D1640">
        <v>25</v>
      </c>
      <c r="E1640" t="s">
        <v>1447</v>
      </c>
      <c r="F1640" t="s">
        <v>1988</v>
      </c>
      <c r="G1640" t="s">
        <v>1737</v>
      </c>
      <c r="H1640" t="s">
        <v>2277</v>
      </c>
      <c r="I1640" t="s">
        <v>2277</v>
      </c>
      <c r="J1640" t="s">
        <v>2277</v>
      </c>
      <c r="K1640" t="s">
        <v>2277</v>
      </c>
      <c r="L1640" t="s">
        <v>1573</v>
      </c>
      <c r="M1640" t="s">
        <v>2277</v>
      </c>
      <c r="N1640" t="s">
        <v>2277</v>
      </c>
      <c r="O1640" s="190" t="str">
        <f t="shared" si="25"/>
        <v>[S06_InstallationsVerificationReportsIssueDetail][25][AnnexIActivity]</v>
      </c>
    </row>
    <row r="1641" spans="1:15" x14ac:dyDescent="0.3">
      <c r="A1641" t="s">
        <v>2278</v>
      </c>
      <c r="B1641" t="s">
        <v>1985</v>
      </c>
      <c r="C1641" t="s">
        <v>1987</v>
      </c>
      <c r="D1641">
        <v>26</v>
      </c>
      <c r="E1641" t="s">
        <v>1447</v>
      </c>
      <c r="F1641" t="s">
        <v>1988</v>
      </c>
      <c r="G1641" t="s">
        <v>1737</v>
      </c>
      <c r="H1641" t="s">
        <v>2277</v>
      </c>
      <c r="I1641" t="s">
        <v>2277</v>
      </c>
      <c r="J1641" t="s">
        <v>2277</v>
      </c>
      <c r="K1641" t="s">
        <v>2277</v>
      </c>
      <c r="L1641" t="s">
        <v>1577</v>
      </c>
      <c r="M1641" t="s">
        <v>2277</v>
      </c>
      <c r="N1641" t="s">
        <v>2277</v>
      </c>
      <c r="O1641" s="190" t="str">
        <f t="shared" si="25"/>
        <v>[S06_InstallationsVerificationReportsIssueDetail][26][AnnexIActivity]</v>
      </c>
    </row>
    <row r="1642" spans="1:15" x14ac:dyDescent="0.3">
      <c r="A1642" t="s">
        <v>2278</v>
      </c>
      <c r="B1642" t="s">
        <v>1985</v>
      </c>
      <c r="C1642" t="s">
        <v>1987</v>
      </c>
      <c r="D1642">
        <v>27</v>
      </c>
      <c r="E1642" t="s">
        <v>1447</v>
      </c>
      <c r="F1642" t="s">
        <v>1988</v>
      </c>
      <c r="G1642" t="s">
        <v>1737</v>
      </c>
      <c r="H1642" t="s">
        <v>2277</v>
      </c>
      <c r="I1642" t="s">
        <v>2277</v>
      </c>
      <c r="J1642" t="s">
        <v>2277</v>
      </c>
      <c r="K1642" t="s">
        <v>2277</v>
      </c>
      <c r="L1642" t="s">
        <v>1582</v>
      </c>
      <c r="M1642" t="s">
        <v>2277</v>
      </c>
      <c r="N1642" t="s">
        <v>2277</v>
      </c>
      <c r="O1642" s="190" t="str">
        <f t="shared" si="25"/>
        <v>[S06_InstallationsVerificationReportsIssueDetail][27][AnnexIActivity]</v>
      </c>
    </row>
    <row r="1643" spans="1:15" x14ac:dyDescent="0.3">
      <c r="A1643" t="s">
        <v>2278</v>
      </c>
      <c r="B1643" t="s">
        <v>1985</v>
      </c>
      <c r="C1643" t="s">
        <v>1987</v>
      </c>
      <c r="D1643">
        <v>28</v>
      </c>
      <c r="E1643" t="s">
        <v>1447</v>
      </c>
      <c r="F1643" t="s">
        <v>1988</v>
      </c>
      <c r="G1643" t="s">
        <v>1737</v>
      </c>
      <c r="H1643" t="s">
        <v>2277</v>
      </c>
      <c r="I1643" t="s">
        <v>2277</v>
      </c>
      <c r="J1643" t="s">
        <v>2277</v>
      </c>
      <c r="K1643" t="s">
        <v>2277</v>
      </c>
      <c r="L1643" t="s">
        <v>1582</v>
      </c>
      <c r="M1643" t="s">
        <v>2277</v>
      </c>
      <c r="N1643" t="s">
        <v>2277</v>
      </c>
      <c r="O1643" s="190" t="str">
        <f t="shared" si="25"/>
        <v>[S06_InstallationsVerificationReportsIssueDetail][28][AnnexIActivity]</v>
      </c>
    </row>
    <row r="1644" spans="1:15" x14ac:dyDescent="0.3">
      <c r="A1644" t="s">
        <v>2278</v>
      </c>
      <c r="B1644" t="s">
        <v>1985</v>
      </c>
      <c r="C1644" t="s">
        <v>1987</v>
      </c>
      <c r="D1644">
        <v>29</v>
      </c>
      <c r="E1644" t="s">
        <v>1447</v>
      </c>
      <c r="F1644" t="s">
        <v>1988</v>
      </c>
      <c r="G1644" t="s">
        <v>1737</v>
      </c>
      <c r="H1644" t="s">
        <v>2277</v>
      </c>
      <c r="I1644" t="s">
        <v>2277</v>
      </c>
      <c r="J1644" t="s">
        <v>2277</v>
      </c>
      <c r="K1644" t="s">
        <v>2277</v>
      </c>
      <c r="L1644" t="s">
        <v>1582</v>
      </c>
      <c r="M1644" t="s">
        <v>2277</v>
      </c>
      <c r="N1644" t="s">
        <v>2277</v>
      </c>
      <c r="O1644" s="190" t="str">
        <f t="shared" si="25"/>
        <v>[S06_InstallationsVerificationReportsIssueDetail][29][AnnexIActivity]</v>
      </c>
    </row>
    <row r="1645" spans="1:15" x14ac:dyDescent="0.3">
      <c r="A1645" t="s">
        <v>2278</v>
      </c>
      <c r="B1645" t="s">
        <v>1985</v>
      </c>
      <c r="C1645" t="s">
        <v>1987</v>
      </c>
      <c r="D1645">
        <v>30</v>
      </c>
      <c r="E1645" t="s">
        <v>1447</v>
      </c>
      <c r="F1645" t="s">
        <v>1988</v>
      </c>
      <c r="G1645" t="s">
        <v>1737</v>
      </c>
      <c r="H1645" t="s">
        <v>2277</v>
      </c>
      <c r="I1645" t="s">
        <v>2277</v>
      </c>
      <c r="J1645" t="s">
        <v>2277</v>
      </c>
      <c r="K1645" t="s">
        <v>2277</v>
      </c>
      <c r="L1645" t="s">
        <v>1587</v>
      </c>
      <c r="M1645" t="s">
        <v>2277</v>
      </c>
      <c r="N1645" t="s">
        <v>2277</v>
      </c>
      <c r="O1645" s="190" t="str">
        <f t="shared" si="25"/>
        <v>[S06_InstallationsVerificationReportsIssueDetail][30][AnnexIActivity]</v>
      </c>
    </row>
    <row r="1646" spans="1:15" x14ac:dyDescent="0.3">
      <c r="A1646" t="s">
        <v>2278</v>
      </c>
      <c r="B1646" t="s">
        <v>1985</v>
      </c>
      <c r="C1646" t="s">
        <v>1987</v>
      </c>
      <c r="D1646">
        <v>31</v>
      </c>
      <c r="E1646" t="s">
        <v>1447</v>
      </c>
      <c r="F1646" t="s">
        <v>1988</v>
      </c>
      <c r="G1646" t="s">
        <v>1737</v>
      </c>
      <c r="H1646" t="s">
        <v>2277</v>
      </c>
      <c r="I1646" t="s">
        <v>2277</v>
      </c>
      <c r="J1646" t="s">
        <v>2277</v>
      </c>
      <c r="K1646" t="s">
        <v>2277</v>
      </c>
      <c r="L1646" t="s">
        <v>1592</v>
      </c>
      <c r="M1646" t="s">
        <v>2277</v>
      </c>
      <c r="N1646" t="s">
        <v>2277</v>
      </c>
      <c r="O1646" s="190" t="str">
        <f t="shared" si="25"/>
        <v>[S06_InstallationsVerificationReportsIssueDetail][31][AnnexIActivity]</v>
      </c>
    </row>
    <row r="1647" spans="1:15" x14ac:dyDescent="0.3">
      <c r="A1647" t="s">
        <v>2278</v>
      </c>
      <c r="B1647" t="s">
        <v>1985</v>
      </c>
      <c r="C1647" t="s">
        <v>1987</v>
      </c>
      <c r="D1647">
        <v>32</v>
      </c>
      <c r="E1647" t="s">
        <v>1447</v>
      </c>
      <c r="F1647" t="s">
        <v>1988</v>
      </c>
      <c r="G1647" t="s">
        <v>1737</v>
      </c>
      <c r="H1647" t="s">
        <v>2277</v>
      </c>
      <c r="I1647" t="s">
        <v>2277</v>
      </c>
      <c r="J1647" t="s">
        <v>2277</v>
      </c>
      <c r="K1647" t="s">
        <v>2277</v>
      </c>
      <c r="L1647" t="s">
        <v>1592</v>
      </c>
      <c r="M1647" t="s">
        <v>2277</v>
      </c>
      <c r="N1647" t="s">
        <v>2277</v>
      </c>
      <c r="O1647" s="190" t="str">
        <f t="shared" si="25"/>
        <v>[S06_InstallationsVerificationReportsIssueDetail][32][AnnexIActivity]</v>
      </c>
    </row>
    <row r="1648" spans="1:15" x14ac:dyDescent="0.3">
      <c r="A1648" t="s">
        <v>2278</v>
      </c>
      <c r="B1648" t="s">
        <v>1985</v>
      </c>
      <c r="C1648" t="s">
        <v>1987</v>
      </c>
      <c r="D1648">
        <v>33</v>
      </c>
      <c r="E1648" t="s">
        <v>1447</v>
      </c>
      <c r="F1648" t="s">
        <v>1988</v>
      </c>
      <c r="G1648" t="s">
        <v>1737</v>
      </c>
      <c r="H1648" t="s">
        <v>2277</v>
      </c>
      <c r="I1648" t="s">
        <v>2277</v>
      </c>
      <c r="J1648" t="s">
        <v>2277</v>
      </c>
      <c r="K1648" t="s">
        <v>2277</v>
      </c>
      <c r="L1648" t="s">
        <v>1597</v>
      </c>
      <c r="M1648" t="s">
        <v>2277</v>
      </c>
      <c r="N1648" t="s">
        <v>2277</v>
      </c>
      <c r="O1648" s="190" t="str">
        <f t="shared" si="25"/>
        <v>[S06_InstallationsVerificationReportsIssueDetail][33][AnnexIActivity]</v>
      </c>
    </row>
    <row r="1649" spans="1:15" x14ac:dyDescent="0.3">
      <c r="A1649" t="s">
        <v>2278</v>
      </c>
      <c r="B1649" t="s">
        <v>1985</v>
      </c>
      <c r="C1649" t="s">
        <v>1987</v>
      </c>
      <c r="D1649">
        <v>34</v>
      </c>
      <c r="E1649" t="s">
        <v>1447</v>
      </c>
      <c r="F1649" t="s">
        <v>1988</v>
      </c>
      <c r="G1649" t="s">
        <v>1737</v>
      </c>
      <c r="H1649" t="s">
        <v>2277</v>
      </c>
      <c r="I1649" t="s">
        <v>2277</v>
      </c>
      <c r="J1649" t="s">
        <v>2277</v>
      </c>
      <c r="K1649" t="s">
        <v>2277</v>
      </c>
      <c r="L1649" t="s">
        <v>1597</v>
      </c>
      <c r="M1649" t="s">
        <v>2277</v>
      </c>
      <c r="N1649" t="s">
        <v>2277</v>
      </c>
      <c r="O1649" s="190" t="str">
        <f t="shared" si="25"/>
        <v>[S06_InstallationsVerificationReportsIssueDetail][34][AnnexIActivity]</v>
      </c>
    </row>
    <row r="1650" spans="1:15" x14ac:dyDescent="0.3">
      <c r="A1650" t="s">
        <v>2278</v>
      </c>
      <c r="B1650" t="s">
        <v>1985</v>
      </c>
      <c r="C1650" t="s">
        <v>1987</v>
      </c>
      <c r="D1650">
        <v>35</v>
      </c>
      <c r="E1650" t="s">
        <v>1447</v>
      </c>
      <c r="F1650" t="s">
        <v>1988</v>
      </c>
      <c r="G1650" t="s">
        <v>1737</v>
      </c>
      <c r="H1650" t="s">
        <v>2277</v>
      </c>
      <c r="I1650" t="s">
        <v>2277</v>
      </c>
      <c r="J1650" t="s">
        <v>2277</v>
      </c>
      <c r="K1650" t="s">
        <v>2277</v>
      </c>
      <c r="L1650" t="s">
        <v>1607</v>
      </c>
      <c r="M1650" t="s">
        <v>2277</v>
      </c>
      <c r="N1650" t="s">
        <v>2277</v>
      </c>
      <c r="O1650" s="190" t="str">
        <f t="shared" si="25"/>
        <v>[S06_InstallationsVerificationReportsIssueDetail][35][AnnexIActivity]</v>
      </c>
    </row>
    <row r="1651" spans="1:15" x14ac:dyDescent="0.3">
      <c r="A1651" t="s">
        <v>2278</v>
      </c>
      <c r="B1651" t="s">
        <v>1985</v>
      </c>
      <c r="C1651" t="s">
        <v>1987</v>
      </c>
      <c r="D1651">
        <v>1</v>
      </c>
      <c r="E1651" t="s">
        <v>1447</v>
      </c>
      <c r="F1651" t="s">
        <v>1989</v>
      </c>
      <c r="G1651" t="s">
        <v>1737</v>
      </c>
      <c r="H1651" t="s">
        <v>2277</v>
      </c>
      <c r="I1651" t="s">
        <v>2277</v>
      </c>
      <c r="J1651" t="s">
        <v>2277</v>
      </c>
      <c r="K1651" t="s">
        <v>2277</v>
      </c>
      <c r="L1651" t="s">
        <v>1492</v>
      </c>
      <c r="M1651" t="s">
        <v>2277</v>
      </c>
      <c r="N1651" t="s">
        <v>2277</v>
      </c>
      <c r="O1651" s="190" t="str">
        <f t="shared" si="25"/>
        <v>[S06_InstallationsVerificationReportsIssueDetail][1][TypeOfIssue]</v>
      </c>
    </row>
    <row r="1652" spans="1:15" x14ac:dyDescent="0.3">
      <c r="A1652" t="s">
        <v>2278</v>
      </c>
      <c r="B1652" t="s">
        <v>1985</v>
      </c>
      <c r="C1652" t="s">
        <v>1987</v>
      </c>
      <c r="D1652">
        <v>2</v>
      </c>
      <c r="E1652" t="s">
        <v>1447</v>
      </c>
      <c r="F1652" t="s">
        <v>1989</v>
      </c>
      <c r="G1652" t="s">
        <v>1737</v>
      </c>
      <c r="H1652" t="s">
        <v>2277</v>
      </c>
      <c r="I1652" t="s">
        <v>2277</v>
      </c>
      <c r="J1652" t="s">
        <v>2277</v>
      </c>
      <c r="K1652" t="s">
        <v>2277</v>
      </c>
      <c r="L1652" t="s">
        <v>1467</v>
      </c>
      <c r="M1652" t="s">
        <v>2277</v>
      </c>
      <c r="N1652" t="s">
        <v>2277</v>
      </c>
      <c r="O1652" s="190" t="str">
        <f t="shared" si="25"/>
        <v>[S06_InstallationsVerificationReportsIssueDetail][2][TypeOfIssue]</v>
      </c>
    </row>
    <row r="1653" spans="1:15" x14ac:dyDescent="0.3">
      <c r="A1653" t="s">
        <v>2278</v>
      </c>
      <c r="B1653" t="s">
        <v>1985</v>
      </c>
      <c r="C1653" t="s">
        <v>1987</v>
      </c>
      <c r="D1653">
        <v>3</v>
      </c>
      <c r="E1653" t="s">
        <v>1447</v>
      </c>
      <c r="F1653" t="s">
        <v>1989</v>
      </c>
      <c r="G1653" t="s">
        <v>1737</v>
      </c>
      <c r="H1653" t="s">
        <v>2277</v>
      </c>
      <c r="I1653" t="s">
        <v>2277</v>
      </c>
      <c r="J1653" t="s">
        <v>2277</v>
      </c>
      <c r="K1653" t="s">
        <v>2277</v>
      </c>
      <c r="L1653" t="s">
        <v>1439</v>
      </c>
      <c r="M1653" t="s">
        <v>2277</v>
      </c>
      <c r="N1653" t="s">
        <v>2277</v>
      </c>
      <c r="O1653" s="190" t="str">
        <f t="shared" si="25"/>
        <v>[S06_InstallationsVerificationReportsIssueDetail][3][TypeOfIssue]</v>
      </c>
    </row>
    <row r="1654" spans="1:15" x14ac:dyDescent="0.3">
      <c r="A1654" t="s">
        <v>2278</v>
      </c>
      <c r="B1654" t="s">
        <v>1985</v>
      </c>
      <c r="C1654" t="s">
        <v>1987</v>
      </c>
      <c r="D1654">
        <v>4</v>
      </c>
      <c r="E1654" t="s">
        <v>1447</v>
      </c>
      <c r="F1654" t="s">
        <v>1989</v>
      </c>
      <c r="G1654" t="s">
        <v>1737</v>
      </c>
      <c r="H1654" t="s">
        <v>2277</v>
      </c>
      <c r="I1654" t="s">
        <v>2277</v>
      </c>
      <c r="J1654" t="s">
        <v>2277</v>
      </c>
      <c r="K1654" t="s">
        <v>2277</v>
      </c>
      <c r="L1654" t="s">
        <v>1512</v>
      </c>
      <c r="M1654" t="s">
        <v>2277</v>
      </c>
      <c r="N1654" t="s">
        <v>2277</v>
      </c>
      <c r="O1654" s="190" t="str">
        <f t="shared" si="25"/>
        <v>[S06_InstallationsVerificationReportsIssueDetail][4][TypeOfIssue]</v>
      </c>
    </row>
    <row r="1655" spans="1:15" x14ac:dyDescent="0.3">
      <c r="A1655" t="s">
        <v>2278</v>
      </c>
      <c r="B1655" t="s">
        <v>1985</v>
      </c>
      <c r="C1655" t="s">
        <v>1987</v>
      </c>
      <c r="D1655">
        <v>5</v>
      </c>
      <c r="E1655" t="s">
        <v>1447</v>
      </c>
      <c r="F1655" t="s">
        <v>1989</v>
      </c>
      <c r="G1655" t="s">
        <v>1737</v>
      </c>
      <c r="H1655" t="s">
        <v>2277</v>
      </c>
      <c r="I1655" t="s">
        <v>2277</v>
      </c>
      <c r="J1655" t="s">
        <v>2277</v>
      </c>
      <c r="K1655" t="s">
        <v>2277</v>
      </c>
      <c r="L1655" t="s">
        <v>1492</v>
      </c>
      <c r="M1655" t="s">
        <v>2277</v>
      </c>
      <c r="N1655" t="s">
        <v>2277</v>
      </c>
      <c r="O1655" s="190" t="str">
        <f t="shared" si="25"/>
        <v>[S06_InstallationsVerificationReportsIssueDetail][5][TypeOfIssue]</v>
      </c>
    </row>
    <row r="1656" spans="1:15" x14ac:dyDescent="0.3">
      <c r="A1656" t="s">
        <v>2278</v>
      </c>
      <c r="B1656" t="s">
        <v>1985</v>
      </c>
      <c r="C1656" t="s">
        <v>1987</v>
      </c>
      <c r="D1656">
        <v>6</v>
      </c>
      <c r="E1656" t="s">
        <v>1447</v>
      </c>
      <c r="F1656" t="s">
        <v>1989</v>
      </c>
      <c r="G1656" t="s">
        <v>1737</v>
      </c>
      <c r="H1656" t="s">
        <v>2277</v>
      </c>
      <c r="I1656" t="s">
        <v>2277</v>
      </c>
      <c r="J1656" t="s">
        <v>2277</v>
      </c>
      <c r="K1656" t="s">
        <v>2277</v>
      </c>
      <c r="L1656" t="s">
        <v>1467</v>
      </c>
      <c r="M1656" t="s">
        <v>2277</v>
      </c>
      <c r="N1656" t="s">
        <v>2277</v>
      </c>
      <c r="O1656" s="190" t="str">
        <f t="shared" si="25"/>
        <v>[S06_InstallationsVerificationReportsIssueDetail][6][TypeOfIssue]</v>
      </c>
    </row>
    <row r="1657" spans="1:15" x14ac:dyDescent="0.3">
      <c r="A1657" t="s">
        <v>2278</v>
      </c>
      <c r="B1657" t="s">
        <v>1985</v>
      </c>
      <c r="C1657" t="s">
        <v>1987</v>
      </c>
      <c r="D1657">
        <v>7</v>
      </c>
      <c r="E1657" t="s">
        <v>1447</v>
      </c>
      <c r="F1657" t="s">
        <v>1989</v>
      </c>
      <c r="G1657" t="s">
        <v>1737</v>
      </c>
      <c r="H1657" t="s">
        <v>2277</v>
      </c>
      <c r="I1657" t="s">
        <v>2277</v>
      </c>
      <c r="J1657" t="s">
        <v>2277</v>
      </c>
      <c r="K1657" t="s">
        <v>2277</v>
      </c>
      <c r="L1657" t="s">
        <v>1512</v>
      </c>
      <c r="M1657" t="s">
        <v>2277</v>
      </c>
      <c r="N1657" t="s">
        <v>2277</v>
      </c>
      <c r="O1657" s="190" t="str">
        <f t="shared" si="25"/>
        <v>[S06_InstallationsVerificationReportsIssueDetail][7][TypeOfIssue]</v>
      </c>
    </row>
    <row r="1658" spans="1:15" x14ac:dyDescent="0.3">
      <c r="A1658" t="s">
        <v>2278</v>
      </c>
      <c r="B1658" t="s">
        <v>1985</v>
      </c>
      <c r="C1658" t="s">
        <v>1987</v>
      </c>
      <c r="D1658">
        <v>8</v>
      </c>
      <c r="E1658" t="s">
        <v>1447</v>
      </c>
      <c r="F1658" t="s">
        <v>1989</v>
      </c>
      <c r="G1658" t="s">
        <v>1737</v>
      </c>
      <c r="H1658" t="s">
        <v>2277</v>
      </c>
      <c r="I1658" t="s">
        <v>2277</v>
      </c>
      <c r="J1658" t="s">
        <v>2277</v>
      </c>
      <c r="K1658" t="s">
        <v>2277</v>
      </c>
      <c r="L1658" t="s">
        <v>1492</v>
      </c>
      <c r="M1658" t="s">
        <v>2277</v>
      </c>
      <c r="N1658" t="s">
        <v>2277</v>
      </c>
      <c r="O1658" s="190" t="str">
        <f t="shared" si="25"/>
        <v>[S06_InstallationsVerificationReportsIssueDetail][8][TypeOfIssue]</v>
      </c>
    </row>
    <row r="1659" spans="1:15" x14ac:dyDescent="0.3">
      <c r="A1659" t="s">
        <v>2278</v>
      </c>
      <c r="B1659" t="s">
        <v>1985</v>
      </c>
      <c r="C1659" t="s">
        <v>1987</v>
      </c>
      <c r="D1659">
        <v>9</v>
      </c>
      <c r="E1659" t="s">
        <v>1447</v>
      </c>
      <c r="F1659" t="s">
        <v>1989</v>
      </c>
      <c r="G1659" t="s">
        <v>1737</v>
      </c>
      <c r="H1659" t="s">
        <v>2277</v>
      </c>
      <c r="I1659" t="s">
        <v>2277</v>
      </c>
      <c r="J1659" t="s">
        <v>2277</v>
      </c>
      <c r="K1659" t="s">
        <v>2277</v>
      </c>
      <c r="L1659" t="s">
        <v>1512</v>
      </c>
      <c r="M1659" t="s">
        <v>2277</v>
      </c>
      <c r="N1659" t="s">
        <v>2277</v>
      </c>
      <c r="O1659" s="190" t="str">
        <f t="shared" si="25"/>
        <v>[S06_InstallationsVerificationReportsIssueDetail][9][TypeOfIssue]</v>
      </c>
    </row>
    <row r="1660" spans="1:15" x14ac:dyDescent="0.3">
      <c r="A1660" t="s">
        <v>2278</v>
      </c>
      <c r="B1660" t="s">
        <v>1985</v>
      </c>
      <c r="C1660" t="s">
        <v>1987</v>
      </c>
      <c r="D1660">
        <v>10</v>
      </c>
      <c r="E1660" t="s">
        <v>1447</v>
      </c>
      <c r="F1660" t="s">
        <v>1989</v>
      </c>
      <c r="G1660" t="s">
        <v>1737</v>
      </c>
      <c r="H1660" t="s">
        <v>2277</v>
      </c>
      <c r="I1660" t="s">
        <v>2277</v>
      </c>
      <c r="J1660" t="s">
        <v>2277</v>
      </c>
      <c r="K1660" t="s">
        <v>2277</v>
      </c>
      <c r="L1660" t="s">
        <v>1492</v>
      </c>
      <c r="M1660" t="s">
        <v>2277</v>
      </c>
      <c r="N1660" t="s">
        <v>2277</v>
      </c>
      <c r="O1660" s="190" t="str">
        <f t="shared" si="25"/>
        <v>[S06_InstallationsVerificationReportsIssueDetail][10][TypeOfIssue]</v>
      </c>
    </row>
    <row r="1661" spans="1:15" x14ac:dyDescent="0.3">
      <c r="A1661" t="s">
        <v>2278</v>
      </c>
      <c r="B1661" t="s">
        <v>1985</v>
      </c>
      <c r="C1661" t="s">
        <v>1987</v>
      </c>
      <c r="D1661">
        <v>11</v>
      </c>
      <c r="E1661" t="s">
        <v>1447</v>
      </c>
      <c r="F1661" t="s">
        <v>1989</v>
      </c>
      <c r="G1661" t="s">
        <v>1737</v>
      </c>
      <c r="H1661" t="s">
        <v>2277</v>
      </c>
      <c r="I1661" t="s">
        <v>2277</v>
      </c>
      <c r="J1661" t="s">
        <v>2277</v>
      </c>
      <c r="K1661" t="s">
        <v>2277</v>
      </c>
      <c r="L1661" t="s">
        <v>1512</v>
      </c>
      <c r="M1661" t="s">
        <v>2277</v>
      </c>
      <c r="N1661" t="s">
        <v>2277</v>
      </c>
      <c r="O1661" s="190" t="str">
        <f t="shared" si="25"/>
        <v>[S06_InstallationsVerificationReportsIssueDetail][11][TypeOfIssue]</v>
      </c>
    </row>
    <row r="1662" spans="1:15" x14ac:dyDescent="0.3">
      <c r="A1662" t="s">
        <v>2278</v>
      </c>
      <c r="B1662" t="s">
        <v>1985</v>
      </c>
      <c r="C1662" t="s">
        <v>1987</v>
      </c>
      <c r="D1662">
        <v>12</v>
      </c>
      <c r="E1662" t="s">
        <v>1447</v>
      </c>
      <c r="F1662" t="s">
        <v>1989</v>
      </c>
      <c r="G1662" t="s">
        <v>1737</v>
      </c>
      <c r="H1662" t="s">
        <v>2277</v>
      </c>
      <c r="I1662" t="s">
        <v>2277</v>
      </c>
      <c r="J1662" t="s">
        <v>2277</v>
      </c>
      <c r="K1662" t="s">
        <v>2277</v>
      </c>
      <c r="L1662" t="s">
        <v>1492</v>
      </c>
      <c r="M1662" t="s">
        <v>2277</v>
      </c>
      <c r="N1662" t="s">
        <v>2277</v>
      </c>
      <c r="O1662" s="190" t="str">
        <f t="shared" si="25"/>
        <v>[S06_InstallationsVerificationReportsIssueDetail][12][TypeOfIssue]</v>
      </c>
    </row>
    <row r="1663" spans="1:15" x14ac:dyDescent="0.3">
      <c r="A1663" t="s">
        <v>2278</v>
      </c>
      <c r="B1663" t="s">
        <v>1985</v>
      </c>
      <c r="C1663" t="s">
        <v>1987</v>
      </c>
      <c r="D1663">
        <v>13</v>
      </c>
      <c r="E1663" t="s">
        <v>1447</v>
      </c>
      <c r="F1663" t="s">
        <v>1989</v>
      </c>
      <c r="G1663" t="s">
        <v>1737</v>
      </c>
      <c r="H1663" t="s">
        <v>2277</v>
      </c>
      <c r="I1663" t="s">
        <v>2277</v>
      </c>
      <c r="J1663" t="s">
        <v>2277</v>
      </c>
      <c r="K1663" t="s">
        <v>2277</v>
      </c>
      <c r="L1663" t="s">
        <v>1512</v>
      </c>
      <c r="M1663" t="s">
        <v>2277</v>
      </c>
      <c r="N1663" t="s">
        <v>2277</v>
      </c>
      <c r="O1663" s="190" t="str">
        <f t="shared" si="25"/>
        <v>[S06_InstallationsVerificationReportsIssueDetail][13][TypeOfIssue]</v>
      </c>
    </row>
    <row r="1664" spans="1:15" x14ac:dyDescent="0.3">
      <c r="A1664" t="s">
        <v>2278</v>
      </c>
      <c r="B1664" t="s">
        <v>1985</v>
      </c>
      <c r="C1664" t="s">
        <v>1987</v>
      </c>
      <c r="D1664">
        <v>14</v>
      </c>
      <c r="E1664" t="s">
        <v>1447</v>
      </c>
      <c r="F1664" t="s">
        <v>1989</v>
      </c>
      <c r="G1664" t="s">
        <v>1737</v>
      </c>
      <c r="H1664" t="s">
        <v>2277</v>
      </c>
      <c r="I1664" t="s">
        <v>2277</v>
      </c>
      <c r="J1664" t="s">
        <v>2277</v>
      </c>
      <c r="K1664" t="s">
        <v>2277</v>
      </c>
      <c r="L1664" t="s">
        <v>1492</v>
      </c>
      <c r="M1664" t="s">
        <v>2277</v>
      </c>
      <c r="N1664" t="s">
        <v>2277</v>
      </c>
      <c r="O1664" s="190" t="str">
        <f t="shared" si="25"/>
        <v>[S06_InstallationsVerificationReportsIssueDetail][14][TypeOfIssue]</v>
      </c>
    </row>
    <row r="1665" spans="1:15" x14ac:dyDescent="0.3">
      <c r="A1665" t="s">
        <v>2278</v>
      </c>
      <c r="B1665" t="s">
        <v>1985</v>
      </c>
      <c r="C1665" t="s">
        <v>1987</v>
      </c>
      <c r="D1665">
        <v>15</v>
      </c>
      <c r="E1665" t="s">
        <v>1447</v>
      </c>
      <c r="F1665" t="s">
        <v>1989</v>
      </c>
      <c r="G1665" t="s">
        <v>1737</v>
      </c>
      <c r="H1665" t="s">
        <v>2277</v>
      </c>
      <c r="I1665" t="s">
        <v>2277</v>
      </c>
      <c r="J1665" t="s">
        <v>2277</v>
      </c>
      <c r="K1665" t="s">
        <v>2277</v>
      </c>
      <c r="L1665" t="s">
        <v>1467</v>
      </c>
      <c r="M1665" t="s">
        <v>2277</v>
      </c>
      <c r="N1665" t="s">
        <v>2277</v>
      </c>
      <c r="O1665" s="190" t="str">
        <f t="shared" si="25"/>
        <v>[S06_InstallationsVerificationReportsIssueDetail][15][TypeOfIssue]</v>
      </c>
    </row>
    <row r="1666" spans="1:15" x14ac:dyDescent="0.3">
      <c r="A1666" t="s">
        <v>2278</v>
      </c>
      <c r="B1666" t="s">
        <v>1985</v>
      </c>
      <c r="C1666" t="s">
        <v>1987</v>
      </c>
      <c r="D1666">
        <v>16</v>
      </c>
      <c r="E1666" t="s">
        <v>1447</v>
      </c>
      <c r="F1666" t="s">
        <v>1989</v>
      </c>
      <c r="G1666" t="s">
        <v>1737</v>
      </c>
      <c r="H1666" t="s">
        <v>2277</v>
      </c>
      <c r="I1666" t="s">
        <v>2277</v>
      </c>
      <c r="J1666" t="s">
        <v>2277</v>
      </c>
      <c r="K1666" t="s">
        <v>2277</v>
      </c>
      <c r="L1666" t="s">
        <v>1512</v>
      </c>
      <c r="M1666" t="s">
        <v>2277</v>
      </c>
      <c r="N1666" t="s">
        <v>2277</v>
      </c>
      <c r="O1666" s="190" t="str">
        <f t="shared" ref="O1666:O1729" si="26">"["&amp;$C1666&amp;"]["&amp;$D1666&amp;"]["&amp;$F1666&amp;"]"</f>
        <v>[S06_InstallationsVerificationReportsIssueDetail][16][TypeOfIssue]</v>
      </c>
    </row>
    <row r="1667" spans="1:15" x14ac:dyDescent="0.3">
      <c r="A1667" t="s">
        <v>2278</v>
      </c>
      <c r="B1667" t="s">
        <v>1985</v>
      </c>
      <c r="C1667" t="s">
        <v>1987</v>
      </c>
      <c r="D1667">
        <v>17</v>
      </c>
      <c r="E1667" t="s">
        <v>1447</v>
      </c>
      <c r="F1667" t="s">
        <v>1989</v>
      </c>
      <c r="G1667" t="s">
        <v>1737</v>
      </c>
      <c r="H1667" t="s">
        <v>2277</v>
      </c>
      <c r="I1667" t="s">
        <v>2277</v>
      </c>
      <c r="J1667" t="s">
        <v>2277</v>
      </c>
      <c r="K1667" t="s">
        <v>2277</v>
      </c>
      <c r="L1667" t="s">
        <v>1492</v>
      </c>
      <c r="M1667" t="s">
        <v>2277</v>
      </c>
      <c r="N1667" t="s">
        <v>2277</v>
      </c>
      <c r="O1667" s="190" t="str">
        <f t="shared" si="26"/>
        <v>[S06_InstallationsVerificationReportsIssueDetail][17][TypeOfIssue]</v>
      </c>
    </row>
    <row r="1668" spans="1:15" x14ac:dyDescent="0.3">
      <c r="A1668" t="s">
        <v>2278</v>
      </c>
      <c r="B1668" t="s">
        <v>1985</v>
      </c>
      <c r="C1668" t="s">
        <v>1987</v>
      </c>
      <c r="D1668">
        <v>18</v>
      </c>
      <c r="E1668" t="s">
        <v>1447</v>
      </c>
      <c r="F1668" t="s">
        <v>1989</v>
      </c>
      <c r="G1668" t="s">
        <v>1737</v>
      </c>
      <c r="H1668" t="s">
        <v>2277</v>
      </c>
      <c r="I1668" t="s">
        <v>2277</v>
      </c>
      <c r="J1668" t="s">
        <v>2277</v>
      </c>
      <c r="K1668" t="s">
        <v>2277</v>
      </c>
      <c r="L1668" t="s">
        <v>1512</v>
      </c>
      <c r="M1668" t="s">
        <v>2277</v>
      </c>
      <c r="N1668" t="s">
        <v>2277</v>
      </c>
      <c r="O1668" s="190" t="str">
        <f t="shared" si="26"/>
        <v>[S06_InstallationsVerificationReportsIssueDetail][18][TypeOfIssue]</v>
      </c>
    </row>
    <row r="1669" spans="1:15" x14ac:dyDescent="0.3">
      <c r="A1669" t="s">
        <v>2278</v>
      </c>
      <c r="B1669" t="s">
        <v>1985</v>
      </c>
      <c r="C1669" t="s">
        <v>1987</v>
      </c>
      <c r="D1669">
        <v>19</v>
      </c>
      <c r="E1669" t="s">
        <v>1447</v>
      </c>
      <c r="F1669" t="s">
        <v>1989</v>
      </c>
      <c r="G1669" t="s">
        <v>1737</v>
      </c>
      <c r="H1669" t="s">
        <v>2277</v>
      </c>
      <c r="I1669" t="s">
        <v>2277</v>
      </c>
      <c r="J1669" t="s">
        <v>2277</v>
      </c>
      <c r="K1669" t="s">
        <v>2277</v>
      </c>
      <c r="L1669" t="s">
        <v>1512</v>
      </c>
      <c r="M1669" t="s">
        <v>2277</v>
      </c>
      <c r="N1669" t="s">
        <v>2277</v>
      </c>
      <c r="O1669" s="190" t="str">
        <f t="shared" si="26"/>
        <v>[S06_InstallationsVerificationReportsIssueDetail][19][TypeOfIssue]</v>
      </c>
    </row>
    <row r="1670" spans="1:15" x14ac:dyDescent="0.3">
      <c r="A1670" t="s">
        <v>2278</v>
      </c>
      <c r="B1670" t="s">
        <v>1985</v>
      </c>
      <c r="C1670" t="s">
        <v>1987</v>
      </c>
      <c r="D1670">
        <v>20</v>
      </c>
      <c r="E1670" t="s">
        <v>1447</v>
      </c>
      <c r="F1670" t="s">
        <v>1989</v>
      </c>
      <c r="G1670" t="s">
        <v>1737</v>
      </c>
      <c r="H1670" t="s">
        <v>2277</v>
      </c>
      <c r="I1670" t="s">
        <v>2277</v>
      </c>
      <c r="J1670" t="s">
        <v>2277</v>
      </c>
      <c r="K1670" t="s">
        <v>2277</v>
      </c>
      <c r="L1670" t="s">
        <v>1492</v>
      </c>
      <c r="M1670" t="s">
        <v>2277</v>
      </c>
      <c r="N1670" t="s">
        <v>2277</v>
      </c>
      <c r="O1670" s="190" t="str">
        <f t="shared" si="26"/>
        <v>[S06_InstallationsVerificationReportsIssueDetail][20][TypeOfIssue]</v>
      </c>
    </row>
    <row r="1671" spans="1:15" x14ac:dyDescent="0.3">
      <c r="A1671" t="s">
        <v>2278</v>
      </c>
      <c r="B1671" t="s">
        <v>1985</v>
      </c>
      <c r="C1671" t="s">
        <v>1987</v>
      </c>
      <c r="D1671">
        <v>21</v>
      </c>
      <c r="E1671" t="s">
        <v>1447</v>
      </c>
      <c r="F1671" t="s">
        <v>1989</v>
      </c>
      <c r="G1671" t="s">
        <v>1737</v>
      </c>
      <c r="H1671" t="s">
        <v>2277</v>
      </c>
      <c r="I1671" t="s">
        <v>2277</v>
      </c>
      <c r="J1671" t="s">
        <v>2277</v>
      </c>
      <c r="K1671" t="s">
        <v>2277</v>
      </c>
      <c r="L1671" t="s">
        <v>1467</v>
      </c>
      <c r="M1671" t="s">
        <v>2277</v>
      </c>
      <c r="N1671" t="s">
        <v>2277</v>
      </c>
      <c r="O1671" s="190" t="str">
        <f t="shared" si="26"/>
        <v>[S06_InstallationsVerificationReportsIssueDetail][21][TypeOfIssue]</v>
      </c>
    </row>
    <row r="1672" spans="1:15" x14ac:dyDescent="0.3">
      <c r="A1672" t="s">
        <v>2278</v>
      </c>
      <c r="B1672" t="s">
        <v>1985</v>
      </c>
      <c r="C1672" t="s">
        <v>1987</v>
      </c>
      <c r="D1672">
        <v>22</v>
      </c>
      <c r="E1672" t="s">
        <v>1447</v>
      </c>
      <c r="F1672" t="s">
        <v>1989</v>
      </c>
      <c r="G1672" t="s">
        <v>1737</v>
      </c>
      <c r="H1672" t="s">
        <v>2277</v>
      </c>
      <c r="I1672" t="s">
        <v>2277</v>
      </c>
      <c r="J1672" t="s">
        <v>2277</v>
      </c>
      <c r="K1672" t="s">
        <v>2277</v>
      </c>
      <c r="L1672" t="s">
        <v>1512</v>
      </c>
      <c r="M1672" t="s">
        <v>2277</v>
      </c>
      <c r="N1672" t="s">
        <v>2277</v>
      </c>
      <c r="O1672" s="190" t="str">
        <f t="shared" si="26"/>
        <v>[S06_InstallationsVerificationReportsIssueDetail][22][TypeOfIssue]</v>
      </c>
    </row>
    <row r="1673" spans="1:15" x14ac:dyDescent="0.3">
      <c r="A1673" t="s">
        <v>2278</v>
      </c>
      <c r="B1673" t="s">
        <v>1985</v>
      </c>
      <c r="C1673" t="s">
        <v>1987</v>
      </c>
      <c r="D1673">
        <v>23</v>
      </c>
      <c r="E1673" t="s">
        <v>1447</v>
      </c>
      <c r="F1673" t="s">
        <v>1989</v>
      </c>
      <c r="G1673" t="s">
        <v>1737</v>
      </c>
      <c r="H1673" t="s">
        <v>2277</v>
      </c>
      <c r="I1673" t="s">
        <v>2277</v>
      </c>
      <c r="J1673" t="s">
        <v>2277</v>
      </c>
      <c r="K1673" t="s">
        <v>2277</v>
      </c>
      <c r="L1673" t="s">
        <v>1492</v>
      </c>
      <c r="M1673" t="s">
        <v>2277</v>
      </c>
      <c r="N1673" t="s">
        <v>2277</v>
      </c>
      <c r="O1673" s="190" t="str">
        <f t="shared" si="26"/>
        <v>[S06_InstallationsVerificationReportsIssueDetail][23][TypeOfIssue]</v>
      </c>
    </row>
    <row r="1674" spans="1:15" x14ac:dyDescent="0.3">
      <c r="A1674" t="s">
        <v>2278</v>
      </c>
      <c r="B1674" t="s">
        <v>1985</v>
      </c>
      <c r="C1674" t="s">
        <v>1987</v>
      </c>
      <c r="D1674">
        <v>24</v>
      </c>
      <c r="E1674" t="s">
        <v>1447</v>
      </c>
      <c r="F1674" t="s">
        <v>1989</v>
      </c>
      <c r="G1674" t="s">
        <v>1737</v>
      </c>
      <c r="H1674" t="s">
        <v>2277</v>
      </c>
      <c r="I1674" t="s">
        <v>2277</v>
      </c>
      <c r="J1674" t="s">
        <v>2277</v>
      </c>
      <c r="K1674" t="s">
        <v>2277</v>
      </c>
      <c r="L1674" t="s">
        <v>1467</v>
      </c>
      <c r="M1674" t="s">
        <v>2277</v>
      </c>
      <c r="N1674" t="s">
        <v>2277</v>
      </c>
      <c r="O1674" s="190" t="str">
        <f t="shared" si="26"/>
        <v>[S06_InstallationsVerificationReportsIssueDetail][24][TypeOfIssue]</v>
      </c>
    </row>
    <row r="1675" spans="1:15" x14ac:dyDescent="0.3">
      <c r="A1675" t="s">
        <v>2278</v>
      </c>
      <c r="B1675" t="s">
        <v>1985</v>
      </c>
      <c r="C1675" t="s">
        <v>1987</v>
      </c>
      <c r="D1675">
        <v>25</v>
      </c>
      <c r="E1675" t="s">
        <v>1447</v>
      </c>
      <c r="F1675" t="s">
        <v>1989</v>
      </c>
      <c r="G1675" t="s">
        <v>1737</v>
      </c>
      <c r="H1675" t="s">
        <v>2277</v>
      </c>
      <c r="I1675" t="s">
        <v>2277</v>
      </c>
      <c r="J1675" t="s">
        <v>2277</v>
      </c>
      <c r="K1675" t="s">
        <v>2277</v>
      </c>
      <c r="L1675" t="s">
        <v>1439</v>
      </c>
      <c r="M1675" t="s">
        <v>2277</v>
      </c>
      <c r="N1675" t="s">
        <v>2277</v>
      </c>
      <c r="O1675" s="190" t="str">
        <f t="shared" si="26"/>
        <v>[S06_InstallationsVerificationReportsIssueDetail][25][TypeOfIssue]</v>
      </c>
    </row>
    <row r="1676" spans="1:15" x14ac:dyDescent="0.3">
      <c r="A1676" t="s">
        <v>2278</v>
      </c>
      <c r="B1676" t="s">
        <v>1985</v>
      </c>
      <c r="C1676" t="s">
        <v>1987</v>
      </c>
      <c r="D1676">
        <v>26</v>
      </c>
      <c r="E1676" t="s">
        <v>1447</v>
      </c>
      <c r="F1676" t="s">
        <v>1989</v>
      </c>
      <c r="G1676" t="s">
        <v>1737</v>
      </c>
      <c r="H1676" t="s">
        <v>2277</v>
      </c>
      <c r="I1676" t="s">
        <v>2277</v>
      </c>
      <c r="J1676" t="s">
        <v>2277</v>
      </c>
      <c r="K1676" t="s">
        <v>2277</v>
      </c>
      <c r="L1676" t="s">
        <v>1512</v>
      </c>
      <c r="M1676" t="s">
        <v>2277</v>
      </c>
      <c r="N1676" t="s">
        <v>2277</v>
      </c>
      <c r="O1676" s="190" t="str">
        <f t="shared" si="26"/>
        <v>[S06_InstallationsVerificationReportsIssueDetail][26][TypeOfIssue]</v>
      </c>
    </row>
    <row r="1677" spans="1:15" x14ac:dyDescent="0.3">
      <c r="A1677" t="s">
        <v>2278</v>
      </c>
      <c r="B1677" t="s">
        <v>1985</v>
      </c>
      <c r="C1677" t="s">
        <v>1987</v>
      </c>
      <c r="D1677">
        <v>27</v>
      </c>
      <c r="E1677" t="s">
        <v>1447</v>
      </c>
      <c r="F1677" t="s">
        <v>1989</v>
      </c>
      <c r="G1677" t="s">
        <v>1737</v>
      </c>
      <c r="H1677" t="s">
        <v>2277</v>
      </c>
      <c r="I1677" t="s">
        <v>2277</v>
      </c>
      <c r="J1677" t="s">
        <v>2277</v>
      </c>
      <c r="K1677" t="s">
        <v>2277</v>
      </c>
      <c r="L1677" t="s">
        <v>1492</v>
      </c>
      <c r="M1677" t="s">
        <v>2277</v>
      </c>
      <c r="N1677" t="s">
        <v>2277</v>
      </c>
      <c r="O1677" s="190" t="str">
        <f t="shared" si="26"/>
        <v>[S06_InstallationsVerificationReportsIssueDetail][27][TypeOfIssue]</v>
      </c>
    </row>
    <row r="1678" spans="1:15" x14ac:dyDescent="0.3">
      <c r="A1678" t="s">
        <v>2278</v>
      </c>
      <c r="B1678" t="s">
        <v>1985</v>
      </c>
      <c r="C1678" t="s">
        <v>1987</v>
      </c>
      <c r="D1678">
        <v>28</v>
      </c>
      <c r="E1678" t="s">
        <v>1447</v>
      </c>
      <c r="F1678" t="s">
        <v>1989</v>
      </c>
      <c r="G1678" t="s">
        <v>1737</v>
      </c>
      <c r="H1678" t="s">
        <v>2277</v>
      </c>
      <c r="I1678" t="s">
        <v>2277</v>
      </c>
      <c r="J1678" t="s">
        <v>2277</v>
      </c>
      <c r="K1678" t="s">
        <v>2277</v>
      </c>
      <c r="L1678" t="s">
        <v>1467</v>
      </c>
      <c r="M1678" t="s">
        <v>2277</v>
      </c>
      <c r="N1678" t="s">
        <v>2277</v>
      </c>
      <c r="O1678" s="190" t="str">
        <f t="shared" si="26"/>
        <v>[S06_InstallationsVerificationReportsIssueDetail][28][TypeOfIssue]</v>
      </c>
    </row>
    <row r="1679" spans="1:15" x14ac:dyDescent="0.3">
      <c r="A1679" t="s">
        <v>2278</v>
      </c>
      <c r="B1679" t="s">
        <v>1985</v>
      </c>
      <c r="C1679" t="s">
        <v>1987</v>
      </c>
      <c r="D1679">
        <v>29</v>
      </c>
      <c r="E1679" t="s">
        <v>1447</v>
      </c>
      <c r="F1679" t="s">
        <v>1989</v>
      </c>
      <c r="G1679" t="s">
        <v>1737</v>
      </c>
      <c r="H1679" t="s">
        <v>2277</v>
      </c>
      <c r="I1679" t="s">
        <v>2277</v>
      </c>
      <c r="J1679" t="s">
        <v>2277</v>
      </c>
      <c r="K1679" t="s">
        <v>2277</v>
      </c>
      <c r="L1679" t="s">
        <v>1512</v>
      </c>
      <c r="M1679" t="s">
        <v>2277</v>
      </c>
      <c r="N1679" t="s">
        <v>2277</v>
      </c>
      <c r="O1679" s="190" t="str">
        <f t="shared" si="26"/>
        <v>[S06_InstallationsVerificationReportsIssueDetail][29][TypeOfIssue]</v>
      </c>
    </row>
    <row r="1680" spans="1:15" x14ac:dyDescent="0.3">
      <c r="A1680" t="s">
        <v>2278</v>
      </c>
      <c r="B1680" t="s">
        <v>1985</v>
      </c>
      <c r="C1680" t="s">
        <v>1987</v>
      </c>
      <c r="D1680">
        <v>30</v>
      </c>
      <c r="E1680" t="s">
        <v>1447</v>
      </c>
      <c r="F1680" t="s">
        <v>1989</v>
      </c>
      <c r="G1680" t="s">
        <v>1737</v>
      </c>
      <c r="H1680" t="s">
        <v>2277</v>
      </c>
      <c r="I1680" t="s">
        <v>2277</v>
      </c>
      <c r="J1680" t="s">
        <v>2277</v>
      </c>
      <c r="K1680" t="s">
        <v>2277</v>
      </c>
      <c r="L1680" t="s">
        <v>1492</v>
      </c>
      <c r="M1680" t="s">
        <v>2277</v>
      </c>
      <c r="N1680" t="s">
        <v>2277</v>
      </c>
      <c r="O1680" s="190" t="str">
        <f t="shared" si="26"/>
        <v>[S06_InstallationsVerificationReportsIssueDetail][30][TypeOfIssue]</v>
      </c>
    </row>
    <row r="1681" spans="1:15" x14ac:dyDescent="0.3">
      <c r="A1681" t="s">
        <v>2278</v>
      </c>
      <c r="B1681" t="s">
        <v>1985</v>
      </c>
      <c r="C1681" t="s">
        <v>1987</v>
      </c>
      <c r="D1681">
        <v>31</v>
      </c>
      <c r="E1681" t="s">
        <v>1447</v>
      </c>
      <c r="F1681" t="s">
        <v>1989</v>
      </c>
      <c r="G1681" t="s">
        <v>1737</v>
      </c>
      <c r="H1681" t="s">
        <v>2277</v>
      </c>
      <c r="I1681" t="s">
        <v>2277</v>
      </c>
      <c r="J1681" t="s">
        <v>2277</v>
      </c>
      <c r="K1681" t="s">
        <v>2277</v>
      </c>
      <c r="L1681" t="s">
        <v>1492</v>
      </c>
      <c r="M1681" t="s">
        <v>2277</v>
      </c>
      <c r="N1681" t="s">
        <v>2277</v>
      </c>
      <c r="O1681" s="190" t="str">
        <f t="shared" si="26"/>
        <v>[S06_InstallationsVerificationReportsIssueDetail][31][TypeOfIssue]</v>
      </c>
    </row>
    <row r="1682" spans="1:15" x14ac:dyDescent="0.3">
      <c r="A1682" t="s">
        <v>2278</v>
      </c>
      <c r="B1682" t="s">
        <v>1985</v>
      </c>
      <c r="C1682" t="s">
        <v>1987</v>
      </c>
      <c r="D1682">
        <v>32</v>
      </c>
      <c r="E1682" t="s">
        <v>1447</v>
      </c>
      <c r="F1682" t="s">
        <v>1989</v>
      </c>
      <c r="G1682" t="s">
        <v>1737</v>
      </c>
      <c r="H1682" t="s">
        <v>2277</v>
      </c>
      <c r="I1682" t="s">
        <v>2277</v>
      </c>
      <c r="J1682" t="s">
        <v>2277</v>
      </c>
      <c r="K1682" t="s">
        <v>2277</v>
      </c>
      <c r="L1682" t="s">
        <v>1512</v>
      </c>
      <c r="M1682" t="s">
        <v>2277</v>
      </c>
      <c r="N1682" t="s">
        <v>2277</v>
      </c>
      <c r="O1682" s="190" t="str">
        <f t="shared" si="26"/>
        <v>[S06_InstallationsVerificationReportsIssueDetail][32][TypeOfIssue]</v>
      </c>
    </row>
    <row r="1683" spans="1:15" x14ac:dyDescent="0.3">
      <c r="A1683" t="s">
        <v>2278</v>
      </c>
      <c r="B1683" t="s">
        <v>1985</v>
      </c>
      <c r="C1683" t="s">
        <v>1987</v>
      </c>
      <c r="D1683">
        <v>33</v>
      </c>
      <c r="E1683" t="s">
        <v>1447</v>
      </c>
      <c r="F1683" t="s">
        <v>1989</v>
      </c>
      <c r="G1683" t="s">
        <v>1737</v>
      </c>
      <c r="H1683" t="s">
        <v>2277</v>
      </c>
      <c r="I1683" t="s">
        <v>2277</v>
      </c>
      <c r="J1683" t="s">
        <v>2277</v>
      </c>
      <c r="K1683" t="s">
        <v>2277</v>
      </c>
      <c r="L1683" t="s">
        <v>1492</v>
      </c>
      <c r="M1683" t="s">
        <v>2277</v>
      </c>
      <c r="N1683" t="s">
        <v>2277</v>
      </c>
      <c r="O1683" s="190" t="str">
        <f t="shared" si="26"/>
        <v>[S06_InstallationsVerificationReportsIssueDetail][33][TypeOfIssue]</v>
      </c>
    </row>
    <row r="1684" spans="1:15" x14ac:dyDescent="0.3">
      <c r="A1684" t="s">
        <v>2278</v>
      </c>
      <c r="B1684" t="s">
        <v>1985</v>
      </c>
      <c r="C1684" t="s">
        <v>1987</v>
      </c>
      <c r="D1684">
        <v>34</v>
      </c>
      <c r="E1684" t="s">
        <v>1447</v>
      </c>
      <c r="F1684" t="s">
        <v>1989</v>
      </c>
      <c r="G1684" t="s">
        <v>1737</v>
      </c>
      <c r="H1684" t="s">
        <v>2277</v>
      </c>
      <c r="I1684" t="s">
        <v>2277</v>
      </c>
      <c r="J1684" t="s">
        <v>2277</v>
      </c>
      <c r="K1684" t="s">
        <v>2277</v>
      </c>
      <c r="L1684" t="s">
        <v>1512</v>
      </c>
      <c r="M1684" t="s">
        <v>2277</v>
      </c>
      <c r="N1684" t="s">
        <v>2277</v>
      </c>
      <c r="O1684" s="190" t="str">
        <f t="shared" si="26"/>
        <v>[S06_InstallationsVerificationReportsIssueDetail][34][TypeOfIssue]</v>
      </c>
    </row>
    <row r="1685" spans="1:15" x14ac:dyDescent="0.3">
      <c r="A1685" t="s">
        <v>2278</v>
      </c>
      <c r="B1685" t="s">
        <v>1985</v>
      </c>
      <c r="C1685" t="s">
        <v>1987</v>
      </c>
      <c r="D1685">
        <v>35</v>
      </c>
      <c r="E1685" t="s">
        <v>1447</v>
      </c>
      <c r="F1685" t="s">
        <v>1989</v>
      </c>
      <c r="G1685" t="s">
        <v>1737</v>
      </c>
      <c r="H1685" t="s">
        <v>2277</v>
      </c>
      <c r="I1685" t="s">
        <v>2277</v>
      </c>
      <c r="J1685" t="s">
        <v>2277</v>
      </c>
      <c r="K1685" t="s">
        <v>2277</v>
      </c>
      <c r="L1685" t="s">
        <v>1439</v>
      </c>
      <c r="M1685" t="s">
        <v>2277</v>
      </c>
      <c r="N1685" t="s">
        <v>2277</v>
      </c>
      <c r="O1685" s="190" t="str">
        <f t="shared" si="26"/>
        <v>[S06_InstallationsVerificationReportsIssueDetail][35][TypeOfIssue]</v>
      </c>
    </row>
    <row r="1686" spans="1:15" x14ac:dyDescent="0.3">
      <c r="A1686" t="s">
        <v>2278</v>
      </c>
      <c r="B1686" t="s">
        <v>1985</v>
      </c>
      <c r="C1686" t="s">
        <v>1987</v>
      </c>
      <c r="D1686">
        <v>1</v>
      </c>
      <c r="E1686" t="s">
        <v>1447</v>
      </c>
      <c r="F1686" t="s">
        <v>1798</v>
      </c>
      <c r="G1686" t="s">
        <v>1748</v>
      </c>
      <c r="H1686" t="s">
        <v>2277</v>
      </c>
      <c r="I1686">
        <v>44</v>
      </c>
      <c r="J1686" t="s">
        <v>2277</v>
      </c>
      <c r="K1686" t="s">
        <v>2277</v>
      </c>
      <c r="L1686" t="s">
        <v>2277</v>
      </c>
      <c r="M1686" t="s">
        <v>2277</v>
      </c>
      <c r="N1686" t="s">
        <v>2277</v>
      </c>
      <c r="O1686" s="190" t="str">
        <f t="shared" si="26"/>
        <v>[S06_InstallationsVerificationReportsIssueDetail][1][NumberOfInstallations]</v>
      </c>
    </row>
    <row r="1687" spans="1:15" x14ac:dyDescent="0.3">
      <c r="A1687" t="s">
        <v>2278</v>
      </c>
      <c r="B1687" t="s">
        <v>1985</v>
      </c>
      <c r="C1687" t="s">
        <v>1987</v>
      </c>
      <c r="D1687">
        <v>2</v>
      </c>
      <c r="E1687" t="s">
        <v>1447</v>
      </c>
      <c r="F1687" t="s">
        <v>1798</v>
      </c>
      <c r="G1687" t="s">
        <v>1748</v>
      </c>
      <c r="H1687" t="s">
        <v>2277</v>
      </c>
      <c r="I1687">
        <v>10</v>
      </c>
      <c r="J1687" t="s">
        <v>2277</v>
      </c>
      <c r="K1687" t="s">
        <v>2277</v>
      </c>
      <c r="L1687" t="s">
        <v>2277</v>
      </c>
      <c r="M1687" t="s">
        <v>2277</v>
      </c>
      <c r="N1687" t="s">
        <v>2277</v>
      </c>
      <c r="O1687" s="190" t="str">
        <f t="shared" si="26"/>
        <v>[S06_InstallationsVerificationReportsIssueDetail][2][NumberOfInstallations]</v>
      </c>
    </row>
    <row r="1688" spans="1:15" x14ac:dyDescent="0.3">
      <c r="A1688" t="s">
        <v>2278</v>
      </c>
      <c r="B1688" t="s">
        <v>1985</v>
      </c>
      <c r="C1688" t="s">
        <v>1987</v>
      </c>
      <c r="D1688">
        <v>3</v>
      </c>
      <c r="E1688" t="s">
        <v>1447</v>
      </c>
      <c r="F1688" t="s">
        <v>1798</v>
      </c>
      <c r="G1688" t="s">
        <v>1748</v>
      </c>
      <c r="H1688" t="s">
        <v>2277</v>
      </c>
      <c r="I1688">
        <v>7</v>
      </c>
      <c r="J1688" t="s">
        <v>2277</v>
      </c>
      <c r="K1688" t="s">
        <v>2277</v>
      </c>
      <c r="L1688" t="s">
        <v>2277</v>
      </c>
      <c r="M1688" t="s">
        <v>2277</v>
      </c>
      <c r="N1688" t="s">
        <v>2277</v>
      </c>
      <c r="O1688" s="190" t="str">
        <f t="shared" si="26"/>
        <v>[S06_InstallationsVerificationReportsIssueDetail][3][NumberOfInstallations]</v>
      </c>
    </row>
    <row r="1689" spans="1:15" x14ac:dyDescent="0.3">
      <c r="A1689" t="s">
        <v>2278</v>
      </c>
      <c r="B1689" t="s">
        <v>1985</v>
      </c>
      <c r="C1689" t="s">
        <v>1987</v>
      </c>
      <c r="D1689">
        <v>4</v>
      </c>
      <c r="E1689" t="s">
        <v>1447</v>
      </c>
      <c r="F1689" t="s">
        <v>1798</v>
      </c>
      <c r="G1689" t="s">
        <v>1748</v>
      </c>
      <c r="H1689" t="s">
        <v>2277</v>
      </c>
      <c r="I1689">
        <v>60</v>
      </c>
      <c r="J1689" t="s">
        <v>2277</v>
      </c>
      <c r="K1689" t="s">
        <v>2277</v>
      </c>
      <c r="L1689" t="s">
        <v>2277</v>
      </c>
      <c r="M1689" t="s">
        <v>2277</v>
      </c>
      <c r="N1689" t="s">
        <v>2277</v>
      </c>
      <c r="O1689" s="190" t="str">
        <f t="shared" si="26"/>
        <v>[S06_InstallationsVerificationReportsIssueDetail][4][NumberOfInstallations]</v>
      </c>
    </row>
    <row r="1690" spans="1:15" x14ac:dyDescent="0.3">
      <c r="A1690" t="s">
        <v>2278</v>
      </c>
      <c r="B1690" t="s">
        <v>1985</v>
      </c>
      <c r="C1690" t="s">
        <v>1987</v>
      </c>
      <c r="D1690">
        <v>5</v>
      </c>
      <c r="E1690" t="s">
        <v>1447</v>
      </c>
      <c r="F1690" t="s">
        <v>1798</v>
      </c>
      <c r="G1690" t="s">
        <v>1748</v>
      </c>
      <c r="H1690" t="s">
        <v>2277</v>
      </c>
      <c r="I1690">
        <v>1</v>
      </c>
      <c r="J1690" t="s">
        <v>2277</v>
      </c>
      <c r="K1690" t="s">
        <v>2277</v>
      </c>
      <c r="L1690" t="s">
        <v>2277</v>
      </c>
      <c r="M1690" t="s">
        <v>2277</v>
      </c>
      <c r="N1690" t="s">
        <v>2277</v>
      </c>
      <c r="O1690" s="190" t="str">
        <f t="shared" si="26"/>
        <v>[S06_InstallationsVerificationReportsIssueDetail][5][NumberOfInstallations]</v>
      </c>
    </row>
    <row r="1691" spans="1:15" x14ac:dyDescent="0.3">
      <c r="A1691" t="s">
        <v>2278</v>
      </c>
      <c r="B1691" t="s">
        <v>1985</v>
      </c>
      <c r="C1691" t="s">
        <v>1987</v>
      </c>
      <c r="D1691">
        <v>6</v>
      </c>
      <c r="E1691" t="s">
        <v>1447</v>
      </c>
      <c r="F1691" t="s">
        <v>1798</v>
      </c>
      <c r="G1691" t="s">
        <v>1748</v>
      </c>
      <c r="H1691" t="s">
        <v>2277</v>
      </c>
      <c r="I1691">
        <v>1</v>
      </c>
      <c r="J1691" t="s">
        <v>2277</v>
      </c>
      <c r="K1691" t="s">
        <v>2277</v>
      </c>
      <c r="L1691" t="s">
        <v>2277</v>
      </c>
      <c r="M1691" t="s">
        <v>2277</v>
      </c>
      <c r="N1691" t="s">
        <v>2277</v>
      </c>
      <c r="O1691" s="190" t="str">
        <f t="shared" si="26"/>
        <v>[S06_InstallationsVerificationReportsIssueDetail][6][NumberOfInstallations]</v>
      </c>
    </row>
    <row r="1692" spans="1:15" x14ac:dyDescent="0.3">
      <c r="A1692" t="s">
        <v>2278</v>
      </c>
      <c r="B1692" t="s">
        <v>1985</v>
      </c>
      <c r="C1692" t="s">
        <v>1987</v>
      </c>
      <c r="D1692">
        <v>7</v>
      </c>
      <c r="E1692" t="s">
        <v>1447</v>
      </c>
      <c r="F1692" t="s">
        <v>1798</v>
      </c>
      <c r="G1692" t="s">
        <v>1748</v>
      </c>
      <c r="H1692" t="s">
        <v>2277</v>
      </c>
      <c r="I1692">
        <v>1</v>
      </c>
      <c r="J1692" t="s">
        <v>2277</v>
      </c>
      <c r="K1692" t="s">
        <v>2277</v>
      </c>
      <c r="L1692" t="s">
        <v>2277</v>
      </c>
      <c r="M1692" t="s">
        <v>2277</v>
      </c>
      <c r="N1692" t="s">
        <v>2277</v>
      </c>
      <c r="O1692" s="190" t="str">
        <f t="shared" si="26"/>
        <v>[S06_InstallationsVerificationReportsIssueDetail][7][NumberOfInstallations]</v>
      </c>
    </row>
    <row r="1693" spans="1:15" x14ac:dyDescent="0.3">
      <c r="A1693" t="s">
        <v>2278</v>
      </c>
      <c r="B1693" t="s">
        <v>1985</v>
      </c>
      <c r="C1693" t="s">
        <v>1987</v>
      </c>
      <c r="D1693">
        <v>8</v>
      </c>
      <c r="E1693" t="s">
        <v>1447</v>
      </c>
      <c r="F1693" t="s">
        <v>1798</v>
      </c>
      <c r="G1693" t="s">
        <v>1748</v>
      </c>
      <c r="H1693" t="s">
        <v>2277</v>
      </c>
      <c r="I1693">
        <v>2</v>
      </c>
      <c r="J1693" t="s">
        <v>2277</v>
      </c>
      <c r="K1693" t="s">
        <v>2277</v>
      </c>
      <c r="L1693" t="s">
        <v>2277</v>
      </c>
      <c r="M1693" t="s">
        <v>2277</v>
      </c>
      <c r="N1693" t="s">
        <v>2277</v>
      </c>
      <c r="O1693" s="190" t="str">
        <f t="shared" si="26"/>
        <v>[S06_InstallationsVerificationReportsIssueDetail][8][NumberOfInstallations]</v>
      </c>
    </row>
    <row r="1694" spans="1:15" x14ac:dyDescent="0.3">
      <c r="A1694" t="s">
        <v>2278</v>
      </c>
      <c r="B1694" t="s">
        <v>1985</v>
      </c>
      <c r="C1694" t="s">
        <v>1987</v>
      </c>
      <c r="D1694">
        <v>9</v>
      </c>
      <c r="E1694" t="s">
        <v>1447</v>
      </c>
      <c r="F1694" t="s">
        <v>1798</v>
      </c>
      <c r="G1694" t="s">
        <v>1748</v>
      </c>
      <c r="H1694" t="s">
        <v>2277</v>
      </c>
      <c r="I1694">
        <v>3</v>
      </c>
      <c r="J1694" t="s">
        <v>2277</v>
      </c>
      <c r="K1694" t="s">
        <v>2277</v>
      </c>
      <c r="L1694" t="s">
        <v>2277</v>
      </c>
      <c r="M1694" t="s">
        <v>2277</v>
      </c>
      <c r="N1694" t="s">
        <v>2277</v>
      </c>
      <c r="O1694" s="190" t="str">
        <f t="shared" si="26"/>
        <v>[S06_InstallationsVerificationReportsIssueDetail][9][NumberOfInstallations]</v>
      </c>
    </row>
    <row r="1695" spans="1:15" x14ac:dyDescent="0.3">
      <c r="A1695" t="s">
        <v>2278</v>
      </c>
      <c r="B1695" t="s">
        <v>1985</v>
      </c>
      <c r="C1695" t="s">
        <v>1987</v>
      </c>
      <c r="D1695">
        <v>10</v>
      </c>
      <c r="E1695" t="s">
        <v>1447</v>
      </c>
      <c r="F1695" t="s">
        <v>1798</v>
      </c>
      <c r="G1695" t="s">
        <v>1748</v>
      </c>
      <c r="H1695" t="s">
        <v>2277</v>
      </c>
      <c r="I1695">
        <v>1</v>
      </c>
      <c r="J1695" t="s">
        <v>2277</v>
      </c>
      <c r="K1695" t="s">
        <v>2277</v>
      </c>
      <c r="L1695" t="s">
        <v>2277</v>
      </c>
      <c r="M1695" t="s">
        <v>2277</v>
      </c>
      <c r="N1695" t="s">
        <v>2277</v>
      </c>
      <c r="O1695" s="190" t="str">
        <f t="shared" si="26"/>
        <v>[S06_InstallationsVerificationReportsIssueDetail][10][NumberOfInstallations]</v>
      </c>
    </row>
    <row r="1696" spans="1:15" x14ac:dyDescent="0.3">
      <c r="A1696" t="s">
        <v>2278</v>
      </c>
      <c r="B1696" t="s">
        <v>1985</v>
      </c>
      <c r="C1696" t="s">
        <v>1987</v>
      </c>
      <c r="D1696">
        <v>11</v>
      </c>
      <c r="E1696" t="s">
        <v>1447</v>
      </c>
      <c r="F1696" t="s">
        <v>1798</v>
      </c>
      <c r="G1696" t="s">
        <v>1748</v>
      </c>
      <c r="H1696" t="s">
        <v>2277</v>
      </c>
      <c r="I1696">
        <v>4</v>
      </c>
      <c r="J1696" t="s">
        <v>2277</v>
      </c>
      <c r="K1696" t="s">
        <v>2277</v>
      </c>
      <c r="L1696" t="s">
        <v>2277</v>
      </c>
      <c r="M1696" t="s">
        <v>2277</v>
      </c>
      <c r="N1696" t="s">
        <v>2277</v>
      </c>
      <c r="O1696" s="190" t="str">
        <f t="shared" si="26"/>
        <v>[S06_InstallationsVerificationReportsIssueDetail][11][NumberOfInstallations]</v>
      </c>
    </row>
    <row r="1697" spans="1:15" x14ac:dyDescent="0.3">
      <c r="A1697" t="s">
        <v>2278</v>
      </c>
      <c r="B1697" t="s">
        <v>1985</v>
      </c>
      <c r="C1697" t="s">
        <v>1987</v>
      </c>
      <c r="D1697">
        <v>12</v>
      </c>
      <c r="E1697" t="s">
        <v>1447</v>
      </c>
      <c r="F1697" t="s">
        <v>1798</v>
      </c>
      <c r="G1697" t="s">
        <v>1748</v>
      </c>
      <c r="H1697" t="s">
        <v>2277</v>
      </c>
      <c r="I1697">
        <v>2</v>
      </c>
      <c r="J1697" t="s">
        <v>2277</v>
      </c>
      <c r="K1697" t="s">
        <v>2277</v>
      </c>
      <c r="L1697" t="s">
        <v>2277</v>
      </c>
      <c r="M1697" t="s">
        <v>2277</v>
      </c>
      <c r="N1697" t="s">
        <v>2277</v>
      </c>
      <c r="O1697" s="190" t="str">
        <f t="shared" si="26"/>
        <v>[S06_InstallationsVerificationReportsIssueDetail][12][NumberOfInstallations]</v>
      </c>
    </row>
    <row r="1698" spans="1:15" x14ac:dyDescent="0.3">
      <c r="A1698" t="s">
        <v>2278</v>
      </c>
      <c r="B1698" t="s">
        <v>1985</v>
      </c>
      <c r="C1698" t="s">
        <v>1987</v>
      </c>
      <c r="D1698">
        <v>13</v>
      </c>
      <c r="E1698" t="s">
        <v>1447</v>
      </c>
      <c r="F1698" t="s">
        <v>1798</v>
      </c>
      <c r="G1698" t="s">
        <v>1748</v>
      </c>
      <c r="H1698" t="s">
        <v>2277</v>
      </c>
      <c r="I1698">
        <v>1</v>
      </c>
      <c r="J1698" t="s">
        <v>2277</v>
      </c>
      <c r="K1698" t="s">
        <v>2277</v>
      </c>
      <c r="L1698" t="s">
        <v>2277</v>
      </c>
      <c r="M1698" t="s">
        <v>2277</v>
      </c>
      <c r="N1698" t="s">
        <v>2277</v>
      </c>
      <c r="O1698" s="190" t="str">
        <f t="shared" si="26"/>
        <v>[S06_InstallationsVerificationReportsIssueDetail][13][NumberOfInstallations]</v>
      </c>
    </row>
    <row r="1699" spans="1:15" x14ac:dyDescent="0.3">
      <c r="A1699" t="s">
        <v>2278</v>
      </c>
      <c r="B1699" t="s">
        <v>1985</v>
      </c>
      <c r="C1699" t="s">
        <v>1987</v>
      </c>
      <c r="D1699">
        <v>14</v>
      </c>
      <c r="E1699" t="s">
        <v>1447</v>
      </c>
      <c r="F1699" t="s">
        <v>1798</v>
      </c>
      <c r="G1699" t="s">
        <v>1748</v>
      </c>
      <c r="H1699" t="s">
        <v>2277</v>
      </c>
      <c r="I1699">
        <v>2</v>
      </c>
      <c r="J1699" t="s">
        <v>2277</v>
      </c>
      <c r="K1699" t="s">
        <v>2277</v>
      </c>
      <c r="L1699" t="s">
        <v>2277</v>
      </c>
      <c r="M1699" t="s">
        <v>2277</v>
      </c>
      <c r="N1699" t="s">
        <v>2277</v>
      </c>
      <c r="O1699" s="190" t="str">
        <f t="shared" si="26"/>
        <v>[S06_InstallationsVerificationReportsIssueDetail][14][NumberOfInstallations]</v>
      </c>
    </row>
    <row r="1700" spans="1:15" x14ac:dyDescent="0.3">
      <c r="A1700" t="s">
        <v>2278</v>
      </c>
      <c r="B1700" t="s">
        <v>1985</v>
      </c>
      <c r="C1700" t="s">
        <v>1987</v>
      </c>
      <c r="D1700">
        <v>15</v>
      </c>
      <c r="E1700" t="s">
        <v>1447</v>
      </c>
      <c r="F1700" t="s">
        <v>1798</v>
      </c>
      <c r="G1700" t="s">
        <v>1748</v>
      </c>
      <c r="H1700" t="s">
        <v>2277</v>
      </c>
      <c r="I1700">
        <v>1</v>
      </c>
      <c r="J1700" t="s">
        <v>2277</v>
      </c>
      <c r="K1700" t="s">
        <v>2277</v>
      </c>
      <c r="L1700" t="s">
        <v>2277</v>
      </c>
      <c r="M1700" t="s">
        <v>2277</v>
      </c>
      <c r="N1700" t="s">
        <v>2277</v>
      </c>
      <c r="O1700" s="190" t="str">
        <f t="shared" si="26"/>
        <v>[S06_InstallationsVerificationReportsIssueDetail][15][NumberOfInstallations]</v>
      </c>
    </row>
    <row r="1701" spans="1:15" x14ac:dyDescent="0.3">
      <c r="A1701" t="s">
        <v>2278</v>
      </c>
      <c r="B1701" t="s">
        <v>1985</v>
      </c>
      <c r="C1701" t="s">
        <v>1987</v>
      </c>
      <c r="D1701">
        <v>16</v>
      </c>
      <c r="E1701" t="s">
        <v>1447</v>
      </c>
      <c r="F1701" t="s">
        <v>1798</v>
      </c>
      <c r="G1701" t="s">
        <v>1748</v>
      </c>
      <c r="H1701" t="s">
        <v>2277</v>
      </c>
      <c r="I1701">
        <v>4</v>
      </c>
      <c r="J1701" t="s">
        <v>2277</v>
      </c>
      <c r="K1701" t="s">
        <v>2277</v>
      </c>
      <c r="L1701" t="s">
        <v>2277</v>
      </c>
      <c r="M1701" t="s">
        <v>2277</v>
      </c>
      <c r="N1701" t="s">
        <v>2277</v>
      </c>
      <c r="O1701" s="190" t="str">
        <f t="shared" si="26"/>
        <v>[S06_InstallationsVerificationReportsIssueDetail][16][NumberOfInstallations]</v>
      </c>
    </row>
    <row r="1702" spans="1:15" x14ac:dyDescent="0.3">
      <c r="A1702" t="s">
        <v>2278</v>
      </c>
      <c r="B1702" t="s">
        <v>1985</v>
      </c>
      <c r="C1702" t="s">
        <v>1987</v>
      </c>
      <c r="D1702">
        <v>17</v>
      </c>
      <c r="E1702" t="s">
        <v>1447</v>
      </c>
      <c r="F1702" t="s">
        <v>1798</v>
      </c>
      <c r="G1702" t="s">
        <v>1748</v>
      </c>
      <c r="H1702" t="s">
        <v>2277</v>
      </c>
      <c r="I1702">
        <v>3</v>
      </c>
      <c r="J1702" t="s">
        <v>2277</v>
      </c>
      <c r="K1702" t="s">
        <v>2277</v>
      </c>
      <c r="L1702" t="s">
        <v>2277</v>
      </c>
      <c r="M1702" t="s">
        <v>2277</v>
      </c>
      <c r="N1702" t="s">
        <v>2277</v>
      </c>
      <c r="O1702" s="190" t="str">
        <f t="shared" si="26"/>
        <v>[S06_InstallationsVerificationReportsIssueDetail][17][NumberOfInstallations]</v>
      </c>
    </row>
    <row r="1703" spans="1:15" x14ac:dyDescent="0.3">
      <c r="A1703" t="s">
        <v>2278</v>
      </c>
      <c r="B1703" t="s">
        <v>1985</v>
      </c>
      <c r="C1703" t="s">
        <v>1987</v>
      </c>
      <c r="D1703">
        <v>18</v>
      </c>
      <c r="E1703" t="s">
        <v>1447</v>
      </c>
      <c r="F1703" t="s">
        <v>1798</v>
      </c>
      <c r="G1703" t="s">
        <v>1748</v>
      </c>
      <c r="H1703" t="s">
        <v>2277</v>
      </c>
      <c r="I1703">
        <v>2</v>
      </c>
      <c r="J1703" t="s">
        <v>2277</v>
      </c>
      <c r="K1703" t="s">
        <v>2277</v>
      </c>
      <c r="L1703" t="s">
        <v>2277</v>
      </c>
      <c r="M1703" t="s">
        <v>2277</v>
      </c>
      <c r="N1703" t="s">
        <v>2277</v>
      </c>
      <c r="O1703" s="190" t="str">
        <f t="shared" si="26"/>
        <v>[S06_InstallationsVerificationReportsIssueDetail][18][NumberOfInstallations]</v>
      </c>
    </row>
    <row r="1704" spans="1:15" x14ac:dyDescent="0.3">
      <c r="A1704" t="s">
        <v>2278</v>
      </c>
      <c r="B1704" t="s">
        <v>1985</v>
      </c>
      <c r="C1704" t="s">
        <v>1987</v>
      </c>
      <c r="D1704">
        <v>19</v>
      </c>
      <c r="E1704" t="s">
        <v>1447</v>
      </c>
      <c r="F1704" t="s">
        <v>1798</v>
      </c>
      <c r="G1704" t="s">
        <v>1748</v>
      </c>
      <c r="H1704" t="s">
        <v>2277</v>
      </c>
      <c r="I1704">
        <v>3</v>
      </c>
      <c r="J1704" t="s">
        <v>2277</v>
      </c>
      <c r="K1704" t="s">
        <v>2277</v>
      </c>
      <c r="L1704" t="s">
        <v>2277</v>
      </c>
      <c r="M1704" t="s">
        <v>2277</v>
      </c>
      <c r="N1704" t="s">
        <v>2277</v>
      </c>
      <c r="O1704" s="190" t="str">
        <f t="shared" si="26"/>
        <v>[S06_InstallationsVerificationReportsIssueDetail][19][NumberOfInstallations]</v>
      </c>
    </row>
    <row r="1705" spans="1:15" x14ac:dyDescent="0.3">
      <c r="A1705" t="s">
        <v>2278</v>
      </c>
      <c r="B1705" t="s">
        <v>1985</v>
      </c>
      <c r="C1705" t="s">
        <v>1987</v>
      </c>
      <c r="D1705">
        <v>20</v>
      </c>
      <c r="E1705" t="s">
        <v>1447</v>
      </c>
      <c r="F1705" t="s">
        <v>1798</v>
      </c>
      <c r="G1705" t="s">
        <v>1748</v>
      </c>
      <c r="H1705" t="s">
        <v>2277</v>
      </c>
      <c r="I1705">
        <v>8</v>
      </c>
      <c r="J1705" t="s">
        <v>2277</v>
      </c>
      <c r="K1705" t="s">
        <v>2277</v>
      </c>
      <c r="L1705" t="s">
        <v>2277</v>
      </c>
      <c r="M1705" t="s">
        <v>2277</v>
      </c>
      <c r="N1705" t="s">
        <v>2277</v>
      </c>
      <c r="O1705" s="190" t="str">
        <f t="shared" si="26"/>
        <v>[S06_InstallationsVerificationReportsIssueDetail][20][NumberOfInstallations]</v>
      </c>
    </row>
    <row r="1706" spans="1:15" x14ac:dyDescent="0.3">
      <c r="A1706" t="s">
        <v>2278</v>
      </c>
      <c r="B1706" t="s">
        <v>1985</v>
      </c>
      <c r="C1706" t="s">
        <v>1987</v>
      </c>
      <c r="D1706">
        <v>21</v>
      </c>
      <c r="E1706" t="s">
        <v>1447</v>
      </c>
      <c r="F1706" t="s">
        <v>1798</v>
      </c>
      <c r="G1706" t="s">
        <v>1748</v>
      </c>
      <c r="H1706" t="s">
        <v>2277</v>
      </c>
      <c r="I1706">
        <v>1</v>
      </c>
      <c r="J1706" t="s">
        <v>2277</v>
      </c>
      <c r="K1706" t="s">
        <v>2277</v>
      </c>
      <c r="L1706" t="s">
        <v>2277</v>
      </c>
      <c r="M1706" t="s">
        <v>2277</v>
      </c>
      <c r="N1706" t="s">
        <v>2277</v>
      </c>
      <c r="O1706" s="190" t="str">
        <f t="shared" si="26"/>
        <v>[S06_InstallationsVerificationReportsIssueDetail][21][NumberOfInstallations]</v>
      </c>
    </row>
    <row r="1707" spans="1:15" x14ac:dyDescent="0.3">
      <c r="A1707" t="s">
        <v>2278</v>
      </c>
      <c r="B1707" t="s">
        <v>1985</v>
      </c>
      <c r="C1707" t="s">
        <v>1987</v>
      </c>
      <c r="D1707">
        <v>22</v>
      </c>
      <c r="E1707" t="s">
        <v>1447</v>
      </c>
      <c r="F1707" t="s">
        <v>1798</v>
      </c>
      <c r="G1707" t="s">
        <v>1748</v>
      </c>
      <c r="H1707" t="s">
        <v>2277</v>
      </c>
      <c r="I1707">
        <v>10</v>
      </c>
      <c r="J1707" t="s">
        <v>2277</v>
      </c>
      <c r="K1707" t="s">
        <v>2277</v>
      </c>
      <c r="L1707" t="s">
        <v>2277</v>
      </c>
      <c r="M1707" t="s">
        <v>2277</v>
      </c>
      <c r="N1707" t="s">
        <v>2277</v>
      </c>
      <c r="O1707" s="190" t="str">
        <f t="shared" si="26"/>
        <v>[S06_InstallationsVerificationReportsIssueDetail][22][NumberOfInstallations]</v>
      </c>
    </row>
    <row r="1708" spans="1:15" x14ac:dyDescent="0.3">
      <c r="A1708" t="s">
        <v>2278</v>
      </c>
      <c r="B1708" t="s">
        <v>1985</v>
      </c>
      <c r="C1708" t="s">
        <v>1987</v>
      </c>
      <c r="D1708">
        <v>23</v>
      </c>
      <c r="E1708" t="s">
        <v>1447</v>
      </c>
      <c r="F1708" t="s">
        <v>1798</v>
      </c>
      <c r="G1708" t="s">
        <v>1748</v>
      </c>
      <c r="H1708" t="s">
        <v>2277</v>
      </c>
      <c r="I1708">
        <v>11</v>
      </c>
      <c r="J1708" t="s">
        <v>2277</v>
      </c>
      <c r="K1708" t="s">
        <v>2277</v>
      </c>
      <c r="L1708" t="s">
        <v>2277</v>
      </c>
      <c r="M1708" t="s">
        <v>2277</v>
      </c>
      <c r="N1708" t="s">
        <v>2277</v>
      </c>
      <c r="O1708" s="190" t="str">
        <f t="shared" si="26"/>
        <v>[S06_InstallationsVerificationReportsIssueDetail][23][NumberOfInstallations]</v>
      </c>
    </row>
    <row r="1709" spans="1:15" x14ac:dyDescent="0.3">
      <c r="A1709" t="s">
        <v>2278</v>
      </c>
      <c r="B1709" t="s">
        <v>1985</v>
      </c>
      <c r="C1709" t="s">
        <v>1987</v>
      </c>
      <c r="D1709">
        <v>24</v>
      </c>
      <c r="E1709" t="s">
        <v>1447</v>
      </c>
      <c r="F1709" t="s">
        <v>1798</v>
      </c>
      <c r="G1709" t="s">
        <v>1748</v>
      </c>
      <c r="H1709" t="s">
        <v>2277</v>
      </c>
      <c r="I1709">
        <v>3</v>
      </c>
      <c r="J1709" t="s">
        <v>2277</v>
      </c>
      <c r="K1709" t="s">
        <v>2277</v>
      </c>
      <c r="L1709" t="s">
        <v>2277</v>
      </c>
      <c r="M1709" t="s">
        <v>2277</v>
      </c>
      <c r="N1709" t="s">
        <v>2277</v>
      </c>
      <c r="O1709" s="190" t="str">
        <f t="shared" si="26"/>
        <v>[S06_InstallationsVerificationReportsIssueDetail][24][NumberOfInstallations]</v>
      </c>
    </row>
    <row r="1710" spans="1:15" x14ac:dyDescent="0.3">
      <c r="A1710" t="s">
        <v>2278</v>
      </c>
      <c r="B1710" t="s">
        <v>1985</v>
      </c>
      <c r="C1710" t="s">
        <v>1987</v>
      </c>
      <c r="D1710">
        <v>25</v>
      </c>
      <c r="E1710" t="s">
        <v>1447</v>
      </c>
      <c r="F1710" t="s">
        <v>1798</v>
      </c>
      <c r="G1710" t="s">
        <v>1748</v>
      </c>
      <c r="H1710" t="s">
        <v>2277</v>
      </c>
      <c r="I1710">
        <v>1</v>
      </c>
      <c r="J1710" t="s">
        <v>2277</v>
      </c>
      <c r="K1710" t="s">
        <v>2277</v>
      </c>
      <c r="L1710" t="s">
        <v>2277</v>
      </c>
      <c r="M1710" t="s">
        <v>2277</v>
      </c>
      <c r="N1710" t="s">
        <v>2277</v>
      </c>
      <c r="O1710" s="190" t="str">
        <f t="shared" si="26"/>
        <v>[S06_InstallationsVerificationReportsIssueDetail][25][NumberOfInstallations]</v>
      </c>
    </row>
    <row r="1711" spans="1:15" x14ac:dyDescent="0.3">
      <c r="A1711" t="s">
        <v>2278</v>
      </c>
      <c r="B1711" t="s">
        <v>1985</v>
      </c>
      <c r="C1711" t="s">
        <v>1987</v>
      </c>
      <c r="D1711">
        <v>26</v>
      </c>
      <c r="E1711" t="s">
        <v>1447</v>
      </c>
      <c r="F1711" t="s">
        <v>1798</v>
      </c>
      <c r="G1711" t="s">
        <v>1748</v>
      </c>
      <c r="H1711" t="s">
        <v>2277</v>
      </c>
      <c r="I1711">
        <v>12</v>
      </c>
      <c r="J1711" t="s">
        <v>2277</v>
      </c>
      <c r="K1711" t="s">
        <v>2277</v>
      </c>
      <c r="L1711" t="s">
        <v>2277</v>
      </c>
      <c r="M1711" t="s">
        <v>2277</v>
      </c>
      <c r="N1711" t="s">
        <v>2277</v>
      </c>
      <c r="O1711" s="190" t="str">
        <f t="shared" si="26"/>
        <v>[S06_InstallationsVerificationReportsIssueDetail][26][NumberOfInstallations]</v>
      </c>
    </row>
    <row r="1712" spans="1:15" x14ac:dyDescent="0.3">
      <c r="A1712" t="s">
        <v>2278</v>
      </c>
      <c r="B1712" t="s">
        <v>1985</v>
      </c>
      <c r="C1712" t="s">
        <v>1987</v>
      </c>
      <c r="D1712">
        <v>27</v>
      </c>
      <c r="E1712" t="s">
        <v>1447</v>
      </c>
      <c r="F1712" t="s">
        <v>1798</v>
      </c>
      <c r="G1712" t="s">
        <v>1748</v>
      </c>
      <c r="H1712" t="s">
        <v>2277</v>
      </c>
      <c r="I1712">
        <v>3</v>
      </c>
      <c r="J1712" t="s">
        <v>2277</v>
      </c>
      <c r="K1712" t="s">
        <v>2277</v>
      </c>
      <c r="L1712" t="s">
        <v>2277</v>
      </c>
      <c r="M1712" t="s">
        <v>2277</v>
      </c>
      <c r="N1712" t="s">
        <v>2277</v>
      </c>
      <c r="O1712" s="190" t="str">
        <f t="shared" si="26"/>
        <v>[S06_InstallationsVerificationReportsIssueDetail][27][NumberOfInstallations]</v>
      </c>
    </row>
    <row r="1713" spans="1:15" x14ac:dyDescent="0.3">
      <c r="A1713" t="s">
        <v>2278</v>
      </c>
      <c r="B1713" t="s">
        <v>1985</v>
      </c>
      <c r="C1713" t="s">
        <v>1987</v>
      </c>
      <c r="D1713">
        <v>28</v>
      </c>
      <c r="E1713" t="s">
        <v>1447</v>
      </c>
      <c r="F1713" t="s">
        <v>1798</v>
      </c>
      <c r="G1713" t="s">
        <v>1748</v>
      </c>
      <c r="H1713" t="s">
        <v>2277</v>
      </c>
      <c r="I1713">
        <v>1</v>
      </c>
      <c r="J1713" t="s">
        <v>2277</v>
      </c>
      <c r="K1713" t="s">
        <v>2277</v>
      </c>
      <c r="L1713" t="s">
        <v>2277</v>
      </c>
      <c r="M1713" t="s">
        <v>2277</v>
      </c>
      <c r="N1713" t="s">
        <v>2277</v>
      </c>
      <c r="O1713" s="190" t="str">
        <f t="shared" si="26"/>
        <v>[S06_InstallationsVerificationReportsIssueDetail][28][NumberOfInstallations]</v>
      </c>
    </row>
    <row r="1714" spans="1:15" x14ac:dyDescent="0.3">
      <c r="A1714" t="s">
        <v>2278</v>
      </c>
      <c r="B1714" t="s">
        <v>1985</v>
      </c>
      <c r="C1714" t="s">
        <v>1987</v>
      </c>
      <c r="D1714">
        <v>29</v>
      </c>
      <c r="E1714" t="s">
        <v>1447</v>
      </c>
      <c r="F1714" t="s">
        <v>1798</v>
      </c>
      <c r="G1714" t="s">
        <v>1748</v>
      </c>
      <c r="H1714" t="s">
        <v>2277</v>
      </c>
      <c r="I1714">
        <v>2</v>
      </c>
      <c r="J1714" t="s">
        <v>2277</v>
      </c>
      <c r="K1714" t="s">
        <v>2277</v>
      </c>
      <c r="L1714" t="s">
        <v>2277</v>
      </c>
      <c r="M1714" t="s">
        <v>2277</v>
      </c>
      <c r="N1714" t="s">
        <v>2277</v>
      </c>
      <c r="O1714" s="190" t="str">
        <f t="shared" si="26"/>
        <v>[S06_InstallationsVerificationReportsIssueDetail][29][NumberOfInstallations]</v>
      </c>
    </row>
    <row r="1715" spans="1:15" x14ac:dyDescent="0.3">
      <c r="A1715" t="s">
        <v>2278</v>
      </c>
      <c r="B1715" t="s">
        <v>1985</v>
      </c>
      <c r="C1715" t="s">
        <v>1987</v>
      </c>
      <c r="D1715">
        <v>30</v>
      </c>
      <c r="E1715" t="s">
        <v>1447</v>
      </c>
      <c r="F1715" t="s">
        <v>1798</v>
      </c>
      <c r="G1715" t="s">
        <v>1748</v>
      </c>
      <c r="H1715" t="s">
        <v>2277</v>
      </c>
      <c r="I1715">
        <v>1</v>
      </c>
      <c r="J1715" t="s">
        <v>2277</v>
      </c>
      <c r="K1715" t="s">
        <v>2277</v>
      </c>
      <c r="L1715" t="s">
        <v>2277</v>
      </c>
      <c r="M1715" t="s">
        <v>2277</v>
      </c>
      <c r="N1715" t="s">
        <v>2277</v>
      </c>
      <c r="O1715" s="190" t="str">
        <f t="shared" si="26"/>
        <v>[S06_InstallationsVerificationReportsIssueDetail][30][NumberOfInstallations]</v>
      </c>
    </row>
    <row r="1716" spans="1:15" x14ac:dyDescent="0.3">
      <c r="A1716" t="s">
        <v>2278</v>
      </c>
      <c r="B1716" t="s">
        <v>1985</v>
      </c>
      <c r="C1716" t="s">
        <v>1987</v>
      </c>
      <c r="D1716">
        <v>31</v>
      </c>
      <c r="E1716" t="s">
        <v>1447</v>
      </c>
      <c r="F1716" t="s">
        <v>1798</v>
      </c>
      <c r="G1716" t="s">
        <v>1748</v>
      </c>
      <c r="H1716" t="s">
        <v>2277</v>
      </c>
      <c r="I1716">
        <v>1</v>
      </c>
      <c r="J1716" t="s">
        <v>2277</v>
      </c>
      <c r="K1716" t="s">
        <v>2277</v>
      </c>
      <c r="L1716" t="s">
        <v>2277</v>
      </c>
      <c r="M1716" t="s">
        <v>2277</v>
      </c>
      <c r="N1716" t="s">
        <v>2277</v>
      </c>
      <c r="O1716" s="190" t="str">
        <f t="shared" si="26"/>
        <v>[S06_InstallationsVerificationReportsIssueDetail][31][NumberOfInstallations]</v>
      </c>
    </row>
    <row r="1717" spans="1:15" x14ac:dyDescent="0.3">
      <c r="A1717" t="s">
        <v>2278</v>
      </c>
      <c r="B1717" t="s">
        <v>1985</v>
      </c>
      <c r="C1717" t="s">
        <v>1987</v>
      </c>
      <c r="D1717">
        <v>32</v>
      </c>
      <c r="E1717" t="s">
        <v>1447</v>
      </c>
      <c r="F1717" t="s">
        <v>1798</v>
      </c>
      <c r="G1717" t="s">
        <v>1748</v>
      </c>
      <c r="H1717" t="s">
        <v>2277</v>
      </c>
      <c r="I1717">
        <v>1</v>
      </c>
      <c r="J1717" t="s">
        <v>2277</v>
      </c>
      <c r="K1717" t="s">
        <v>2277</v>
      </c>
      <c r="L1717" t="s">
        <v>2277</v>
      </c>
      <c r="M1717" t="s">
        <v>2277</v>
      </c>
      <c r="N1717" t="s">
        <v>2277</v>
      </c>
      <c r="O1717" s="190" t="str">
        <f t="shared" si="26"/>
        <v>[S06_InstallationsVerificationReportsIssueDetail][32][NumberOfInstallations]</v>
      </c>
    </row>
    <row r="1718" spans="1:15" x14ac:dyDescent="0.3">
      <c r="A1718" t="s">
        <v>2278</v>
      </c>
      <c r="B1718" t="s">
        <v>1985</v>
      </c>
      <c r="C1718" t="s">
        <v>1987</v>
      </c>
      <c r="D1718">
        <v>33</v>
      </c>
      <c r="E1718" t="s">
        <v>1447</v>
      </c>
      <c r="F1718" t="s">
        <v>1798</v>
      </c>
      <c r="G1718" t="s">
        <v>1748</v>
      </c>
      <c r="H1718" t="s">
        <v>2277</v>
      </c>
      <c r="I1718">
        <v>10</v>
      </c>
      <c r="J1718" t="s">
        <v>2277</v>
      </c>
      <c r="K1718" t="s">
        <v>2277</v>
      </c>
      <c r="L1718" t="s">
        <v>2277</v>
      </c>
      <c r="M1718" t="s">
        <v>2277</v>
      </c>
      <c r="N1718" t="s">
        <v>2277</v>
      </c>
      <c r="O1718" s="190" t="str">
        <f t="shared" si="26"/>
        <v>[S06_InstallationsVerificationReportsIssueDetail][33][NumberOfInstallations]</v>
      </c>
    </row>
    <row r="1719" spans="1:15" x14ac:dyDescent="0.3">
      <c r="A1719" t="s">
        <v>2278</v>
      </c>
      <c r="B1719" t="s">
        <v>1985</v>
      </c>
      <c r="C1719" t="s">
        <v>1987</v>
      </c>
      <c r="D1719">
        <v>34</v>
      </c>
      <c r="E1719" t="s">
        <v>1447</v>
      </c>
      <c r="F1719" t="s">
        <v>1798</v>
      </c>
      <c r="G1719" t="s">
        <v>1748</v>
      </c>
      <c r="H1719" t="s">
        <v>2277</v>
      </c>
      <c r="I1719">
        <v>5</v>
      </c>
      <c r="J1719" t="s">
        <v>2277</v>
      </c>
      <c r="K1719" t="s">
        <v>2277</v>
      </c>
      <c r="L1719" t="s">
        <v>2277</v>
      </c>
      <c r="M1719" t="s">
        <v>2277</v>
      </c>
      <c r="N1719" t="s">
        <v>2277</v>
      </c>
      <c r="O1719" s="190" t="str">
        <f t="shared" si="26"/>
        <v>[S06_InstallationsVerificationReportsIssueDetail][34][NumberOfInstallations]</v>
      </c>
    </row>
    <row r="1720" spans="1:15" x14ac:dyDescent="0.3">
      <c r="A1720" t="s">
        <v>2278</v>
      </c>
      <c r="B1720" t="s">
        <v>1985</v>
      </c>
      <c r="C1720" t="s">
        <v>1987</v>
      </c>
      <c r="D1720">
        <v>35</v>
      </c>
      <c r="E1720" t="s">
        <v>1447</v>
      </c>
      <c r="F1720" t="s">
        <v>1798</v>
      </c>
      <c r="G1720" t="s">
        <v>1748</v>
      </c>
      <c r="H1720" t="s">
        <v>2277</v>
      </c>
      <c r="I1720">
        <v>1</v>
      </c>
      <c r="J1720" t="s">
        <v>2277</v>
      </c>
      <c r="K1720" t="s">
        <v>2277</v>
      </c>
      <c r="L1720" t="s">
        <v>2277</v>
      </c>
      <c r="M1720" t="s">
        <v>2277</v>
      </c>
      <c r="N1720" t="s">
        <v>2277</v>
      </c>
      <c r="O1720" s="190" t="str">
        <f t="shared" si="26"/>
        <v>[S06_InstallationsVerificationReportsIssueDetail][35][NumberOfInstallations]</v>
      </c>
    </row>
    <row r="1721" spans="1:15" x14ac:dyDescent="0.3">
      <c r="A1721" t="s">
        <v>2278</v>
      </c>
      <c r="B1721" t="s">
        <v>1985</v>
      </c>
      <c r="C1721" t="s">
        <v>1987</v>
      </c>
      <c r="D1721">
        <v>1</v>
      </c>
      <c r="E1721" t="s">
        <v>1447</v>
      </c>
      <c r="F1721" t="s">
        <v>1972</v>
      </c>
      <c r="G1721" t="s">
        <v>1748</v>
      </c>
      <c r="H1721" t="s">
        <v>2277</v>
      </c>
      <c r="I1721">
        <v>13</v>
      </c>
      <c r="J1721" t="s">
        <v>2277</v>
      </c>
      <c r="K1721" t="s">
        <v>2277</v>
      </c>
      <c r="L1721" t="s">
        <v>2277</v>
      </c>
      <c r="M1721" t="s">
        <v>2277</v>
      </c>
      <c r="N1721" t="s">
        <v>2277</v>
      </c>
      <c r="O1721" s="190" t="str">
        <f t="shared" si="26"/>
        <v>[S06_InstallationsVerificationReportsIssueDetail][1][NumberOfIssues]</v>
      </c>
    </row>
    <row r="1722" spans="1:15" x14ac:dyDescent="0.3">
      <c r="A1722" t="s">
        <v>2278</v>
      </c>
      <c r="B1722" t="s">
        <v>1985</v>
      </c>
      <c r="C1722" t="s">
        <v>1987</v>
      </c>
      <c r="D1722">
        <v>2</v>
      </c>
      <c r="E1722" t="s">
        <v>1447</v>
      </c>
      <c r="F1722" t="s">
        <v>1972</v>
      </c>
      <c r="G1722" t="s">
        <v>1748</v>
      </c>
      <c r="H1722" t="s">
        <v>2277</v>
      </c>
      <c r="I1722">
        <v>11</v>
      </c>
      <c r="J1722" t="s">
        <v>2277</v>
      </c>
      <c r="K1722" t="s">
        <v>2277</v>
      </c>
      <c r="L1722" t="s">
        <v>2277</v>
      </c>
      <c r="M1722" t="s">
        <v>2277</v>
      </c>
      <c r="N1722" t="s">
        <v>2277</v>
      </c>
      <c r="O1722" s="190" t="str">
        <f t="shared" si="26"/>
        <v>[S06_InstallationsVerificationReportsIssueDetail][2][NumberOfIssues]</v>
      </c>
    </row>
    <row r="1723" spans="1:15" x14ac:dyDescent="0.3">
      <c r="A1723" t="s">
        <v>2278</v>
      </c>
      <c r="B1723" t="s">
        <v>1985</v>
      </c>
      <c r="C1723" t="s">
        <v>1987</v>
      </c>
      <c r="D1723">
        <v>3</v>
      </c>
      <c r="E1723" t="s">
        <v>1447</v>
      </c>
      <c r="F1723" t="s">
        <v>1972</v>
      </c>
      <c r="G1723" t="s">
        <v>1748</v>
      </c>
      <c r="H1723" t="s">
        <v>2277</v>
      </c>
      <c r="I1723">
        <v>5</v>
      </c>
      <c r="J1723" t="s">
        <v>2277</v>
      </c>
      <c r="K1723" t="s">
        <v>2277</v>
      </c>
      <c r="L1723" t="s">
        <v>2277</v>
      </c>
      <c r="M1723" t="s">
        <v>2277</v>
      </c>
      <c r="N1723" t="s">
        <v>2277</v>
      </c>
      <c r="O1723" s="190" t="str">
        <f t="shared" si="26"/>
        <v>[S06_InstallationsVerificationReportsIssueDetail][3][NumberOfIssues]</v>
      </c>
    </row>
    <row r="1724" spans="1:15" x14ac:dyDescent="0.3">
      <c r="A1724" t="s">
        <v>2278</v>
      </c>
      <c r="B1724" t="s">
        <v>1985</v>
      </c>
      <c r="C1724" t="s">
        <v>1987</v>
      </c>
      <c r="D1724">
        <v>4</v>
      </c>
      <c r="E1724" t="s">
        <v>1447</v>
      </c>
      <c r="F1724" t="s">
        <v>1972</v>
      </c>
      <c r="G1724" t="s">
        <v>1748</v>
      </c>
      <c r="H1724" t="s">
        <v>2277</v>
      </c>
      <c r="I1724">
        <v>47</v>
      </c>
      <c r="J1724" t="s">
        <v>2277</v>
      </c>
      <c r="K1724" t="s">
        <v>2277</v>
      </c>
      <c r="L1724" t="s">
        <v>2277</v>
      </c>
      <c r="M1724" t="s">
        <v>2277</v>
      </c>
      <c r="N1724" t="s">
        <v>2277</v>
      </c>
      <c r="O1724" s="190" t="str">
        <f t="shared" si="26"/>
        <v>[S06_InstallationsVerificationReportsIssueDetail][4][NumberOfIssues]</v>
      </c>
    </row>
    <row r="1725" spans="1:15" x14ac:dyDescent="0.3">
      <c r="A1725" t="s">
        <v>2278</v>
      </c>
      <c r="B1725" t="s">
        <v>1985</v>
      </c>
      <c r="C1725" t="s">
        <v>1987</v>
      </c>
      <c r="D1725">
        <v>5</v>
      </c>
      <c r="E1725" t="s">
        <v>1447</v>
      </c>
      <c r="F1725" t="s">
        <v>1972</v>
      </c>
      <c r="G1725" t="s">
        <v>1748</v>
      </c>
      <c r="H1725" t="s">
        <v>2277</v>
      </c>
      <c r="I1725">
        <v>2</v>
      </c>
      <c r="J1725" t="s">
        <v>2277</v>
      </c>
      <c r="K1725" t="s">
        <v>2277</v>
      </c>
      <c r="L1725" t="s">
        <v>2277</v>
      </c>
      <c r="M1725" t="s">
        <v>2277</v>
      </c>
      <c r="N1725" t="s">
        <v>2277</v>
      </c>
      <c r="O1725" s="190" t="str">
        <f t="shared" si="26"/>
        <v>[S06_InstallationsVerificationReportsIssueDetail][5][NumberOfIssues]</v>
      </c>
    </row>
    <row r="1726" spans="1:15" x14ac:dyDescent="0.3">
      <c r="A1726" t="s">
        <v>2278</v>
      </c>
      <c r="B1726" t="s">
        <v>1985</v>
      </c>
      <c r="C1726" t="s">
        <v>1987</v>
      </c>
      <c r="D1726">
        <v>6</v>
      </c>
      <c r="E1726" t="s">
        <v>1447</v>
      </c>
      <c r="F1726" t="s">
        <v>1972</v>
      </c>
      <c r="G1726" t="s">
        <v>1748</v>
      </c>
      <c r="H1726" t="s">
        <v>2277</v>
      </c>
      <c r="I1726">
        <v>1</v>
      </c>
      <c r="J1726" t="s">
        <v>2277</v>
      </c>
      <c r="K1726" t="s">
        <v>2277</v>
      </c>
      <c r="L1726" t="s">
        <v>2277</v>
      </c>
      <c r="M1726" t="s">
        <v>2277</v>
      </c>
      <c r="N1726" t="s">
        <v>2277</v>
      </c>
      <c r="O1726" s="190" t="str">
        <f t="shared" si="26"/>
        <v>[S06_InstallationsVerificationReportsIssueDetail][6][NumberOfIssues]</v>
      </c>
    </row>
    <row r="1727" spans="1:15" x14ac:dyDescent="0.3">
      <c r="A1727" t="s">
        <v>2278</v>
      </c>
      <c r="B1727" t="s">
        <v>1985</v>
      </c>
      <c r="C1727" t="s">
        <v>1987</v>
      </c>
      <c r="D1727">
        <v>7</v>
      </c>
      <c r="E1727" t="s">
        <v>1447</v>
      </c>
      <c r="F1727" t="s">
        <v>1972</v>
      </c>
      <c r="G1727" t="s">
        <v>1748</v>
      </c>
      <c r="H1727" t="s">
        <v>2277</v>
      </c>
      <c r="I1727">
        <v>1</v>
      </c>
      <c r="J1727" t="s">
        <v>2277</v>
      </c>
      <c r="K1727" t="s">
        <v>2277</v>
      </c>
      <c r="L1727" t="s">
        <v>2277</v>
      </c>
      <c r="M1727" t="s">
        <v>2277</v>
      </c>
      <c r="N1727" t="s">
        <v>2277</v>
      </c>
      <c r="O1727" s="190" t="str">
        <f t="shared" si="26"/>
        <v>[S06_InstallationsVerificationReportsIssueDetail][7][NumberOfIssues]</v>
      </c>
    </row>
    <row r="1728" spans="1:15" x14ac:dyDescent="0.3">
      <c r="A1728" t="s">
        <v>2278</v>
      </c>
      <c r="B1728" t="s">
        <v>1985</v>
      </c>
      <c r="C1728" t="s">
        <v>1987</v>
      </c>
      <c r="D1728">
        <v>8</v>
      </c>
      <c r="E1728" t="s">
        <v>1447</v>
      </c>
      <c r="F1728" t="s">
        <v>1972</v>
      </c>
      <c r="G1728" t="s">
        <v>1748</v>
      </c>
      <c r="H1728" t="s">
        <v>2277</v>
      </c>
      <c r="I1728">
        <v>2</v>
      </c>
      <c r="J1728" t="s">
        <v>2277</v>
      </c>
      <c r="K1728" t="s">
        <v>2277</v>
      </c>
      <c r="L1728" t="s">
        <v>2277</v>
      </c>
      <c r="M1728" t="s">
        <v>2277</v>
      </c>
      <c r="N1728" t="s">
        <v>2277</v>
      </c>
      <c r="O1728" s="190" t="str">
        <f t="shared" si="26"/>
        <v>[S06_InstallationsVerificationReportsIssueDetail][8][NumberOfIssues]</v>
      </c>
    </row>
    <row r="1729" spans="1:15" x14ac:dyDescent="0.3">
      <c r="A1729" t="s">
        <v>2278</v>
      </c>
      <c r="B1729" t="s">
        <v>1985</v>
      </c>
      <c r="C1729" t="s">
        <v>1987</v>
      </c>
      <c r="D1729">
        <v>9</v>
      </c>
      <c r="E1729" t="s">
        <v>1447</v>
      </c>
      <c r="F1729" t="s">
        <v>1972</v>
      </c>
      <c r="G1729" t="s">
        <v>1748</v>
      </c>
      <c r="H1729" t="s">
        <v>2277</v>
      </c>
      <c r="I1729">
        <v>4</v>
      </c>
      <c r="J1729" t="s">
        <v>2277</v>
      </c>
      <c r="K1729" t="s">
        <v>2277</v>
      </c>
      <c r="L1729" t="s">
        <v>2277</v>
      </c>
      <c r="M1729" t="s">
        <v>2277</v>
      </c>
      <c r="N1729" t="s">
        <v>2277</v>
      </c>
      <c r="O1729" s="190" t="str">
        <f t="shared" si="26"/>
        <v>[S06_InstallationsVerificationReportsIssueDetail][9][NumberOfIssues]</v>
      </c>
    </row>
    <row r="1730" spans="1:15" x14ac:dyDescent="0.3">
      <c r="A1730" t="s">
        <v>2278</v>
      </c>
      <c r="B1730" t="s">
        <v>1985</v>
      </c>
      <c r="C1730" t="s">
        <v>1987</v>
      </c>
      <c r="D1730">
        <v>10</v>
      </c>
      <c r="E1730" t="s">
        <v>1447</v>
      </c>
      <c r="F1730" t="s">
        <v>1972</v>
      </c>
      <c r="G1730" t="s">
        <v>1748</v>
      </c>
      <c r="H1730" t="s">
        <v>2277</v>
      </c>
      <c r="I1730">
        <v>1</v>
      </c>
      <c r="J1730" t="s">
        <v>2277</v>
      </c>
      <c r="K1730" t="s">
        <v>2277</v>
      </c>
      <c r="L1730" t="s">
        <v>2277</v>
      </c>
      <c r="M1730" t="s">
        <v>2277</v>
      </c>
      <c r="N1730" t="s">
        <v>2277</v>
      </c>
      <c r="O1730" s="190" t="str">
        <f t="shared" ref="O1730:O1793" si="27">"["&amp;$C1730&amp;"]["&amp;$D1730&amp;"]["&amp;$F1730&amp;"]"</f>
        <v>[S06_InstallationsVerificationReportsIssueDetail][10][NumberOfIssues]</v>
      </c>
    </row>
    <row r="1731" spans="1:15" x14ac:dyDescent="0.3">
      <c r="A1731" t="s">
        <v>2278</v>
      </c>
      <c r="B1731" t="s">
        <v>1985</v>
      </c>
      <c r="C1731" t="s">
        <v>1987</v>
      </c>
      <c r="D1731">
        <v>11</v>
      </c>
      <c r="E1731" t="s">
        <v>1447</v>
      </c>
      <c r="F1731" t="s">
        <v>1972</v>
      </c>
      <c r="G1731" t="s">
        <v>1748</v>
      </c>
      <c r="H1731" t="s">
        <v>2277</v>
      </c>
      <c r="I1731">
        <v>3</v>
      </c>
      <c r="J1731" t="s">
        <v>2277</v>
      </c>
      <c r="K1731" t="s">
        <v>2277</v>
      </c>
      <c r="L1731" t="s">
        <v>2277</v>
      </c>
      <c r="M1731" t="s">
        <v>2277</v>
      </c>
      <c r="N1731" t="s">
        <v>2277</v>
      </c>
      <c r="O1731" s="190" t="str">
        <f t="shared" si="27"/>
        <v>[S06_InstallationsVerificationReportsIssueDetail][11][NumberOfIssues]</v>
      </c>
    </row>
    <row r="1732" spans="1:15" x14ac:dyDescent="0.3">
      <c r="A1732" t="s">
        <v>2278</v>
      </c>
      <c r="B1732" t="s">
        <v>1985</v>
      </c>
      <c r="C1732" t="s">
        <v>1987</v>
      </c>
      <c r="D1732">
        <v>12</v>
      </c>
      <c r="E1732" t="s">
        <v>1447</v>
      </c>
      <c r="F1732" t="s">
        <v>1972</v>
      </c>
      <c r="G1732" t="s">
        <v>1748</v>
      </c>
      <c r="H1732" t="s">
        <v>2277</v>
      </c>
      <c r="I1732">
        <v>1</v>
      </c>
      <c r="J1732" t="s">
        <v>2277</v>
      </c>
      <c r="K1732" t="s">
        <v>2277</v>
      </c>
      <c r="L1732" t="s">
        <v>2277</v>
      </c>
      <c r="M1732" t="s">
        <v>2277</v>
      </c>
      <c r="N1732" t="s">
        <v>2277</v>
      </c>
      <c r="O1732" s="190" t="str">
        <f t="shared" si="27"/>
        <v>[S06_InstallationsVerificationReportsIssueDetail][12][NumberOfIssues]</v>
      </c>
    </row>
    <row r="1733" spans="1:15" x14ac:dyDescent="0.3">
      <c r="A1733" t="s">
        <v>2278</v>
      </c>
      <c r="B1733" t="s">
        <v>1985</v>
      </c>
      <c r="C1733" t="s">
        <v>1987</v>
      </c>
      <c r="D1733">
        <v>13</v>
      </c>
      <c r="E1733" t="s">
        <v>1447</v>
      </c>
      <c r="F1733" t="s">
        <v>1972</v>
      </c>
      <c r="G1733" t="s">
        <v>1748</v>
      </c>
      <c r="H1733" t="s">
        <v>2277</v>
      </c>
      <c r="I1733">
        <v>2</v>
      </c>
      <c r="J1733" t="s">
        <v>2277</v>
      </c>
      <c r="K1733" t="s">
        <v>2277</v>
      </c>
      <c r="L1733" t="s">
        <v>2277</v>
      </c>
      <c r="M1733" t="s">
        <v>2277</v>
      </c>
      <c r="N1733" t="s">
        <v>2277</v>
      </c>
      <c r="O1733" s="190" t="str">
        <f t="shared" si="27"/>
        <v>[S06_InstallationsVerificationReportsIssueDetail][13][NumberOfIssues]</v>
      </c>
    </row>
    <row r="1734" spans="1:15" x14ac:dyDescent="0.3">
      <c r="A1734" t="s">
        <v>2278</v>
      </c>
      <c r="B1734" t="s">
        <v>1985</v>
      </c>
      <c r="C1734" t="s">
        <v>1987</v>
      </c>
      <c r="D1734">
        <v>14</v>
      </c>
      <c r="E1734" t="s">
        <v>1447</v>
      </c>
      <c r="F1734" t="s">
        <v>1972</v>
      </c>
      <c r="G1734" t="s">
        <v>1748</v>
      </c>
      <c r="H1734" t="s">
        <v>2277</v>
      </c>
      <c r="I1734">
        <v>1</v>
      </c>
      <c r="J1734" t="s">
        <v>2277</v>
      </c>
      <c r="K1734" t="s">
        <v>2277</v>
      </c>
      <c r="L1734" t="s">
        <v>2277</v>
      </c>
      <c r="M1734" t="s">
        <v>2277</v>
      </c>
      <c r="N1734" t="s">
        <v>2277</v>
      </c>
      <c r="O1734" s="190" t="str">
        <f t="shared" si="27"/>
        <v>[S06_InstallationsVerificationReportsIssueDetail][14][NumberOfIssues]</v>
      </c>
    </row>
    <row r="1735" spans="1:15" x14ac:dyDescent="0.3">
      <c r="A1735" t="s">
        <v>2278</v>
      </c>
      <c r="B1735" t="s">
        <v>1985</v>
      </c>
      <c r="C1735" t="s">
        <v>1987</v>
      </c>
      <c r="D1735">
        <v>15</v>
      </c>
      <c r="E1735" t="s">
        <v>1447</v>
      </c>
      <c r="F1735" t="s">
        <v>1972</v>
      </c>
      <c r="G1735" t="s">
        <v>1748</v>
      </c>
      <c r="H1735" t="s">
        <v>2277</v>
      </c>
      <c r="I1735">
        <v>1</v>
      </c>
      <c r="J1735" t="s">
        <v>2277</v>
      </c>
      <c r="K1735" t="s">
        <v>2277</v>
      </c>
      <c r="L1735" t="s">
        <v>2277</v>
      </c>
      <c r="M1735" t="s">
        <v>2277</v>
      </c>
      <c r="N1735" t="s">
        <v>2277</v>
      </c>
      <c r="O1735" s="190" t="str">
        <f t="shared" si="27"/>
        <v>[S06_InstallationsVerificationReportsIssueDetail][15][NumberOfIssues]</v>
      </c>
    </row>
    <row r="1736" spans="1:15" x14ac:dyDescent="0.3">
      <c r="A1736" t="s">
        <v>2278</v>
      </c>
      <c r="B1736" t="s">
        <v>1985</v>
      </c>
      <c r="C1736" t="s">
        <v>1987</v>
      </c>
      <c r="D1736">
        <v>16</v>
      </c>
      <c r="E1736" t="s">
        <v>1447</v>
      </c>
      <c r="F1736" t="s">
        <v>1972</v>
      </c>
      <c r="G1736" t="s">
        <v>1748</v>
      </c>
      <c r="H1736" t="s">
        <v>2277</v>
      </c>
      <c r="I1736">
        <v>4</v>
      </c>
      <c r="J1736" t="s">
        <v>2277</v>
      </c>
      <c r="K1736" t="s">
        <v>2277</v>
      </c>
      <c r="L1736" t="s">
        <v>2277</v>
      </c>
      <c r="M1736" t="s">
        <v>2277</v>
      </c>
      <c r="N1736" t="s">
        <v>2277</v>
      </c>
      <c r="O1736" s="190" t="str">
        <f t="shared" si="27"/>
        <v>[S06_InstallationsVerificationReportsIssueDetail][16][NumberOfIssues]</v>
      </c>
    </row>
    <row r="1737" spans="1:15" x14ac:dyDescent="0.3">
      <c r="A1737" t="s">
        <v>2278</v>
      </c>
      <c r="B1737" t="s">
        <v>1985</v>
      </c>
      <c r="C1737" t="s">
        <v>1987</v>
      </c>
      <c r="D1737">
        <v>17</v>
      </c>
      <c r="E1737" t="s">
        <v>1447</v>
      </c>
      <c r="F1737" t="s">
        <v>1972</v>
      </c>
      <c r="G1737" t="s">
        <v>1748</v>
      </c>
      <c r="H1737" t="s">
        <v>2277</v>
      </c>
      <c r="I1737">
        <v>2</v>
      </c>
      <c r="J1737" t="s">
        <v>2277</v>
      </c>
      <c r="K1737" t="s">
        <v>2277</v>
      </c>
      <c r="L1737" t="s">
        <v>2277</v>
      </c>
      <c r="M1737" t="s">
        <v>2277</v>
      </c>
      <c r="N1737" t="s">
        <v>2277</v>
      </c>
      <c r="O1737" s="190" t="str">
        <f t="shared" si="27"/>
        <v>[S06_InstallationsVerificationReportsIssueDetail][17][NumberOfIssues]</v>
      </c>
    </row>
    <row r="1738" spans="1:15" x14ac:dyDescent="0.3">
      <c r="A1738" t="s">
        <v>2278</v>
      </c>
      <c r="B1738" t="s">
        <v>1985</v>
      </c>
      <c r="C1738" t="s">
        <v>1987</v>
      </c>
      <c r="D1738">
        <v>18</v>
      </c>
      <c r="E1738" t="s">
        <v>1447</v>
      </c>
      <c r="F1738" t="s">
        <v>1972</v>
      </c>
      <c r="G1738" t="s">
        <v>1748</v>
      </c>
      <c r="H1738" t="s">
        <v>2277</v>
      </c>
      <c r="I1738">
        <v>6</v>
      </c>
      <c r="J1738" t="s">
        <v>2277</v>
      </c>
      <c r="K1738" t="s">
        <v>2277</v>
      </c>
      <c r="L1738" t="s">
        <v>2277</v>
      </c>
      <c r="M1738" t="s">
        <v>2277</v>
      </c>
      <c r="N1738" t="s">
        <v>2277</v>
      </c>
      <c r="O1738" s="190" t="str">
        <f t="shared" si="27"/>
        <v>[S06_InstallationsVerificationReportsIssueDetail][18][NumberOfIssues]</v>
      </c>
    </row>
    <row r="1739" spans="1:15" x14ac:dyDescent="0.3">
      <c r="A1739" t="s">
        <v>2278</v>
      </c>
      <c r="B1739" t="s">
        <v>1985</v>
      </c>
      <c r="C1739" t="s">
        <v>1987</v>
      </c>
      <c r="D1739">
        <v>19</v>
      </c>
      <c r="E1739" t="s">
        <v>1447</v>
      </c>
      <c r="F1739" t="s">
        <v>1972</v>
      </c>
      <c r="G1739" t="s">
        <v>1748</v>
      </c>
      <c r="H1739" t="s">
        <v>2277</v>
      </c>
      <c r="I1739">
        <v>1</v>
      </c>
      <c r="J1739" t="s">
        <v>2277</v>
      </c>
      <c r="K1739" t="s">
        <v>2277</v>
      </c>
      <c r="L1739" t="s">
        <v>2277</v>
      </c>
      <c r="M1739" t="s">
        <v>2277</v>
      </c>
      <c r="N1739" t="s">
        <v>2277</v>
      </c>
      <c r="O1739" s="190" t="str">
        <f t="shared" si="27"/>
        <v>[S06_InstallationsVerificationReportsIssueDetail][19][NumberOfIssues]</v>
      </c>
    </row>
    <row r="1740" spans="1:15" x14ac:dyDescent="0.3">
      <c r="A1740" t="s">
        <v>2278</v>
      </c>
      <c r="B1740" t="s">
        <v>1985</v>
      </c>
      <c r="C1740" t="s">
        <v>1987</v>
      </c>
      <c r="D1740">
        <v>20</v>
      </c>
      <c r="E1740" t="s">
        <v>1447</v>
      </c>
      <c r="F1740" t="s">
        <v>1972</v>
      </c>
      <c r="G1740" t="s">
        <v>1748</v>
      </c>
      <c r="H1740" t="s">
        <v>2277</v>
      </c>
      <c r="I1740">
        <v>5</v>
      </c>
      <c r="J1740" t="s">
        <v>2277</v>
      </c>
      <c r="K1740" t="s">
        <v>2277</v>
      </c>
      <c r="L1740" t="s">
        <v>2277</v>
      </c>
      <c r="M1740" t="s">
        <v>2277</v>
      </c>
      <c r="N1740" t="s">
        <v>2277</v>
      </c>
      <c r="O1740" s="190" t="str">
        <f t="shared" si="27"/>
        <v>[S06_InstallationsVerificationReportsIssueDetail][20][NumberOfIssues]</v>
      </c>
    </row>
    <row r="1741" spans="1:15" x14ac:dyDescent="0.3">
      <c r="A1741" t="s">
        <v>2278</v>
      </c>
      <c r="B1741" t="s">
        <v>1985</v>
      </c>
      <c r="C1741" t="s">
        <v>1987</v>
      </c>
      <c r="D1741">
        <v>21</v>
      </c>
      <c r="E1741" t="s">
        <v>1447</v>
      </c>
      <c r="F1741" t="s">
        <v>1972</v>
      </c>
      <c r="G1741" t="s">
        <v>1748</v>
      </c>
      <c r="H1741" t="s">
        <v>2277</v>
      </c>
      <c r="I1741">
        <v>2</v>
      </c>
      <c r="J1741" t="s">
        <v>2277</v>
      </c>
      <c r="K1741" t="s">
        <v>2277</v>
      </c>
      <c r="L1741" t="s">
        <v>2277</v>
      </c>
      <c r="M1741" t="s">
        <v>2277</v>
      </c>
      <c r="N1741" t="s">
        <v>2277</v>
      </c>
      <c r="O1741" s="190" t="str">
        <f t="shared" si="27"/>
        <v>[S06_InstallationsVerificationReportsIssueDetail][21][NumberOfIssues]</v>
      </c>
    </row>
    <row r="1742" spans="1:15" x14ac:dyDescent="0.3">
      <c r="A1742" t="s">
        <v>2278</v>
      </c>
      <c r="B1742" t="s">
        <v>1985</v>
      </c>
      <c r="C1742" t="s">
        <v>1987</v>
      </c>
      <c r="D1742">
        <v>22</v>
      </c>
      <c r="E1742" t="s">
        <v>1447</v>
      </c>
      <c r="F1742" t="s">
        <v>1972</v>
      </c>
      <c r="G1742" t="s">
        <v>1748</v>
      </c>
      <c r="H1742" t="s">
        <v>2277</v>
      </c>
      <c r="I1742">
        <v>12</v>
      </c>
      <c r="J1742" t="s">
        <v>2277</v>
      </c>
      <c r="K1742" t="s">
        <v>2277</v>
      </c>
      <c r="L1742" t="s">
        <v>2277</v>
      </c>
      <c r="M1742" t="s">
        <v>2277</v>
      </c>
      <c r="N1742" t="s">
        <v>2277</v>
      </c>
      <c r="O1742" s="190" t="str">
        <f t="shared" si="27"/>
        <v>[S06_InstallationsVerificationReportsIssueDetail][22][NumberOfIssues]</v>
      </c>
    </row>
    <row r="1743" spans="1:15" x14ac:dyDescent="0.3">
      <c r="A1743" t="s">
        <v>2278</v>
      </c>
      <c r="B1743" t="s">
        <v>1985</v>
      </c>
      <c r="C1743" t="s">
        <v>1987</v>
      </c>
      <c r="D1743">
        <v>23</v>
      </c>
      <c r="E1743" t="s">
        <v>1447</v>
      </c>
      <c r="F1743" t="s">
        <v>1972</v>
      </c>
      <c r="G1743" t="s">
        <v>1748</v>
      </c>
      <c r="H1743" t="s">
        <v>2277</v>
      </c>
      <c r="I1743">
        <v>3</v>
      </c>
      <c r="J1743" t="s">
        <v>2277</v>
      </c>
      <c r="K1743" t="s">
        <v>2277</v>
      </c>
      <c r="L1743" t="s">
        <v>2277</v>
      </c>
      <c r="M1743" t="s">
        <v>2277</v>
      </c>
      <c r="N1743" t="s">
        <v>2277</v>
      </c>
      <c r="O1743" s="190" t="str">
        <f t="shared" si="27"/>
        <v>[S06_InstallationsVerificationReportsIssueDetail][23][NumberOfIssues]</v>
      </c>
    </row>
    <row r="1744" spans="1:15" x14ac:dyDescent="0.3">
      <c r="A1744" t="s">
        <v>2278</v>
      </c>
      <c r="B1744" t="s">
        <v>1985</v>
      </c>
      <c r="C1744" t="s">
        <v>1987</v>
      </c>
      <c r="D1744">
        <v>24</v>
      </c>
      <c r="E1744" t="s">
        <v>1447</v>
      </c>
      <c r="F1744" t="s">
        <v>1972</v>
      </c>
      <c r="G1744" t="s">
        <v>1748</v>
      </c>
      <c r="H1744" t="s">
        <v>2277</v>
      </c>
      <c r="I1744">
        <v>2</v>
      </c>
      <c r="J1744" t="s">
        <v>2277</v>
      </c>
      <c r="K1744" t="s">
        <v>2277</v>
      </c>
      <c r="L1744" t="s">
        <v>2277</v>
      </c>
      <c r="M1744" t="s">
        <v>2277</v>
      </c>
      <c r="N1744" t="s">
        <v>2277</v>
      </c>
      <c r="O1744" s="190" t="str">
        <f t="shared" si="27"/>
        <v>[S06_InstallationsVerificationReportsIssueDetail][24][NumberOfIssues]</v>
      </c>
    </row>
    <row r="1745" spans="1:15" x14ac:dyDescent="0.3">
      <c r="A1745" t="s">
        <v>2278</v>
      </c>
      <c r="B1745" t="s">
        <v>1985</v>
      </c>
      <c r="C1745" t="s">
        <v>1987</v>
      </c>
      <c r="D1745">
        <v>25</v>
      </c>
      <c r="E1745" t="s">
        <v>1447</v>
      </c>
      <c r="F1745" t="s">
        <v>1972</v>
      </c>
      <c r="G1745" t="s">
        <v>1748</v>
      </c>
      <c r="H1745" t="s">
        <v>2277</v>
      </c>
      <c r="I1745">
        <v>1</v>
      </c>
      <c r="J1745" t="s">
        <v>2277</v>
      </c>
      <c r="K1745" t="s">
        <v>2277</v>
      </c>
      <c r="L1745" t="s">
        <v>2277</v>
      </c>
      <c r="M1745" t="s">
        <v>2277</v>
      </c>
      <c r="N1745" t="s">
        <v>2277</v>
      </c>
      <c r="O1745" s="190" t="str">
        <f t="shared" si="27"/>
        <v>[S06_InstallationsVerificationReportsIssueDetail][25][NumberOfIssues]</v>
      </c>
    </row>
    <row r="1746" spans="1:15" x14ac:dyDescent="0.3">
      <c r="A1746" t="s">
        <v>2278</v>
      </c>
      <c r="B1746" t="s">
        <v>1985</v>
      </c>
      <c r="C1746" t="s">
        <v>1987</v>
      </c>
      <c r="D1746">
        <v>26</v>
      </c>
      <c r="E1746" t="s">
        <v>1447</v>
      </c>
      <c r="F1746" t="s">
        <v>1972</v>
      </c>
      <c r="G1746" t="s">
        <v>1748</v>
      </c>
      <c r="H1746" t="s">
        <v>2277</v>
      </c>
      <c r="I1746">
        <v>8</v>
      </c>
      <c r="J1746" t="s">
        <v>2277</v>
      </c>
      <c r="K1746" t="s">
        <v>2277</v>
      </c>
      <c r="L1746" t="s">
        <v>2277</v>
      </c>
      <c r="M1746" t="s">
        <v>2277</v>
      </c>
      <c r="N1746" t="s">
        <v>2277</v>
      </c>
      <c r="O1746" s="190" t="str">
        <f t="shared" si="27"/>
        <v>[S06_InstallationsVerificationReportsIssueDetail][26][NumberOfIssues]</v>
      </c>
    </row>
    <row r="1747" spans="1:15" x14ac:dyDescent="0.3">
      <c r="A1747" t="s">
        <v>2278</v>
      </c>
      <c r="B1747" t="s">
        <v>1985</v>
      </c>
      <c r="C1747" t="s">
        <v>1987</v>
      </c>
      <c r="D1747">
        <v>27</v>
      </c>
      <c r="E1747" t="s">
        <v>1447</v>
      </c>
      <c r="F1747" t="s">
        <v>1972</v>
      </c>
      <c r="G1747" t="s">
        <v>1748</v>
      </c>
      <c r="H1747" t="s">
        <v>2277</v>
      </c>
      <c r="I1747">
        <v>2</v>
      </c>
      <c r="J1747" t="s">
        <v>2277</v>
      </c>
      <c r="K1747" t="s">
        <v>2277</v>
      </c>
      <c r="L1747" t="s">
        <v>2277</v>
      </c>
      <c r="M1747" t="s">
        <v>2277</v>
      </c>
      <c r="N1747" t="s">
        <v>2277</v>
      </c>
      <c r="O1747" s="190" t="str">
        <f t="shared" si="27"/>
        <v>[S06_InstallationsVerificationReportsIssueDetail][27][NumberOfIssues]</v>
      </c>
    </row>
    <row r="1748" spans="1:15" x14ac:dyDescent="0.3">
      <c r="A1748" t="s">
        <v>2278</v>
      </c>
      <c r="B1748" t="s">
        <v>1985</v>
      </c>
      <c r="C1748" t="s">
        <v>1987</v>
      </c>
      <c r="D1748">
        <v>28</v>
      </c>
      <c r="E1748" t="s">
        <v>1447</v>
      </c>
      <c r="F1748" t="s">
        <v>1972</v>
      </c>
      <c r="G1748" t="s">
        <v>1748</v>
      </c>
      <c r="H1748" t="s">
        <v>2277</v>
      </c>
      <c r="I1748">
        <v>1</v>
      </c>
      <c r="J1748" t="s">
        <v>2277</v>
      </c>
      <c r="K1748" t="s">
        <v>2277</v>
      </c>
      <c r="L1748" t="s">
        <v>2277</v>
      </c>
      <c r="M1748" t="s">
        <v>2277</v>
      </c>
      <c r="N1748" t="s">
        <v>2277</v>
      </c>
      <c r="O1748" s="190" t="str">
        <f t="shared" si="27"/>
        <v>[S06_InstallationsVerificationReportsIssueDetail][28][NumberOfIssues]</v>
      </c>
    </row>
    <row r="1749" spans="1:15" x14ac:dyDescent="0.3">
      <c r="A1749" t="s">
        <v>2278</v>
      </c>
      <c r="B1749" t="s">
        <v>1985</v>
      </c>
      <c r="C1749" t="s">
        <v>1987</v>
      </c>
      <c r="D1749">
        <v>29</v>
      </c>
      <c r="E1749" t="s">
        <v>1447</v>
      </c>
      <c r="F1749" t="s">
        <v>1972</v>
      </c>
      <c r="G1749" t="s">
        <v>1748</v>
      </c>
      <c r="H1749" t="s">
        <v>2277</v>
      </c>
      <c r="I1749">
        <v>2</v>
      </c>
      <c r="J1749" t="s">
        <v>2277</v>
      </c>
      <c r="K1749" t="s">
        <v>2277</v>
      </c>
      <c r="L1749" t="s">
        <v>2277</v>
      </c>
      <c r="M1749" t="s">
        <v>2277</v>
      </c>
      <c r="N1749" t="s">
        <v>2277</v>
      </c>
      <c r="O1749" s="190" t="str">
        <f t="shared" si="27"/>
        <v>[S06_InstallationsVerificationReportsIssueDetail][29][NumberOfIssues]</v>
      </c>
    </row>
    <row r="1750" spans="1:15" x14ac:dyDescent="0.3">
      <c r="A1750" t="s">
        <v>2278</v>
      </c>
      <c r="B1750" t="s">
        <v>1985</v>
      </c>
      <c r="C1750" t="s">
        <v>1987</v>
      </c>
      <c r="D1750">
        <v>30</v>
      </c>
      <c r="E1750" t="s">
        <v>1447</v>
      </c>
      <c r="F1750" t="s">
        <v>1972</v>
      </c>
      <c r="G1750" t="s">
        <v>1748</v>
      </c>
      <c r="H1750" t="s">
        <v>2277</v>
      </c>
      <c r="I1750">
        <v>1</v>
      </c>
      <c r="J1750" t="s">
        <v>2277</v>
      </c>
      <c r="K1750" t="s">
        <v>2277</v>
      </c>
      <c r="L1750" t="s">
        <v>2277</v>
      </c>
      <c r="M1750" t="s">
        <v>2277</v>
      </c>
      <c r="N1750" t="s">
        <v>2277</v>
      </c>
      <c r="O1750" s="190" t="str">
        <f t="shared" si="27"/>
        <v>[S06_InstallationsVerificationReportsIssueDetail][30][NumberOfIssues]</v>
      </c>
    </row>
    <row r="1751" spans="1:15" x14ac:dyDescent="0.3">
      <c r="A1751" t="s">
        <v>2278</v>
      </c>
      <c r="B1751" t="s">
        <v>1985</v>
      </c>
      <c r="C1751" t="s">
        <v>1987</v>
      </c>
      <c r="D1751">
        <v>31</v>
      </c>
      <c r="E1751" t="s">
        <v>1447</v>
      </c>
      <c r="F1751" t="s">
        <v>1972</v>
      </c>
      <c r="G1751" t="s">
        <v>1748</v>
      </c>
      <c r="H1751" t="s">
        <v>2277</v>
      </c>
      <c r="I1751">
        <v>1</v>
      </c>
      <c r="J1751" t="s">
        <v>2277</v>
      </c>
      <c r="K1751" t="s">
        <v>2277</v>
      </c>
      <c r="L1751" t="s">
        <v>2277</v>
      </c>
      <c r="M1751" t="s">
        <v>2277</v>
      </c>
      <c r="N1751" t="s">
        <v>2277</v>
      </c>
      <c r="O1751" s="190" t="str">
        <f t="shared" si="27"/>
        <v>[S06_InstallationsVerificationReportsIssueDetail][31][NumberOfIssues]</v>
      </c>
    </row>
    <row r="1752" spans="1:15" x14ac:dyDescent="0.3">
      <c r="A1752" t="s">
        <v>2278</v>
      </c>
      <c r="B1752" t="s">
        <v>1985</v>
      </c>
      <c r="C1752" t="s">
        <v>1987</v>
      </c>
      <c r="D1752">
        <v>32</v>
      </c>
      <c r="E1752" t="s">
        <v>1447</v>
      </c>
      <c r="F1752" t="s">
        <v>1972</v>
      </c>
      <c r="G1752" t="s">
        <v>1748</v>
      </c>
      <c r="H1752" t="s">
        <v>2277</v>
      </c>
      <c r="I1752">
        <v>1</v>
      </c>
      <c r="J1752" t="s">
        <v>2277</v>
      </c>
      <c r="K1752" t="s">
        <v>2277</v>
      </c>
      <c r="L1752" t="s">
        <v>2277</v>
      </c>
      <c r="M1752" t="s">
        <v>2277</v>
      </c>
      <c r="N1752" t="s">
        <v>2277</v>
      </c>
      <c r="O1752" s="190" t="str">
        <f t="shared" si="27"/>
        <v>[S06_InstallationsVerificationReportsIssueDetail][32][NumberOfIssues]</v>
      </c>
    </row>
    <row r="1753" spans="1:15" x14ac:dyDescent="0.3">
      <c r="A1753" t="s">
        <v>2278</v>
      </c>
      <c r="B1753" t="s">
        <v>1985</v>
      </c>
      <c r="C1753" t="s">
        <v>1987</v>
      </c>
      <c r="D1753">
        <v>33</v>
      </c>
      <c r="E1753" t="s">
        <v>1447</v>
      </c>
      <c r="F1753" t="s">
        <v>1972</v>
      </c>
      <c r="G1753" t="s">
        <v>1748</v>
      </c>
      <c r="H1753" t="s">
        <v>2277</v>
      </c>
      <c r="I1753">
        <v>2</v>
      </c>
      <c r="J1753" t="s">
        <v>2277</v>
      </c>
      <c r="K1753" t="s">
        <v>2277</v>
      </c>
      <c r="L1753" t="s">
        <v>2277</v>
      </c>
      <c r="M1753" t="s">
        <v>2277</v>
      </c>
      <c r="N1753" t="s">
        <v>2277</v>
      </c>
      <c r="O1753" s="190" t="str">
        <f t="shared" si="27"/>
        <v>[S06_InstallationsVerificationReportsIssueDetail][33][NumberOfIssues]</v>
      </c>
    </row>
    <row r="1754" spans="1:15" x14ac:dyDescent="0.3">
      <c r="A1754" t="s">
        <v>2278</v>
      </c>
      <c r="B1754" t="s">
        <v>1985</v>
      </c>
      <c r="C1754" t="s">
        <v>1987</v>
      </c>
      <c r="D1754">
        <v>34</v>
      </c>
      <c r="E1754" t="s">
        <v>1447</v>
      </c>
      <c r="F1754" t="s">
        <v>1972</v>
      </c>
      <c r="G1754" t="s">
        <v>1748</v>
      </c>
      <c r="H1754" t="s">
        <v>2277</v>
      </c>
      <c r="I1754">
        <v>3</v>
      </c>
      <c r="J1754" t="s">
        <v>2277</v>
      </c>
      <c r="K1754" t="s">
        <v>2277</v>
      </c>
      <c r="L1754" t="s">
        <v>2277</v>
      </c>
      <c r="M1754" t="s">
        <v>2277</v>
      </c>
      <c r="N1754" t="s">
        <v>2277</v>
      </c>
      <c r="O1754" s="190" t="str">
        <f t="shared" si="27"/>
        <v>[S06_InstallationsVerificationReportsIssueDetail][34][NumberOfIssues]</v>
      </c>
    </row>
    <row r="1755" spans="1:15" x14ac:dyDescent="0.3">
      <c r="A1755" t="s">
        <v>2278</v>
      </c>
      <c r="B1755" t="s">
        <v>1985</v>
      </c>
      <c r="C1755" t="s">
        <v>1987</v>
      </c>
      <c r="D1755">
        <v>35</v>
      </c>
      <c r="E1755" t="s">
        <v>1447</v>
      </c>
      <c r="F1755" t="s">
        <v>1972</v>
      </c>
      <c r="G1755" t="s">
        <v>1748</v>
      </c>
      <c r="H1755" t="s">
        <v>2277</v>
      </c>
      <c r="I1755">
        <v>1</v>
      </c>
      <c r="J1755" t="s">
        <v>2277</v>
      </c>
      <c r="K1755" t="s">
        <v>2277</v>
      </c>
      <c r="L1755" t="s">
        <v>2277</v>
      </c>
      <c r="M1755" t="s">
        <v>2277</v>
      </c>
      <c r="N1755" t="s">
        <v>2277</v>
      </c>
      <c r="O1755" s="190" t="str">
        <f t="shared" si="27"/>
        <v>[S06_InstallationsVerificationReportsIssueDetail][35][NumberOfIssues]</v>
      </c>
    </row>
    <row r="1756" spans="1:15" x14ac:dyDescent="0.3">
      <c r="A1756" t="s">
        <v>2278</v>
      </c>
      <c r="B1756" t="s">
        <v>1985</v>
      </c>
      <c r="C1756" t="s">
        <v>1987</v>
      </c>
      <c r="D1756">
        <v>1</v>
      </c>
      <c r="E1756" t="s">
        <v>1447</v>
      </c>
      <c r="F1756" t="s">
        <v>1990</v>
      </c>
      <c r="G1756" t="s">
        <v>1806</v>
      </c>
      <c r="H1756" t="s">
        <v>2277</v>
      </c>
      <c r="I1756" t="s">
        <v>2277</v>
      </c>
      <c r="J1756">
        <v>0</v>
      </c>
      <c r="K1756" t="s">
        <v>2277</v>
      </c>
      <c r="L1756" t="s">
        <v>2277</v>
      </c>
      <c r="M1756" t="s">
        <v>2277</v>
      </c>
      <c r="N1756" t="s">
        <v>2277</v>
      </c>
      <c r="O1756" s="190" t="str">
        <f t="shared" si="27"/>
        <v>[S06_InstallationsVerificationReportsIssueDetail][1][ShareOfReportsConservativeEstimate]</v>
      </c>
    </row>
    <row r="1757" spans="1:15" x14ac:dyDescent="0.3">
      <c r="A1757" t="s">
        <v>2278</v>
      </c>
      <c r="B1757" t="s">
        <v>1985</v>
      </c>
      <c r="C1757" t="s">
        <v>1987</v>
      </c>
      <c r="D1757">
        <v>2</v>
      </c>
      <c r="E1757" t="s">
        <v>1447</v>
      </c>
      <c r="F1757" t="s">
        <v>1990</v>
      </c>
      <c r="G1757" t="s">
        <v>1806</v>
      </c>
      <c r="H1757" t="s">
        <v>2277</v>
      </c>
      <c r="I1757" t="s">
        <v>2277</v>
      </c>
      <c r="J1757">
        <v>0</v>
      </c>
      <c r="K1757" t="s">
        <v>2277</v>
      </c>
      <c r="L1757" t="s">
        <v>2277</v>
      </c>
      <c r="M1757" t="s">
        <v>2277</v>
      </c>
      <c r="N1757" t="s">
        <v>2277</v>
      </c>
      <c r="O1757" s="190" t="str">
        <f t="shared" si="27"/>
        <v>[S06_InstallationsVerificationReportsIssueDetail][2][ShareOfReportsConservativeEstimate]</v>
      </c>
    </row>
    <row r="1758" spans="1:15" x14ac:dyDescent="0.3">
      <c r="A1758" t="s">
        <v>2278</v>
      </c>
      <c r="B1758" t="s">
        <v>1985</v>
      </c>
      <c r="C1758" t="s">
        <v>1987</v>
      </c>
      <c r="D1758">
        <v>3</v>
      </c>
      <c r="E1758" t="s">
        <v>1447</v>
      </c>
      <c r="F1758" t="s">
        <v>1990</v>
      </c>
      <c r="G1758" t="s">
        <v>1806</v>
      </c>
      <c r="H1758" t="s">
        <v>2277</v>
      </c>
      <c r="I1758" t="s">
        <v>2277</v>
      </c>
      <c r="J1758">
        <v>0</v>
      </c>
      <c r="K1758" t="s">
        <v>2277</v>
      </c>
      <c r="L1758" t="s">
        <v>2277</v>
      </c>
      <c r="M1758" t="s">
        <v>2277</v>
      </c>
      <c r="N1758" t="s">
        <v>2277</v>
      </c>
      <c r="O1758" s="190" t="str">
        <f t="shared" si="27"/>
        <v>[S06_InstallationsVerificationReportsIssueDetail][3][ShareOfReportsConservativeEstimate]</v>
      </c>
    </row>
    <row r="1759" spans="1:15" x14ac:dyDescent="0.3">
      <c r="A1759" t="s">
        <v>2278</v>
      </c>
      <c r="B1759" t="s">
        <v>1985</v>
      </c>
      <c r="C1759" t="s">
        <v>1987</v>
      </c>
      <c r="D1759">
        <v>4</v>
      </c>
      <c r="E1759" t="s">
        <v>1447</v>
      </c>
      <c r="F1759" t="s">
        <v>1990</v>
      </c>
      <c r="G1759" t="s">
        <v>1806</v>
      </c>
      <c r="H1759" t="s">
        <v>2277</v>
      </c>
      <c r="I1759" t="s">
        <v>2277</v>
      </c>
      <c r="J1759">
        <v>0</v>
      </c>
      <c r="K1759" t="s">
        <v>2277</v>
      </c>
      <c r="L1759" t="s">
        <v>2277</v>
      </c>
      <c r="M1759" t="s">
        <v>2277</v>
      </c>
      <c r="N1759" t="s">
        <v>2277</v>
      </c>
      <c r="O1759" s="190" t="str">
        <f t="shared" si="27"/>
        <v>[S06_InstallationsVerificationReportsIssueDetail][4][ShareOfReportsConservativeEstimate]</v>
      </c>
    </row>
    <row r="1760" spans="1:15" x14ac:dyDescent="0.3">
      <c r="A1760" t="s">
        <v>2278</v>
      </c>
      <c r="B1760" t="s">
        <v>1985</v>
      </c>
      <c r="C1760" t="s">
        <v>1987</v>
      </c>
      <c r="D1760">
        <v>5</v>
      </c>
      <c r="E1760" t="s">
        <v>1447</v>
      </c>
      <c r="F1760" t="s">
        <v>1990</v>
      </c>
      <c r="G1760" t="s">
        <v>1806</v>
      </c>
      <c r="H1760" t="s">
        <v>2277</v>
      </c>
      <c r="I1760" t="s">
        <v>2277</v>
      </c>
      <c r="J1760">
        <v>0</v>
      </c>
      <c r="K1760" t="s">
        <v>2277</v>
      </c>
      <c r="L1760" t="s">
        <v>2277</v>
      </c>
      <c r="M1760" t="s">
        <v>2277</v>
      </c>
      <c r="N1760" t="s">
        <v>2277</v>
      </c>
      <c r="O1760" s="190" t="str">
        <f t="shared" si="27"/>
        <v>[S06_InstallationsVerificationReportsIssueDetail][5][ShareOfReportsConservativeEstimate]</v>
      </c>
    </row>
    <row r="1761" spans="1:15" x14ac:dyDescent="0.3">
      <c r="A1761" t="s">
        <v>2278</v>
      </c>
      <c r="B1761" t="s">
        <v>1985</v>
      </c>
      <c r="C1761" t="s">
        <v>1987</v>
      </c>
      <c r="D1761">
        <v>6</v>
      </c>
      <c r="E1761" t="s">
        <v>1447</v>
      </c>
      <c r="F1761" t="s">
        <v>1990</v>
      </c>
      <c r="G1761" t="s">
        <v>1806</v>
      </c>
      <c r="H1761" t="s">
        <v>2277</v>
      </c>
      <c r="I1761" t="s">
        <v>2277</v>
      </c>
      <c r="J1761">
        <v>0</v>
      </c>
      <c r="K1761" t="s">
        <v>2277</v>
      </c>
      <c r="L1761" t="s">
        <v>2277</v>
      </c>
      <c r="M1761" t="s">
        <v>2277</v>
      </c>
      <c r="N1761" t="s">
        <v>2277</v>
      </c>
      <c r="O1761" s="190" t="str">
        <f t="shared" si="27"/>
        <v>[S06_InstallationsVerificationReportsIssueDetail][6][ShareOfReportsConservativeEstimate]</v>
      </c>
    </row>
    <row r="1762" spans="1:15" x14ac:dyDescent="0.3">
      <c r="A1762" t="s">
        <v>2278</v>
      </c>
      <c r="B1762" t="s">
        <v>1985</v>
      </c>
      <c r="C1762" t="s">
        <v>1987</v>
      </c>
      <c r="D1762">
        <v>7</v>
      </c>
      <c r="E1762" t="s">
        <v>1447</v>
      </c>
      <c r="F1762" t="s">
        <v>1990</v>
      </c>
      <c r="G1762" t="s">
        <v>1806</v>
      </c>
      <c r="H1762" t="s">
        <v>2277</v>
      </c>
      <c r="I1762" t="s">
        <v>2277</v>
      </c>
      <c r="J1762">
        <v>0</v>
      </c>
      <c r="K1762" t="s">
        <v>2277</v>
      </c>
      <c r="L1762" t="s">
        <v>2277</v>
      </c>
      <c r="M1762" t="s">
        <v>2277</v>
      </c>
      <c r="N1762" t="s">
        <v>2277</v>
      </c>
      <c r="O1762" s="190" t="str">
        <f t="shared" si="27"/>
        <v>[S06_InstallationsVerificationReportsIssueDetail][7][ShareOfReportsConservativeEstimate]</v>
      </c>
    </row>
    <row r="1763" spans="1:15" x14ac:dyDescent="0.3">
      <c r="A1763" t="s">
        <v>2278</v>
      </c>
      <c r="B1763" t="s">
        <v>1985</v>
      </c>
      <c r="C1763" t="s">
        <v>1987</v>
      </c>
      <c r="D1763">
        <v>8</v>
      </c>
      <c r="E1763" t="s">
        <v>1447</v>
      </c>
      <c r="F1763" t="s">
        <v>1990</v>
      </c>
      <c r="G1763" t="s">
        <v>1806</v>
      </c>
      <c r="H1763" t="s">
        <v>2277</v>
      </c>
      <c r="I1763" t="s">
        <v>2277</v>
      </c>
      <c r="J1763">
        <v>0</v>
      </c>
      <c r="K1763" t="s">
        <v>2277</v>
      </c>
      <c r="L1763" t="s">
        <v>2277</v>
      </c>
      <c r="M1763" t="s">
        <v>2277</v>
      </c>
      <c r="N1763" t="s">
        <v>2277</v>
      </c>
      <c r="O1763" s="190" t="str">
        <f t="shared" si="27"/>
        <v>[S06_InstallationsVerificationReportsIssueDetail][8][ShareOfReportsConservativeEstimate]</v>
      </c>
    </row>
    <row r="1764" spans="1:15" x14ac:dyDescent="0.3">
      <c r="A1764" t="s">
        <v>2278</v>
      </c>
      <c r="B1764" t="s">
        <v>1985</v>
      </c>
      <c r="C1764" t="s">
        <v>1987</v>
      </c>
      <c r="D1764">
        <v>9</v>
      </c>
      <c r="E1764" t="s">
        <v>1447</v>
      </c>
      <c r="F1764" t="s">
        <v>1990</v>
      </c>
      <c r="G1764" t="s">
        <v>1806</v>
      </c>
      <c r="H1764" t="s">
        <v>2277</v>
      </c>
      <c r="I1764" t="s">
        <v>2277</v>
      </c>
      <c r="J1764">
        <v>0</v>
      </c>
      <c r="K1764" t="s">
        <v>2277</v>
      </c>
      <c r="L1764" t="s">
        <v>2277</v>
      </c>
      <c r="M1764" t="s">
        <v>2277</v>
      </c>
      <c r="N1764" t="s">
        <v>2277</v>
      </c>
      <c r="O1764" s="190" t="str">
        <f t="shared" si="27"/>
        <v>[S06_InstallationsVerificationReportsIssueDetail][9][ShareOfReportsConservativeEstimate]</v>
      </c>
    </row>
    <row r="1765" spans="1:15" x14ac:dyDescent="0.3">
      <c r="A1765" t="s">
        <v>2278</v>
      </c>
      <c r="B1765" t="s">
        <v>1985</v>
      </c>
      <c r="C1765" t="s">
        <v>1987</v>
      </c>
      <c r="D1765">
        <v>10</v>
      </c>
      <c r="E1765" t="s">
        <v>1447</v>
      </c>
      <c r="F1765" t="s">
        <v>1990</v>
      </c>
      <c r="G1765" t="s">
        <v>1806</v>
      </c>
      <c r="H1765" t="s">
        <v>2277</v>
      </c>
      <c r="I1765" t="s">
        <v>2277</v>
      </c>
      <c r="J1765">
        <v>0</v>
      </c>
      <c r="K1765" t="s">
        <v>2277</v>
      </c>
      <c r="L1765" t="s">
        <v>2277</v>
      </c>
      <c r="M1765" t="s">
        <v>2277</v>
      </c>
      <c r="N1765" t="s">
        <v>2277</v>
      </c>
      <c r="O1765" s="190" t="str">
        <f t="shared" si="27"/>
        <v>[S06_InstallationsVerificationReportsIssueDetail][10][ShareOfReportsConservativeEstimate]</v>
      </c>
    </row>
    <row r="1766" spans="1:15" x14ac:dyDescent="0.3">
      <c r="A1766" t="s">
        <v>2278</v>
      </c>
      <c r="B1766" t="s">
        <v>1985</v>
      </c>
      <c r="C1766" t="s">
        <v>1987</v>
      </c>
      <c r="D1766">
        <v>11</v>
      </c>
      <c r="E1766" t="s">
        <v>1447</v>
      </c>
      <c r="F1766" t="s">
        <v>1990</v>
      </c>
      <c r="G1766" t="s">
        <v>1806</v>
      </c>
      <c r="H1766" t="s">
        <v>2277</v>
      </c>
      <c r="I1766" t="s">
        <v>2277</v>
      </c>
      <c r="J1766">
        <v>0</v>
      </c>
      <c r="K1766" t="s">
        <v>2277</v>
      </c>
      <c r="L1766" t="s">
        <v>2277</v>
      </c>
      <c r="M1766" t="s">
        <v>2277</v>
      </c>
      <c r="N1766" t="s">
        <v>2277</v>
      </c>
      <c r="O1766" s="190" t="str">
        <f t="shared" si="27"/>
        <v>[S06_InstallationsVerificationReportsIssueDetail][11][ShareOfReportsConservativeEstimate]</v>
      </c>
    </row>
    <row r="1767" spans="1:15" x14ac:dyDescent="0.3">
      <c r="A1767" t="s">
        <v>2278</v>
      </c>
      <c r="B1767" t="s">
        <v>1985</v>
      </c>
      <c r="C1767" t="s">
        <v>1987</v>
      </c>
      <c r="D1767">
        <v>12</v>
      </c>
      <c r="E1767" t="s">
        <v>1447</v>
      </c>
      <c r="F1767" t="s">
        <v>1990</v>
      </c>
      <c r="G1767" t="s">
        <v>1806</v>
      </c>
      <c r="H1767" t="s">
        <v>2277</v>
      </c>
      <c r="I1767" t="s">
        <v>2277</v>
      </c>
      <c r="J1767">
        <v>0</v>
      </c>
      <c r="K1767" t="s">
        <v>2277</v>
      </c>
      <c r="L1767" t="s">
        <v>2277</v>
      </c>
      <c r="M1767" t="s">
        <v>2277</v>
      </c>
      <c r="N1767" t="s">
        <v>2277</v>
      </c>
      <c r="O1767" s="190" t="str">
        <f t="shared" si="27"/>
        <v>[S06_InstallationsVerificationReportsIssueDetail][12][ShareOfReportsConservativeEstimate]</v>
      </c>
    </row>
    <row r="1768" spans="1:15" x14ac:dyDescent="0.3">
      <c r="A1768" t="s">
        <v>2278</v>
      </c>
      <c r="B1768" t="s">
        <v>1985</v>
      </c>
      <c r="C1768" t="s">
        <v>1987</v>
      </c>
      <c r="D1768">
        <v>13</v>
      </c>
      <c r="E1768" t="s">
        <v>1447</v>
      </c>
      <c r="F1768" t="s">
        <v>1990</v>
      </c>
      <c r="G1768" t="s">
        <v>1806</v>
      </c>
      <c r="H1768" t="s">
        <v>2277</v>
      </c>
      <c r="I1768" t="s">
        <v>2277</v>
      </c>
      <c r="J1768">
        <v>0</v>
      </c>
      <c r="K1768" t="s">
        <v>2277</v>
      </c>
      <c r="L1768" t="s">
        <v>2277</v>
      </c>
      <c r="M1768" t="s">
        <v>2277</v>
      </c>
      <c r="N1768" t="s">
        <v>2277</v>
      </c>
      <c r="O1768" s="190" t="str">
        <f t="shared" si="27"/>
        <v>[S06_InstallationsVerificationReportsIssueDetail][13][ShareOfReportsConservativeEstimate]</v>
      </c>
    </row>
    <row r="1769" spans="1:15" x14ac:dyDescent="0.3">
      <c r="A1769" t="s">
        <v>2278</v>
      </c>
      <c r="B1769" t="s">
        <v>1985</v>
      </c>
      <c r="C1769" t="s">
        <v>1987</v>
      </c>
      <c r="D1769">
        <v>14</v>
      </c>
      <c r="E1769" t="s">
        <v>1447</v>
      </c>
      <c r="F1769" t="s">
        <v>1990</v>
      </c>
      <c r="G1769" t="s">
        <v>1806</v>
      </c>
      <c r="H1769" t="s">
        <v>2277</v>
      </c>
      <c r="I1769" t="s">
        <v>2277</v>
      </c>
      <c r="J1769">
        <v>0</v>
      </c>
      <c r="K1769" t="s">
        <v>2277</v>
      </c>
      <c r="L1769" t="s">
        <v>2277</v>
      </c>
      <c r="M1769" t="s">
        <v>2277</v>
      </c>
      <c r="N1769" t="s">
        <v>2277</v>
      </c>
      <c r="O1769" s="190" t="str">
        <f t="shared" si="27"/>
        <v>[S06_InstallationsVerificationReportsIssueDetail][14][ShareOfReportsConservativeEstimate]</v>
      </c>
    </row>
    <row r="1770" spans="1:15" x14ac:dyDescent="0.3">
      <c r="A1770" t="s">
        <v>2278</v>
      </c>
      <c r="B1770" t="s">
        <v>1985</v>
      </c>
      <c r="C1770" t="s">
        <v>1987</v>
      </c>
      <c r="D1770">
        <v>15</v>
      </c>
      <c r="E1770" t="s">
        <v>1447</v>
      </c>
      <c r="F1770" t="s">
        <v>1990</v>
      </c>
      <c r="G1770" t="s">
        <v>1806</v>
      </c>
      <c r="H1770" t="s">
        <v>2277</v>
      </c>
      <c r="I1770" t="s">
        <v>2277</v>
      </c>
      <c r="J1770">
        <v>0</v>
      </c>
      <c r="K1770" t="s">
        <v>2277</v>
      </c>
      <c r="L1770" t="s">
        <v>2277</v>
      </c>
      <c r="M1770" t="s">
        <v>2277</v>
      </c>
      <c r="N1770" t="s">
        <v>2277</v>
      </c>
      <c r="O1770" s="190" t="str">
        <f t="shared" si="27"/>
        <v>[S06_InstallationsVerificationReportsIssueDetail][15][ShareOfReportsConservativeEstimate]</v>
      </c>
    </row>
    <row r="1771" spans="1:15" x14ac:dyDescent="0.3">
      <c r="A1771" t="s">
        <v>2278</v>
      </c>
      <c r="B1771" t="s">
        <v>1985</v>
      </c>
      <c r="C1771" t="s">
        <v>1987</v>
      </c>
      <c r="D1771">
        <v>16</v>
      </c>
      <c r="E1771" t="s">
        <v>1447</v>
      </c>
      <c r="F1771" t="s">
        <v>1990</v>
      </c>
      <c r="G1771" t="s">
        <v>1806</v>
      </c>
      <c r="H1771" t="s">
        <v>2277</v>
      </c>
      <c r="I1771" t="s">
        <v>2277</v>
      </c>
      <c r="J1771">
        <v>0</v>
      </c>
      <c r="K1771" t="s">
        <v>2277</v>
      </c>
      <c r="L1771" t="s">
        <v>2277</v>
      </c>
      <c r="M1771" t="s">
        <v>2277</v>
      </c>
      <c r="N1771" t="s">
        <v>2277</v>
      </c>
      <c r="O1771" s="190" t="str">
        <f t="shared" si="27"/>
        <v>[S06_InstallationsVerificationReportsIssueDetail][16][ShareOfReportsConservativeEstimate]</v>
      </c>
    </row>
    <row r="1772" spans="1:15" x14ac:dyDescent="0.3">
      <c r="A1772" t="s">
        <v>2278</v>
      </c>
      <c r="B1772" t="s">
        <v>1985</v>
      </c>
      <c r="C1772" t="s">
        <v>1987</v>
      </c>
      <c r="D1772">
        <v>17</v>
      </c>
      <c r="E1772" t="s">
        <v>1447</v>
      </c>
      <c r="F1772" t="s">
        <v>1990</v>
      </c>
      <c r="G1772" t="s">
        <v>1806</v>
      </c>
      <c r="H1772" t="s">
        <v>2277</v>
      </c>
      <c r="I1772" t="s">
        <v>2277</v>
      </c>
      <c r="J1772">
        <v>0</v>
      </c>
      <c r="K1772" t="s">
        <v>2277</v>
      </c>
      <c r="L1772" t="s">
        <v>2277</v>
      </c>
      <c r="M1772" t="s">
        <v>2277</v>
      </c>
      <c r="N1772" t="s">
        <v>2277</v>
      </c>
      <c r="O1772" s="190" t="str">
        <f t="shared" si="27"/>
        <v>[S06_InstallationsVerificationReportsIssueDetail][17][ShareOfReportsConservativeEstimate]</v>
      </c>
    </row>
    <row r="1773" spans="1:15" x14ac:dyDescent="0.3">
      <c r="A1773" t="s">
        <v>2278</v>
      </c>
      <c r="B1773" t="s">
        <v>1985</v>
      </c>
      <c r="C1773" t="s">
        <v>1987</v>
      </c>
      <c r="D1773">
        <v>18</v>
      </c>
      <c r="E1773" t="s">
        <v>1447</v>
      </c>
      <c r="F1773" t="s">
        <v>1990</v>
      </c>
      <c r="G1773" t="s">
        <v>1806</v>
      </c>
      <c r="H1773" t="s">
        <v>2277</v>
      </c>
      <c r="I1773" t="s">
        <v>2277</v>
      </c>
      <c r="J1773">
        <v>0</v>
      </c>
      <c r="K1773" t="s">
        <v>2277</v>
      </c>
      <c r="L1773" t="s">
        <v>2277</v>
      </c>
      <c r="M1773" t="s">
        <v>2277</v>
      </c>
      <c r="N1773" t="s">
        <v>2277</v>
      </c>
      <c r="O1773" s="190" t="str">
        <f t="shared" si="27"/>
        <v>[S06_InstallationsVerificationReportsIssueDetail][18][ShareOfReportsConservativeEstimate]</v>
      </c>
    </row>
    <row r="1774" spans="1:15" x14ac:dyDescent="0.3">
      <c r="A1774" t="s">
        <v>2278</v>
      </c>
      <c r="B1774" t="s">
        <v>1985</v>
      </c>
      <c r="C1774" t="s">
        <v>1987</v>
      </c>
      <c r="D1774">
        <v>19</v>
      </c>
      <c r="E1774" t="s">
        <v>1447</v>
      </c>
      <c r="F1774" t="s">
        <v>1990</v>
      </c>
      <c r="G1774" t="s">
        <v>1806</v>
      </c>
      <c r="H1774" t="s">
        <v>2277</v>
      </c>
      <c r="I1774" t="s">
        <v>2277</v>
      </c>
      <c r="J1774">
        <v>0</v>
      </c>
      <c r="K1774" t="s">
        <v>2277</v>
      </c>
      <c r="L1774" t="s">
        <v>2277</v>
      </c>
      <c r="M1774" t="s">
        <v>2277</v>
      </c>
      <c r="N1774" t="s">
        <v>2277</v>
      </c>
      <c r="O1774" s="190" t="str">
        <f t="shared" si="27"/>
        <v>[S06_InstallationsVerificationReportsIssueDetail][19][ShareOfReportsConservativeEstimate]</v>
      </c>
    </row>
    <row r="1775" spans="1:15" x14ac:dyDescent="0.3">
      <c r="A1775" t="s">
        <v>2278</v>
      </c>
      <c r="B1775" t="s">
        <v>1985</v>
      </c>
      <c r="C1775" t="s">
        <v>1987</v>
      </c>
      <c r="D1775">
        <v>20</v>
      </c>
      <c r="E1775" t="s">
        <v>1447</v>
      </c>
      <c r="F1775" t="s">
        <v>1990</v>
      </c>
      <c r="G1775" t="s">
        <v>1806</v>
      </c>
      <c r="H1775" t="s">
        <v>2277</v>
      </c>
      <c r="I1775" t="s">
        <v>2277</v>
      </c>
      <c r="J1775">
        <v>0</v>
      </c>
      <c r="K1775" t="s">
        <v>2277</v>
      </c>
      <c r="L1775" t="s">
        <v>2277</v>
      </c>
      <c r="M1775" t="s">
        <v>2277</v>
      </c>
      <c r="N1775" t="s">
        <v>2277</v>
      </c>
      <c r="O1775" s="190" t="str">
        <f t="shared" si="27"/>
        <v>[S06_InstallationsVerificationReportsIssueDetail][20][ShareOfReportsConservativeEstimate]</v>
      </c>
    </row>
    <row r="1776" spans="1:15" x14ac:dyDescent="0.3">
      <c r="A1776" t="s">
        <v>2278</v>
      </c>
      <c r="B1776" t="s">
        <v>1985</v>
      </c>
      <c r="C1776" t="s">
        <v>1987</v>
      </c>
      <c r="D1776">
        <v>21</v>
      </c>
      <c r="E1776" t="s">
        <v>1447</v>
      </c>
      <c r="F1776" t="s">
        <v>1990</v>
      </c>
      <c r="G1776" t="s">
        <v>1806</v>
      </c>
      <c r="H1776" t="s">
        <v>2277</v>
      </c>
      <c r="I1776" t="s">
        <v>2277</v>
      </c>
      <c r="J1776">
        <v>0</v>
      </c>
      <c r="K1776" t="s">
        <v>2277</v>
      </c>
      <c r="L1776" t="s">
        <v>2277</v>
      </c>
      <c r="M1776" t="s">
        <v>2277</v>
      </c>
      <c r="N1776" t="s">
        <v>2277</v>
      </c>
      <c r="O1776" s="190" t="str">
        <f t="shared" si="27"/>
        <v>[S06_InstallationsVerificationReportsIssueDetail][21][ShareOfReportsConservativeEstimate]</v>
      </c>
    </row>
    <row r="1777" spans="1:15" x14ac:dyDescent="0.3">
      <c r="A1777" t="s">
        <v>2278</v>
      </c>
      <c r="B1777" t="s">
        <v>1985</v>
      </c>
      <c r="C1777" t="s">
        <v>1987</v>
      </c>
      <c r="D1777">
        <v>22</v>
      </c>
      <c r="E1777" t="s">
        <v>1447</v>
      </c>
      <c r="F1777" t="s">
        <v>1990</v>
      </c>
      <c r="G1777" t="s">
        <v>1806</v>
      </c>
      <c r="H1777" t="s">
        <v>2277</v>
      </c>
      <c r="I1777" t="s">
        <v>2277</v>
      </c>
      <c r="J1777">
        <v>0</v>
      </c>
      <c r="K1777" t="s">
        <v>2277</v>
      </c>
      <c r="L1777" t="s">
        <v>2277</v>
      </c>
      <c r="M1777" t="s">
        <v>2277</v>
      </c>
      <c r="N1777" t="s">
        <v>2277</v>
      </c>
      <c r="O1777" s="190" t="str">
        <f t="shared" si="27"/>
        <v>[S06_InstallationsVerificationReportsIssueDetail][22][ShareOfReportsConservativeEstimate]</v>
      </c>
    </row>
    <row r="1778" spans="1:15" x14ac:dyDescent="0.3">
      <c r="A1778" t="s">
        <v>2278</v>
      </c>
      <c r="B1778" t="s">
        <v>1985</v>
      </c>
      <c r="C1778" t="s">
        <v>1987</v>
      </c>
      <c r="D1778">
        <v>23</v>
      </c>
      <c r="E1778" t="s">
        <v>1447</v>
      </c>
      <c r="F1778" t="s">
        <v>1990</v>
      </c>
      <c r="G1778" t="s">
        <v>1806</v>
      </c>
      <c r="H1778" t="s">
        <v>2277</v>
      </c>
      <c r="I1778" t="s">
        <v>2277</v>
      </c>
      <c r="J1778">
        <v>0</v>
      </c>
      <c r="K1778" t="s">
        <v>2277</v>
      </c>
      <c r="L1778" t="s">
        <v>2277</v>
      </c>
      <c r="M1778" t="s">
        <v>2277</v>
      </c>
      <c r="N1778" t="s">
        <v>2277</v>
      </c>
      <c r="O1778" s="190" t="str">
        <f t="shared" si="27"/>
        <v>[S06_InstallationsVerificationReportsIssueDetail][23][ShareOfReportsConservativeEstimate]</v>
      </c>
    </row>
    <row r="1779" spans="1:15" x14ac:dyDescent="0.3">
      <c r="A1779" t="s">
        <v>2278</v>
      </c>
      <c r="B1779" t="s">
        <v>1985</v>
      </c>
      <c r="C1779" t="s">
        <v>1987</v>
      </c>
      <c r="D1779">
        <v>24</v>
      </c>
      <c r="E1779" t="s">
        <v>1447</v>
      </c>
      <c r="F1779" t="s">
        <v>1990</v>
      </c>
      <c r="G1779" t="s">
        <v>1806</v>
      </c>
      <c r="H1779" t="s">
        <v>2277</v>
      </c>
      <c r="I1779" t="s">
        <v>2277</v>
      </c>
      <c r="J1779">
        <v>0</v>
      </c>
      <c r="K1779" t="s">
        <v>2277</v>
      </c>
      <c r="L1779" t="s">
        <v>2277</v>
      </c>
      <c r="M1779" t="s">
        <v>2277</v>
      </c>
      <c r="N1779" t="s">
        <v>2277</v>
      </c>
      <c r="O1779" s="190" t="str">
        <f t="shared" si="27"/>
        <v>[S06_InstallationsVerificationReportsIssueDetail][24][ShareOfReportsConservativeEstimate]</v>
      </c>
    </row>
    <row r="1780" spans="1:15" x14ac:dyDescent="0.3">
      <c r="A1780" t="s">
        <v>2278</v>
      </c>
      <c r="B1780" t="s">
        <v>1985</v>
      </c>
      <c r="C1780" t="s">
        <v>1987</v>
      </c>
      <c r="D1780">
        <v>25</v>
      </c>
      <c r="E1780" t="s">
        <v>1447</v>
      </c>
      <c r="F1780" t="s">
        <v>1990</v>
      </c>
      <c r="G1780" t="s">
        <v>1806</v>
      </c>
      <c r="H1780" t="s">
        <v>2277</v>
      </c>
      <c r="I1780" t="s">
        <v>2277</v>
      </c>
      <c r="J1780">
        <v>0</v>
      </c>
      <c r="K1780" t="s">
        <v>2277</v>
      </c>
      <c r="L1780" t="s">
        <v>2277</v>
      </c>
      <c r="M1780" t="s">
        <v>2277</v>
      </c>
      <c r="N1780" t="s">
        <v>2277</v>
      </c>
      <c r="O1780" s="190" t="str">
        <f t="shared" si="27"/>
        <v>[S06_InstallationsVerificationReportsIssueDetail][25][ShareOfReportsConservativeEstimate]</v>
      </c>
    </row>
    <row r="1781" spans="1:15" x14ac:dyDescent="0.3">
      <c r="A1781" t="s">
        <v>2278</v>
      </c>
      <c r="B1781" t="s">
        <v>1985</v>
      </c>
      <c r="C1781" t="s">
        <v>1987</v>
      </c>
      <c r="D1781">
        <v>26</v>
      </c>
      <c r="E1781" t="s">
        <v>1447</v>
      </c>
      <c r="F1781" t="s">
        <v>1990</v>
      </c>
      <c r="G1781" t="s">
        <v>1806</v>
      </c>
      <c r="H1781" t="s">
        <v>2277</v>
      </c>
      <c r="I1781" t="s">
        <v>2277</v>
      </c>
      <c r="J1781">
        <v>0</v>
      </c>
      <c r="K1781" t="s">
        <v>2277</v>
      </c>
      <c r="L1781" t="s">
        <v>2277</v>
      </c>
      <c r="M1781" t="s">
        <v>2277</v>
      </c>
      <c r="N1781" t="s">
        <v>2277</v>
      </c>
      <c r="O1781" s="190" t="str">
        <f t="shared" si="27"/>
        <v>[S06_InstallationsVerificationReportsIssueDetail][26][ShareOfReportsConservativeEstimate]</v>
      </c>
    </row>
    <row r="1782" spans="1:15" x14ac:dyDescent="0.3">
      <c r="A1782" t="s">
        <v>2278</v>
      </c>
      <c r="B1782" t="s">
        <v>1985</v>
      </c>
      <c r="C1782" t="s">
        <v>1987</v>
      </c>
      <c r="D1782">
        <v>27</v>
      </c>
      <c r="E1782" t="s">
        <v>1447</v>
      </c>
      <c r="F1782" t="s">
        <v>1990</v>
      </c>
      <c r="G1782" t="s">
        <v>1806</v>
      </c>
      <c r="H1782" t="s">
        <v>2277</v>
      </c>
      <c r="I1782" t="s">
        <v>2277</v>
      </c>
      <c r="J1782">
        <v>0</v>
      </c>
      <c r="K1782" t="s">
        <v>2277</v>
      </c>
      <c r="L1782" t="s">
        <v>2277</v>
      </c>
      <c r="M1782" t="s">
        <v>2277</v>
      </c>
      <c r="N1782" t="s">
        <v>2277</v>
      </c>
      <c r="O1782" s="190" t="str">
        <f t="shared" si="27"/>
        <v>[S06_InstallationsVerificationReportsIssueDetail][27][ShareOfReportsConservativeEstimate]</v>
      </c>
    </row>
    <row r="1783" spans="1:15" x14ac:dyDescent="0.3">
      <c r="A1783" t="s">
        <v>2278</v>
      </c>
      <c r="B1783" t="s">
        <v>1985</v>
      </c>
      <c r="C1783" t="s">
        <v>1987</v>
      </c>
      <c r="D1783">
        <v>28</v>
      </c>
      <c r="E1783" t="s">
        <v>1447</v>
      </c>
      <c r="F1783" t="s">
        <v>1990</v>
      </c>
      <c r="G1783" t="s">
        <v>1806</v>
      </c>
      <c r="H1783" t="s">
        <v>2277</v>
      </c>
      <c r="I1783" t="s">
        <v>2277</v>
      </c>
      <c r="J1783">
        <v>0</v>
      </c>
      <c r="K1783" t="s">
        <v>2277</v>
      </c>
      <c r="L1783" t="s">
        <v>2277</v>
      </c>
      <c r="M1783" t="s">
        <v>2277</v>
      </c>
      <c r="N1783" t="s">
        <v>2277</v>
      </c>
      <c r="O1783" s="190" t="str">
        <f t="shared" si="27"/>
        <v>[S06_InstallationsVerificationReportsIssueDetail][28][ShareOfReportsConservativeEstimate]</v>
      </c>
    </row>
    <row r="1784" spans="1:15" x14ac:dyDescent="0.3">
      <c r="A1784" t="s">
        <v>2278</v>
      </c>
      <c r="B1784" t="s">
        <v>1985</v>
      </c>
      <c r="C1784" t="s">
        <v>1987</v>
      </c>
      <c r="D1784">
        <v>29</v>
      </c>
      <c r="E1784" t="s">
        <v>1447</v>
      </c>
      <c r="F1784" t="s">
        <v>1990</v>
      </c>
      <c r="G1784" t="s">
        <v>1806</v>
      </c>
      <c r="H1784" t="s">
        <v>2277</v>
      </c>
      <c r="I1784" t="s">
        <v>2277</v>
      </c>
      <c r="J1784">
        <v>0</v>
      </c>
      <c r="K1784" t="s">
        <v>2277</v>
      </c>
      <c r="L1784" t="s">
        <v>2277</v>
      </c>
      <c r="M1784" t="s">
        <v>2277</v>
      </c>
      <c r="N1784" t="s">
        <v>2277</v>
      </c>
      <c r="O1784" s="190" t="str">
        <f t="shared" si="27"/>
        <v>[S06_InstallationsVerificationReportsIssueDetail][29][ShareOfReportsConservativeEstimate]</v>
      </c>
    </row>
    <row r="1785" spans="1:15" x14ac:dyDescent="0.3">
      <c r="A1785" t="s">
        <v>2278</v>
      </c>
      <c r="B1785" t="s">
        <v>1985</v>
      </c>
      <c r="C1785" t="s">
        <v>1987</v>
      </c>
      <c r="D1785">
        <v>30</v>
      </c>
      <c r="E1785" t="s">
        <v>1447</v>
      </c>
      <c r="F1785" t="s">
        <v>1990</v>
      </c>
      <c r="G1785" t="s">
        <v>1806</v>
      </c>
      <c r="H1785" t="s">
        <v>2277</v>
      </c>
      <c r="I1785" t="s">
        <v>2277</v>
      </c>
      <c r="J1785">
        <v>0</v>
      </c>
      <c r="K1785" t="s">
        <v>2277</v>
      </c>
      <c r="L1785" t="s">
        <v>2277</v>
      </c>
      <c r="M1785" t="s">
        <v>2277</v>
      </c>
      <c r="N1785" t="s">
        <v>2277</v>
      </c>
      <c r="O1785" s="190" t="str">
        <f t="shared" si="27"/>
        <v>[S06_InstallationsVerificationReportsIssueDetail][30][ShareOfReportsConservativeEstimate]</v>
      </c>
    </row>
    <row r="1786" spans="1:15" x14ac:dyDescent="0.3">
      <c r="A1786" t="s">
        <v>2278</v>
      </c>
      <c r="B1786" t="s">
        <v>1985</v>
      </c>
      <c r="C1786" t="s">
        <v>1987</v>
      </c>
      <c r="D1786">
        <v>31</v>
      </c>
      <c r="E1786" t="s">
        <v>1447</v>
      </c>
      <c r="F1786" t="s">
        <v>1990</v>
      </c>
      <c r="G1786" t="s">
        <v>1806</v>
      </c>
      <c r="H1786" t="s">
        <v>2277</v>
      </c>
      <c r="I1786" t="s">
        <v>2277</v>
      </c>
      <c r="J1786">
        <v>0</v>
      </c>
      <c r="K1786" t="s">
        <v>2277</v>
      </c>
      <c r="L1786" t="s">
        <v>2277</v>
      </c>
      <c r="M1786" t="s">
        <v>2277</v>
      </c>
      <c r="N1786" t="s">
        <v>2277</v>
      </c>
      <c r="O1786" s="190" t="str">
        <f t="shared" si="27"/>
        <v>[S06_InstallationsVerificationReportsIssueDetail][31][ShareOfReportsConservativeEstimate]</v>
      </c>
    </row>
    <row r="1787" spans="1:15" x14ac:dyDescent="0.3">
      <c r="A1787" t="s">
        <v>2278</v>
      </c>
      <c r="B1787" t="s">
        <v>1985</v>
      </c>
      <c r="C1787" t="s">
        <v>1987</v>
      </c>
      <c r="D1787">
        <v>32</v>
      </c>
      <c r="E1787" t="s">
        <v>1447</v>
      </c>
      <c r="F1787" t="s">
        <v>1990</v>
      </c>
      <c r="G1787" t="s">
        <v>1806</v>
      </c>
      <c r="H1787" t="s">
        <v>2277</v>
      </c>
      <c r="I1787" t="s">
        <v>2277</v>
      </c>
      <c r="J1787">
        <v>0</v>
      </c>
      <c r="K1787" t="s">
        <v>2277</v>
      </c>
      <c r="L1787" t="s">
        <v>2277</v>
      </c>
      <c r="M1787" t="s">
        <v>2277</v>
      </c>
      <c r="N1787" t="s">
        <v>2277</v>
      </c>
      <c r="O1787" s="190" t="str">
        <f t="shared" si="27"/>
        <v>[S06_InstallationsVerificationReportsIssueDetail][32][ShareOfReportsConservativeEstimate]</v>
      </c>
    </row>
    <row r="1788" spans="1:15" x14ac:dyDescent="0.3">
      <c r="A1788" t="s">
        <v>2278</v>
      </c>
      <c r="B1788" t="s">
        <v>1985</v>
      </c>
      <c r="C1788" t="s">
        <v>1987</v>
      </c>
      <c r="D1788">
        <v>33</v>
      </c>
      <c r="E1788" t="s">
        <v>1447</v>
      </c>
      <c r="F1788" t="s">
        <v>1990</v>
      </c>
      <c r="G1788" t="s">
        <v>1806</v>
      </c>
      <c r="H1788" t="s">
        <v>2277</v>
      </c>
      <c r="I1788" t="s">
        <v>2277</v>
      </c>
      <c r="J1788">
        <v>0</v>
      </c>
      <c r="K1788" t="s">
        <v>2277</v>
      </c>
      <c r="L1788" t="s">
        <v>2277</v>
      </c>
      <c r="M1788" t="s">
        <v>2277</v>
      </c>
      <c r="N1788" t="s">
        <v>2277</v>
      </c>
      <c r="O1788" s="190" t="str">
        <f t="shared" si="27"/>
        <v>[S06_InstallationsVerificationReportsIssueDetail][33][ShareOfReportsConservativeEstimate]</v>
      </c>
    </row>
    <row r="1789" spans="1:15" x14ac:dyDescent="0.3">
      <c r="A1789" t="s">
        <v>2278</v>
      </c>
      <c r="B1789" t="s">
        <v>1985</v>
      </c>
      <c r="C1789" t="s">
        <v>1987</v>
      </c>
      <c r="D1789">
        <v>34</v>
      </c>
      <c r="E1789" t="s">
        <v>1447</v>
      </c>
      <c r="F1789" t="s">
        <v>1990</v>
      </c>
      <c r="G1789" t="s">
        <v>1806</v>
      </c>
      <c r="H1789" t="s">
        <v>2277</v>
      </c>
      <c r="I1789" t="s">
        <v>2277</v>
      </c>
      <c r="J1789">
        <v>0</v>
      </c>
      <c r="K1789" t="s">
        <v>2277</v>
      </c>
      <c r="L1789" t="s">
        <v>2277</v>
      </c>
      <c r="M1789" t="s">
        <v>2277</v>
      </c>
      <c r="N1789" t="s">
        <v>2277</v>
      </c>
      <c r="O1789" s="190" t="str">
        <f t="shared" si="27"/>
        <v>[S06_InstallationsVerificationReportsIssueDetail][34][ShareOfReportsConservativeEstimate]</v>
      </c>
    </row>
    <row r="1790" spans="1:15" x14ac:dyDescent="0.3">
      <c r="A1790" t="s">
        <v>2278</v>
      </c>
      <c r="B1790" t="s">
        <v>1985</v>
      </c>
      <c r="C1790" t="s">
        <v>1987</v>
      </c>
      <c r="D1790">
        <v>35</v>
      </c>
      <c r="E1790" t="s">
        <v>1447</v>
      </c>
      <c r="F1790" t="s">
        <v>1990</v>
      </c>
      <c r="G1790" t="s">
        <v>1806</v>
      </c>
      <c r="H1790" t="s">
        <v>2277</v>
      </c>
      <c r="I1790" t="s">
        <v>2277</v>
      </c>
      <c r="J1790">
        <v>0</v>
      </c>
      <c r="K1790" t="s">
        <v>2277</v>
      </c>
      <c r="L1790" t="s">
        <v>2277</v>
      </c>
      <c r="M1790" t="s">
        <v>2277</v>
      </c>
      <c r="N1790" t="s">
        <v>2277</v>
      </c>
      <c r="O1790" s="190" t="str">
        <f t="shared" si="27"/>
        <v>[S06_InstallationsVerificationReportsIssueDetail][35][ShareOfReportsConservativeEstimate]</v>
      </c>
    </row>
    <row r="1791" spans="1:15" x14ac:dyDescent="0.3">
      <c r="A1791" t="s">
        <v>2278</v>
      </c>
      <c r="B1791" t="s">
        <v>1991</v>
      </c>
      <c r="C1791" t="s">
        <v>1992</v>
      </c>
      <c r="D1791">
        <v>0</v>
      </c>
      <c r="E1791" t="s">
        <v>1447</v>
      </c>
      <c r="F1791" t="s">
        <v>1992</v>
      </c>
      <c r="G1791" t="s">
        <v>1759</v>
      </c>
      <c r="H1791" t="s">
        <v>2277</v>
      </c>
      <c r="I1791" t="s">
        <v>2277</v>
      </c>
      <c r="J1791" t="s">
        <v>2277</v>
      </c>
      <c r="K1791" t="s">
        <v>2277</v>
      </c>
      <c r="L1791" t="s">
        <v>1419</v>
      </c>
      <c r="M1791" t="s">
        <v>2277</v>
      </c>
      <c r="N1791" t="s">
        <v>2277</v>
      </c>
      <c r="O1791" s="190" t="str">
        <f t="shared" si="27"/>
        <v>[InstallationsVerificationReportChecks][0][InstallationsVerificationReportChecks]</v>
      </c>
    </row>
    <row r="1792" spans="1:15" x14ac:dyDescent="0.3">
      <c r="A1792" t="s">
        <v>2278</v>
      </c>
      <c r="B1792" t="s">
        <v>1991</v>
      </c>
      <c r="C1792" t="s">
        <v>1993</v>
      </c>
      <c r="D1792">
        <v>1</v>
      </c>
      <c r="E1792" t="s">
        <v>1447</v>
      </c>
      <c r="F1792" t="s">
        <v>1994</v>
      </c>
      <c r="G1792" t="s">
        <v>1806</v>
      </c>
      <c r="H1792" t="s">
        <v>2277</v>
      </c>
      <c r="I1792" t="s">
        <v>2277</v>
      </c>
      <c r="J1792">
        <v>1</v>
      </c>
      <c r="K1792" t="s">
        <v>2277</v>
      </c>
      <c r="L1792" t="s">
        <v>2277</v>
      </c>
      <c r="M1792" t="s">
        <v>2277</v>
      </c>
      <c r="N1792" t="s">
        <v>2277</v>
      </c>
      <c r="O1792" s="190" t="str">
        <f t="shared" si="27"/>
        <v>[S06_InstallationsVerificationReportChecksDetail1][1][PercentageShare]</v>
      </c>
    </row>
    <row r="1793" spans="1:15" x14ac:dyDescent="0.3">
      <c r="A1793" t="s">
        <v>2278</v>
      </c>
      <c r="B1793" t="s">
        <v>1991</v>
      </c>
      <c r="C1793" t="s">
        <v>1993</v>
      </c>
      <c r="D1793">
        <v>2</v>
      </c>
      <c r="E1793" t="s">
        <v>1447</v>
      </c>
      <c r="F1793" t="s">
        <v>1994</v>
      </c>
      <c r="G1793" t="s">
        <v>1806</v>
      </c>
      <c r="H1793" t="s">
        <v>2277</v>
      </c>
      <c r="I1793" t="s">
        <v>2277</v>
      </c>
      <c r="J1793">
        <v>1</v>
      </c>
      <c r="K1793" t="s">
        <v>2277</v>
      </c>
      <c r="L1793" t="s">
        <v>2277</v>
      </c>
      <c r="M1793" t="s">
        <v>2277</v>
      </c>
      <c r="N1793" t="s">
        <v>2277</v>
      </c>
      <c r="O1793" s="190" t="str">
        <f t="shared" si="27"/>
        <v>[S06_InstallationsVerificationReportChecksDetail1][2][PercentageShare]</v>
      </c>
    </row>
    <row r="1794" spans="1:15" x14ac:dyDescent="0.3">
      <c r="A1794" t="s">
        <v>2278</v>
      </c>
      <c r="B1794" t="s">
        <v>1991</v>
      </c>
      <c r="C1794" t="s">
        <v>1993</v>
      </c>
      <c r="D1794">
        <v>3</v>
      </c>
      <c r="E1794" t="s">
        <v>1447</v>
      </c>
      <c r="F1794" t="s">
        <v>1994</v>
      </c>
      <c r="G1794" t="s">
        <v>1806</v>
      </c>
      <c r="H1794" t="s">
        <v>2277</v>
      </c>
      <c r="I1794" t="s">
        <v>2277</v>
      </c>
      <c r="J1794">
        <v>1</v>
      </c>
      <c r="K1794" t="s">
        <v>2277</v>
      </c>
      <c r="L1794" t="s">
        <v>2277</v>
      </c>
      <c r="M1794" t="s">
        <v>2277</v>
      </c>
      <c r="N1794" t="s">
        <v>2277</v>
      </c>
      <c r="O1794" s="190" t="str">
        <f t="shared" ref="O1794:O1857" si="28">"["&amp;$C1794&amp;"]["&amp;$D1794&amp;"]["&amp;$F1794&amp;"]"</f>
        <v>[S06_InstallationsVerificationReportChecksDetail1][3][PercentageShare]</v>
      </c>
    </row>
    <row r="1795" spans="1:15" x14ac:dyDescent="0.3">
      <c r="A1795" t="s">
        <v>2278</v>
      </c>
      <c r="B1795" t="s">
        <v>1991</v>
      </c>
      <c r="C1795" t="s">
        <v>1993</v>
      </c>
      <c r="D1795">
        <v>4</v>
      </c>
      <c r="E1795" t="s">
        <v>1447</v>
      </c>
      <c r="F1795" t="s">
        <v>1994</v>
      </c>
      <c r="G1795" t="s">
        <v>1806</v>
      </c>
      <c r="H1795" t="s">
        <v>2277</v>
      </c>
      <c r="I1795" t="s">
        <v>2277</v>
      </c>
      <c r="J1795">
        <v>0</v>
      </c>
      <c r="K1795" t="s">
        <v>2277</v>
      </c>
      <c r="L1795" t="s">
        <v>2277</v>
      </c>
      <c r="M1795" t="s">
        <v>2277</v>
      </c>
      <c r="N1795" t="s">
        <v>2277</v>
      </c>
      <c r="O1795" s="190" t="str">
        <f t="shared" si="28"/>
        <v>[S06_InstallationsVerificationReportChecksDetail1][4][PercentageShare]</v>
      </c>
    </row>
    <row r="1796" spans="1:15" x14ac:dyDescent="0.3">
      <c r="A1796" t="s">
        <v>2278</v>
      </c>
      <c r="B1796" t="s">
        <v>1991</v>
      </c>
      <c r="C1796" t="s">
        <v>1993</v>
      </c>
      <c r="D1796">
        <v>5</v>
      </c>
      <c r="E1796" t="s">
        <v>1447</v>
      </c>
      <c r="F1796" t="s">
        <v>1994</v>
      </c>
      <c r="G1796" t="s">
        <v>1806</v>
      </c>
      <c r="H1796" t="s">
        <v>2277</v>
      </c>
      <c r="I1796" t="s">
        <v>2277</v>
      </c>
      <c r="J1796">
        <v>1</v>
      </c>
      <c r="K1796" t="s">
        <v>2277</v>
      </c>
      <c r="L1796" t="s">
        <v>2277</v>
      </c>
      <c r="M1796" t="s">
        <v>2277</v>
      </c>
      <c r="N1796" t="s">
        <v>2277</v>
      </c>
      <c r="O1796" s="190" t="str">
        <f t="shared" si="28"/>
        <v>[S06_InstallationsVerificationReportChecksDetail1][5][PercentageShare]</v>
      </c>
    </row>
    <row r="1797" spans="1:15" x14ac:dyDescent="0.3">
      <c r="A1797" t="s">
        <v>2278</v>
      </c>
      <c r="B1797" t="s">
        <v>1991</v>
      </c>
      <c r="C1797" t="s">
        <v>1993</v>
      </c>
      <c r="D1797">
        <v>5</v>
      </c>
      <c r="E1797" t="s">
        <v>1447</v>
      </c>
      <c r="F1797" t="s">
        <v>1996</v>
      </c>
      <c r="G1797" t="s">
        <v>1737</v>
      </c>
      <c r="H1797" t="s">
        <v>2277</v>
      </c>
      <c r="I1797" t="s">
        <v>2277</v>
      </c>
      <c r="J1797" t="s">
        <v>2277</v>
      </c>
      <c r="K1797" t="s">
        <v>2277</v>
      </c>
      <c r="L1797" t="s">
        <v>1468</v>
      </c>
      <c r="M1797" t="s">
        <v>2277</v>
      </c>
      <c r="N1797" t="s">
        <v>2277</v>
      </c>
      <c r="O1797" s="190" t="str">
        <f t="shared" si="28"/>
        <v>[S06_InstallationsVerificationReportChecksDetail1][5][SelectingCriteria]</v>
      </c>
    </row>
    <row r="1798" spans="1:15" x14ac:dyDescent="0.3">
      <c r="A1798" t="s">
        <v>2278</v>
      </c>
      <c r="B1798" t="s">
        <v>1991</v>
      </c>
      <c r="C1798" t="s">
        <v>1997</v>
      </c>
      <c r="D1798">
        <v>1</v>
      </c>
      <c r="E1798" t="s">
        <v>1447</v>
      </c>
      <c r="F1798" t="s">
        <v>1998</v>
      </c>
      <c r="G1798" t="s">
        <v>1748</v>
      </c>
      <c r="H1798" t="s">
        <v>2277</v>
      </c>
      <c r="I1798">
        <v>0</v>
      </c>
      <c r="J1798" t="s">
        <v>2277</v>
      </c>
      <c r="K1798" t="s">
        <v>2277</v>
      </c>
      <c r="L1798" t="s">
        <v>2277</v>
      </c>
      <c r="M1798" t="s">
        <v>2277</v>
      </c>
      <c r="N1798" t="s">
        <v>2277</v>
      </c>
      <c r="O1798" s="190" t="str">
        <f t="shared" si="28"/>
        <v>[S06_InstallationsVerificationReportChecksDetail2][1][NumberOfReports]</v>
      </c>
    </row>
    <row r="1799" spans="1:15" x14ac:dyDescent="0.3">
      <c r="A1799" t="s">
        <v>2278</v>
      </c>
      <c r="B1799" t="s">
        <v>1991</v>
      </c>
      <c r="C1799" t="s">
        <v>1997</v>
      </c>
      <c r="D1799">
        <v>2</v>
      </c>
      <c r="E1799" t="s">
        <v>1447</v>
      </c>
      <c r="F1799" t="s">
        <v>1998</v>
      </c>
      <c r="G1799" t="s">
        <v>1748</v>
      </c>
      <c r="H1799" t="s">
        <v>2277</v>
      </c>
      <c r="I1799">
        <v>0</v>
      </c>
      <c r="J1799" t="s">
        <v>2277</v>
      </c>
      <c r="K1799" t="s">
        <v>2277</v>
      </c>
      <c r="L1799" t="s">
        <v>2277</v>
      </c>
      <c r="M1799" t="s">
        <v>2277</v>
      </c>
      <c r="N1799" t="s">
        <v>2277</v>
      </c>
      <c r="O1799" s="190" t="str">
        <f t="shared" si="28"/>
        <v>[S06_InstallationsVerificationReportChecksDetail2][2][NumberOfReports]</v>
      </c>
    </row>
    <row r="1800" spans="1:15" x14ac:dyDescent="0.3">
      <c r="A1800" t="s">
        <v>2278</v>
      </c>
      <c r="B1800" t="s">
        <v>2001</v>
      </c>
      <c r="C1800" t="s">
        <v>2002</v>
      </c>
      <c r="D1800">
        <v>0</v>
      </c>
      <c r="E1800" t="s">
        <v>1447</v>
      </c>
      <c r="F1800" t="s">
        <v>2002</v>
      </c>
      <c r="G1800" t="s">
        <v>1759</v>
      </c>
      <c r="H1800" t="s">
        <v>2277</v>
      </c>
      <c r="I1800" t="s">
        <v>2277</v>
      </c>
      <c r="J1800" t="s">
        <v>2277</v>
      </c>
      <c r="K1800" t="s">
        <v>2277</v>
      </c>
      <c r="L1800" t="s">
        <v>1447</v>
      </c>
      <c r="M1800" t="s">
        <v>2277</v>
      </c>
      <c r="N1800" t="s">
        <v>2277</v>
      </c>
      <c r="O1800" s="190" t="str">
        <f t="shared" si="28"/>
        <v>[InstallationVisitsWaivedHighEmitters][0][InstallationVisitsWaivedHighEmitters]</v>
      </c>
    </row>
    <row r="1801" spans="1:15" x14ac:dyDescent="0.3">
      <c r="A1801" t="s">
        <v>2278</v>
      </c>
      <c r="B1801" t="s">
        <v>2001</v>
      </c>
      <c r="C1801" t="s">
        <v>2005</v>
      </c>
      <c r="D1801">
        <v>0</v>
      </c>
      <c r="E1801" t="s">
        <v>1447</v>
      </c>
      <c r="F1801" t="s">
        <v>2005</v>
      </c>
      <c r="G1801" t="s">
        <v>1759</v>
      </c>
      <c r="H1801" t="s">
        <v>2277</v>
      </c>
      <c r="I1801" t="s">
        <v>2277</v>
      </c>
      <c r="J1801" t="s">
        <v>2277</v>
      </c>
      <c r="K1801" t="s">
        <v>2277</v>
      </c>
      <c r="L1801" t="s">
        <v>1419</v>
      </c>
      <c r="M1801" t="s">
        <v>2277</v>
      </c>
      <c r="N1801" t="s">
        <v>2277</v>
      </c>
      <c r="O1801" s="190" t="str">
        <f t="shared" si="28"/>
        <v>[InstallationsVisitsWaivedLowEmitters][0][InstallationsVisitsWaivedLowEmitters]</v>
      </c>
    </row>
    <row r="1802" spans="1:15" x14ac:dyDescent="0.3">
      <c r="A1802" t="s">
        <v>2278</v>
      </c>
      <c r="B1802" t="s">
        <v>2001</v>
      </c>
      <c r="C1802" t="s">
        <v>2006</v>
      </c>
      <c r="D1802">
        <v>0</v>
      </c>
      <c r="E1802" t="s">
        <v>1447</v>
      </c>
      <c r="F1802" t="s">
        <v>2006</v>
      </c>
      <c r="G1802" t="s">
        <v>1748</v>
      </c>
      <c r="H1802" t="s">
        <v>2277</v>
      </c>
      <c r="I1802">
        <v>13</v>
      </c>
      <c r="J1802" t="s">
        <v>2277</v>
      </c>
      <c r="K1802" t="s">
        <v>2277</v>
      </c>
      <c r="L1802" t="s">
        <v>2277</v>
      </c>
      <c r="M1802" t="s">
        <v>2277</v>
      </c>
      <c r="N1802" t="s">
        <v>2277</v>
      </c>
      <c r="O1802" s="190" t="str">
        <f t="shared" si="28"/>
        <v>[InstallationsVisitsWaivedLowEmittersDetail][0][InstallationsVisitsWaivedLowEmittersDetail]</v>
      </c>
    </row>
    <row r="1803" spans="1:15" x14ac:dyDescent="0.3">
      <c r="A1803" t="s">
        <v>2278</v>
      </c>
      <c r="B1803" t="s">
        <v>2007</v>
      </c>
      <c r="C1803" t="s">
        <v>2008</v>
      </c>
      <c r="D1803">
        <v>0</v>
      </c>
      <c r="E1803" t="s">
        <v>1447</v>
      </c>
      <c r="F1803" t="s">
        <v>2008</v>
      </c>
      <c r="G1803" t="s">
        <v>1759</v>
      </c>
      <c r="H1803" t="s">
        <v>2277</v>
      </c>
      <c r="I1803" t="s">
        <v>2277</v>
      </c>
      <c r="J1803" t="s">
        <v>2277</v>
      </c>
      <c r="K1803" t="s">
        <v>2277</v>
      </c>
      <c r="L1803" t="s">
        <v>1419</v>
      </c>
      <c r="M1803" t="s">
        <v>2277</v>
      </c>
      <c r="N1803" t="s">
        <v>2277</v>
      </c>
      <c r="O1803" s="190" t="str">
        <f t="shared" si="28"/>
        <v>[VirtualVisitsInstallations][0][VirtualVisitsInstallations]</v>
      </c>
    </row>
    <row r="1804" spans="1:15" x14ac:dyDescent="0.3">
      <c r="A1804" t="s">
        <v>2278</v>
      </c>
      <c r="B1804" t="s">
        <v>2007</v>
      </c>
      <c r="C1804" t="s">
        <v>2009</v>
      </c>
      <c r="D1804">
        <v>1</v>
      </c>
      <c r="E1804" t="s">
        <v>1447</v>
      </c>
      <c r="F1804" t="s">
        <v>2010</v>
      </c>
      <c r="G1804" t="s">
        <v>1741</v>
      </c>
      <c r="H1804" t="s">
        <v>2333</v>
      </c>
      <c r="I1804" t="s">
        <v>2277</v>
      </c>
      <c r="J1804" t="s">
        <v>2277</v>
      </c>
      <c r="K1804" t="s">
        <v>2277</v>
      </c>
      <c r="L1804" t="s">
        <v>2277</v>
      </c>
      <c r="M1804" t="s">
        <v>2277</v>
      </c>
      <c r="N1804" t="s">
        <v>2277</v>
      </c>
      <c r="O1804" s="190" t="str">
        <f t="shared" si="28"/>
        <v>[S06_VirtualVisitsInstallationsDetails][1][TypeForceMajeur]</v>
      </c>
    </row>
    <row r="1805" spans="1:15" x14ac:dyDescent="0.3">
      <c r="A1805" t="s">
        <v>2278</v>
      </c>
      <c r="B1805" t="s">
        <v>2007</v>
      </c>
      <c r="C1805" t="s">
        <v>2009</v>
      </c>
      <c r="D1805">
        <v>1</v>
      </c>
      <c r="E1805" t="s">
        <v>1447</v>
      </c>
      <c r="F1805" t="s">
        <v>2011</v>
      </c>
      <c r="G1805" t="s">
        <v>1748</v>
      </c>
      <c r="H1805" t="s">
        <v>2277</v>
      </c>
      <c r="I1805">
        <v>52</v>
      </c>
      <c r="J1805" t="s">
        <v>2277</v>
      </c>
      <c r="K1805" t="s">
        <v>2277</v>
      </c>
      <c r="L1805" t="s">
        <v>2277</v>
      </c>
      <c r="M1805" t="s">
        <v>2277</v>
      </c>
      <c r="N1805" t="s">
        <v>2277</v>
      </c>
      <c r="O1805" s="190" t="str">
        <f t="shared" si="28"/>
        <v>[S06_VirtualVisitsInstallationsDetails][1][NumberOfInstallationsVV]</v>
      </c>
    </row>
    <row r="1806" spans="1:15" x14ac:dyDescent="0.3">
      <c r="A1806" t="s">
        <v>2278</v>
      </c>
      <c r="B1806" t="s">
        <v>2007</v>
      </c>
      <c r="C1806" t="s">
        <v>2009</v>
      </c>
      <c r="D1806">
        <v>1</v>
      </c>
      <c r="E1806" t="s">
        <v>1447</v>
      </c>
      <c r="F1806" t="s">
        <v>2012</v>
      </c>
      <c r="G1806" t="s">
        <v>1737</v>
      </c>
      <c r="H1806" t="s">
        <v>2277</v>
      </c>
      <c r="I1806" t="s">
        <v>2277</v>
      </c>
      <c r="J1806" t="s">
        <v>2277</v>
      </c>
      <c r="K1806" t="s">
        <v>2277</v>
      </c>
      <c r="L1806" t="s">
        <v>1470</v>
      </c>
      <c r="M1806" t="s">
        <v>2277</v>
      </c>
      <c r="N1806" t="s">
        <v>2277</v>
      </c>
      <c r="O1806" s="190" t="str">
        <f t="shared" si="28"/>
        <v>[S06_VirtualVisitsInstallationsDetails][1][AuthorityApproval]</v>
      </c>
    </row>
    <row r="1807" spans="1:15" x14ac:dyDescent="0.3">
      <c r="A1807" t="s">
        <v>2278</v>
      </c>
      <c r="B1807" t="s">
        <v>2007</v>
      </c>
      <c r="C1807" t="s">
        <v>2009</v>
      </c>
      <c r="D1807">
        <v>1</v>
      </c>
      <c r="E1807" t="s">
        <v>1447</v>
      </c>
      <c r="F1807" t="s">
        <v>2013</v>
      </c>
      <c r="G1807" t="s">
        <v>1741</v>
      </c>
      <c r="H1807" t="s">
        <v>2332</v>
      </c>
      <c r="I1807" t="s">
        <v>2277</v>
      </c>
      <c r="J1807" t="s">
        <v>2277</v>
      </c>
      <c r="K1807" t="s">
        <v>2277</v>
      </c>
      <c r="L1807" t="s">
        <v>2277</v>
      </c>
      <c r="M1807" t="s">
        <v>2277</v>
      </c>
      <c r="N1807" t="s">
        <v>2277</v>
      </c>
      <c r="O1807" s="190" t="str">
        <f t="shared" si="28"/>
        <v>[S06_VirtualVisitsInstallationsDetails][1][ConfirmationConditionsMet]</v>
      </c>
    </row>
    <row r="1808" spans="1:15" x14ac:dyDescent="0.3">
      <c r="A1808" t="s">
        <v>2278</v>
      </c>
      <c r="B1808" t="s">
        <v>2014</v>
      </c>
      <c r="C1808" t="s">
        <v>2015</v>
      </c>
      <c r="D1808">
        <v>1</v>
      </c>
      <c r="E1808" t="s">
        <v>1447</v>
      </c>
      <c r="F1808" t="s">
        <v>2016</v>
      </c>
      <c r="G1808" t="s">
        <v>1741</v>
      </c>
      <c r="H1808" t="s">
        <v>2302</v>
      </c>
      <c r="I1808" t="s">
        <v>2277</v>
      </c>
      <c r="J1808" t="s">
        <v>2277</v>
      </c>
      <c r="K1808" t="s">
        <v>2277</v>
      </c>
      <c r="L1808" t="s">
        <v>2277</v>
      </c>
      <c r="M1808" t="s">
        <v>2277</v>
      </c>
      <c r="N1808" t="s">
        <v>2277</v>
      </c>
      <c r="O1808" s="190" t="str">
        <f t="shared" si="28"/>
        <v>[S06_AircraftOperatorsConservativeEstimates][1][AircraftOperatorID]</v>
      </c>
    </row>
    <row r="1809" spans="1:15" x14ac:dyDescent="0.3">
      <c r="A1809" t="s">
        <v>2278</v>
      </c>
      <c r="B1809" t="s">
        <v>2014</v>
      </c>
      <c r="C1809" t="s">
        <v>2020</v>
      </c>
      <c r="D1809">
        <v>1</v>
      </c>
      <c r="E1809" t="s">
        <v>1447</v>
      </c>
      <c r="F1809" t="s">
        <v>1984</v>
      </c>
      <c r="G1809" t="s">
        <v>1748</v>
      </c>
      <c r="H1809" t="s">
        <v>2277</v>
      </c>
      <c r="I1809">
        <v>1</v>
      </c>
      <c r="J1809" t="s">
        <v>2277</v>
      </c>
      <c r="K1809" t="s">
        <v>2277</v>
      </c>
      <c r="L1809" t="s">
        <v>2277</v>
      </c>
      <c r="M1809" t="s">
        <v>2277</v>
      </c>
      <c r="N1809" t="s">
        <v>2277</v>
      </c>
      <c r="O1809" s="190" t="str">
        <f t="shared" si="28"/>
        <v>[S06_NegativeOpinionAircraft][1][CountNegativeOpinions]</v>
      </c>
    </row>
    <row r="1810" spans="1:15" x14ac:dyDescent="0.3">
      <c r="A1810" t="s">
        <v>2278</v>
      </c>
      <c r="B1810" t="s">
        <v>2021</v>
      </c>
      <c r="C1810" t="s">
        <v>2022</v>
      </c>
      <c r="D1810">
        <v>0</v>
      </c>
      <c r="E1810" t="s">
        <v>1447</v>
      </c>
      <c r="F1810" t="s">
        <v>2022</v>
      </c>
      <c r="G1810" t="s">
        <v>1759</v>
      </c>
      <c r="H1810" t="s">
        <v>2277</v>
      </c>
      <c r="I1810" t="s">
        <v>2277</v>
      </c>
      <c r="J1810" t="s">
        <v>2277</v>
      </c>
      <c r="K1810" t="s">
        <v>2277</v>
      </c>
      <c r="L1810" t="s">
        <v>1447</v>
      </c>
      <c r="M1810" t="s">
        <v>2277</v>
      </c>
      <c r="N1810" t="s">
        <v>2277</v>
      </c>
      <c r="O1810" s="190" t="str">
        <f t="shared" si="28"/>
        <v>[AircraftOperatorsVerificationReportIssues][0][AircraftOperatorsVerificationReportIssues]</v>
      </c>
    </row>
    <row r="1811" spans="1:15" x14ac:dyDescent="0.3">
      <c r="A1811" t="s">
        <v>2278</v>
      </c>
      <c r="B1811" t="s">
        <v>2026</v>
      </c>
      <c r="C1811" t="s">
        <v>2027</v>
      </c>
      <c r="D1811">
        <v>0</v>
      </c>
      <c r="E1811" t="s">
        <v>1447</v>
      </c>
      <c r="F1811" t="s">
        <v>2027</v>
      </c>
      <c r="G1811" t="s">
        <v>1759</v>
      </c>
      <c r="H1811" t="s">
        <v>2277</v>
      </c>
      <c r="I1811" t="s">
        <v>2277</v>
      </c>
      <c r="J1811" t="s">
        <v>2277</v>
      </c>
      <c r="K1811" t="s">
        <v>2277</v>
      </c>
      <c r="L1811" t="s">
        <v>1419</v>
      </c>
      <c r="M1811" t="s">
        <v>2277</v>
      </c>
      <c r="N1811" t="s">
        <v>2277</v>
      </c>
      <c r="O1811" s="190" t="str">
        <f t="shared" si="28"/>
        <v>[AircraftOperatorsVerificationReportChecks][0][AircraftOperatorsVerificationReportChecks]</v>
      </c>
    </row>
    <row r="1812" spans="1:15" x14ac:dyDescent="0.3">
      <c r="A1812" t="s">
        <v>2278</v>
      </c>
      <c r="B1812" t="s">
        <v>2026</v>
      </c>
      <c r="C1812" t="s">
        <v>2028</v>
      </c>
      <c r="D1812">
        <v>1</v>
      </c>
      <c r="E1812" t="s">
        <v>1447</v>
      </c>
      <c r="F1812" t="s">
        <v>1994</v>
      </c>
      <c r="G1812" t="s">
        <v>1806</v>
      </c>
      <c r="H1812" t="s">
        <v>2277</v>
      </c>
      <c r="I1812" t="s">
        <v>2277</v>
      </c>
      <c r="J1812">
        <v>1</v>
      </c>
      <c r="K1812" t="s">
        <v>2277</v>
      </c>
      <c r="L1812" t="s">
        <v>2277</v>
      </c>
      <c r="M1812" t="s">
        <v>2277</v>
      </c>
      <c r="N1812" t="s">
        <v>2277</v>
      </c>
      <c r="O1812" s="190" t="str">
        <f t="shared" si="28"/>
        <v>[S06_AircraftOperatorsVerificationEmissionReportChecks1][1][PercentageShare]</v>
      </c>
    </row>
    <row r="1813" spans="1:15" x14ac:dyDescent="0.3">
      <c r="A1813" t="s">
        <v>2278</v>
      </c>
      <c r="B1813" t="s">
        <v>2026</v>
      </c>
      <c r="C1813" t="s">
        <v>2028</v>
      </c>
      <c r="D1813">
        <v>2</v>
      </c>
      <c r="E1813" t="s">
        <v>1447</v>
      </c>
      <c r="F1813" t="s">
        <v>1994</v>
      </c>
      <c r="G1813" t="s">
        <v>1806</v>
      </c>
      <c r="H1813" t="s">
        <v>2277</v>
      </c>
      <c r="I1813" t="s">
        <v>2277</v>
      </c>
      <c r="J1813">
        <v>1</v>
      </c>
      <c r="K1813" t="s">
        <v>2277</v>
      </c>
      <c r="L1813" t="s">
        <v>2277</v>
      </c>
      <c r="M1813" t="s">
        <v>2277</v>
      </c>
      <c r="N1813" t="s">
        <v>2277</v>
      </c>
      <c r="O1813" s="190" t="str">
        <f t="shared" si="28"/>
        <v>[S06_AircraftOperatorsVerificationEmissionReportChecks1][2][PercentageShare]</v>
      </c>
    </row>
    <row r="1814" spans="1:15" x14ac:dyDescent="0.3">
      <c r="A1814" t="s">
        <v>2278</v>
      </c>
      <c r="B1814" t="s">
        <v>2026</v>
      </c>
      <c r="C1814" t="s">
        <v>2028</v>
      </c>
      <c r="D1814">
        <v>3</v>
      </c>
      <c r="E1814" t="s">
        <v>1447</v>
      </c>
      <c r="F1814" t="s">
        <v>1994</v>
      </c>
      <c r="G1814" t="s">
        <v>1806</v>
      </c>
      <c r="H1814" t="s">
        <v>2277</v>
      </c>
      <c r="I1814" t="s">
        <v>2277</v>
      </c>
      <c r="J1814">
        <v>0</v>
      </c>
      <c r="K1814" t="s">
        <v>2277</v>
      </c>
      <c r="L1814" t="s">
        <v>2277</v>
      </c>
      <c r="M1814" t="s">
        <v>2277</v>
      </c>
      <c r="N1814" t="s">
        <v>2277</v>
      </c>
      <c r="O1814" s="190" t="str">
        <f t="shared" si="28"/>
        <v>[S06_AircraftOperatorsVerificationEmissionReportChecks1][3][PercentageShare]</v>
      </c>
    </row>
    <row r="1815" spans="1:15" x14ac:dyDescent="0.3">
      <c r="A1815" t="s">
        <v>2278</v>
      </c>
      <c r="B1815" t="s">
        <v>2026</v>
      </c>
      <c r="C1815" t="s">
        <v>2028</v>
      </c>
      <c r="D1815">
        <v>4</v>
      </c>
      <c r="E1815" t="s">
        <v>1447</v>
      </c>
      <c r="F1815" t="s">
        <v>1994</v>
      </c>
      <c r="G1815" t="s">
        <v>1806</v>
      </c>
      <c r="H1815" t="s">
        <v>2277</v>
      </c>
      <c r="I1815" t="s">
        <v>2277</v>
      </c>
      <c r="J1815">
        <v>1</v>
      </c>
      <c r="K1815" t="s">
        <v>2277</v>
      </c>
      <c r="L1815" t="s">
        <v>2277</v>
      </c>
      <c r="M1815" t="s">
        <v>2277</v>
      </c>
      <c r="N1815" t="s">
        <v>2277</v>
      </c>
      <c r="O1815" s="190" t="str">
        <f t="shared" si="28"/>
        <v>[S06_AircraftOperatorsVerificationEmissionReportChecks1][4][PercentageShare]</v>
      </c>
    </row>
    <row r="1816" spans="1:15" x14ac:dyDescent="0.3">
      <c r="A1816" t="s">
        <v>2278</v>
      </c>
      <c r="B1816" t="s">
        <v>2026</v>
      </c>
      <c r="C1816" t="s">
        <v>2028</v>
      </c>
      <c r="D1816">
        <v>3</v>
      </c>
      <c r="E1816" t="s">
        <v>1447</v>
      </c>
      <c r="F1816" t="s">
        <v>1995</v>
      </c>
      <c r="G1816" t="s">
        <v>1791</v>
      </c>
      <c r="H1816" t="s">
        <v>2277</v>
      </c>
      <c r="I1816" t="s">
        <v>2277</v>
      </c>
      <c r="J1816" t="s">
        <v>2277</v>
      </c>
      <c r="K1816" t="s">
        <v>2331</v>
      </c>
      <c r="L1816" t="s">
        <v>2277</v>
      </c>
      <c r="M1816" t="s">
        <v>2277</v>
      </c>
      <c r="N1816" t="s">
        <v>2277</v>
      </c>
      <c r="O1816" s="190" t="str">
        <f t="shared" si="28"/>
        <v>[S06_AircraftOperatorsVerificationEmissionReportChecks1][3][FurtherInformation]</v>
      </c>
    </row>
    <row r="1817" spans="1:15" x14ac:dyDescent="0.3">
      <c r="A1817" t="s">
        <v>2278</v>
      </c>
      <c r="B1817" t="s">
        <v>2026</v>
      </c>
      <c r="C1817" t="s">
        <v>2028</v>
      </c>
      <c r="D1817">
        <v>4</v>
      </c>
      <c r="E1817" t="s">
        <v>1447</v>
      </c>
      <c r="F1817" t="s">
        <v>1995</v>
      </c>
      <c r="G1817" t="s">
        <v>1791</v>
      </c>
      <c r="H1817" t="s">
        <v>2277</v>
      </c>
      <c r="I1817" t="s">
        <v>2277</v>
      </c>
      <c r="J1817" t="s">
        <v>2277</v>
      </c>
      <c r="K1817" t="s">
        <v>2330</v>
      </c>
      <c r="L1817" t="s">
        <v>2277</v>
      </c>
      <c r="M1817" t="s">
        <v>2277</v>
      </c>
      <c r="N1817" t="s">
        <v>2277</v>
      </c>
      <c r="O1817" s="190" t="str">
        <f t="shared" si="28"/>
        <v>[S06_AircraftOperatorsVerificationEmissionReportChecks1][4][FurtherInformation]</v>
      </c>
    </row>
    <row r="1818" spans="1:15" x14ac:dyDescent="0.3">
      <c r="A1818" t="s">
        <v>2278</v>
      </c>
      <c r="B1818" t="s">
        <v>2026</v>
      </c>
      <c r="C1818" t="s">
        <v>2028</v>
      </c>
      <c r="D1818">
        <v>4</v>
      </c>
      <c r="E1818" t="s">
        <v>1447</v>
      </c>
      <c r="F1818" t="s">
        <v>1996</v>
      </c>
      <c r="G1818" t="s">
        <v>1737</v>
      </c>
      <c r="H1818" t="s">
        <v>2277</v>
      </c>
      <c r="I1818" t="s">
        <v>2277</v>
      </c>
      <c r="J1818" t="s">
        <v>2277</v>
      </c>
      <c r="K1818" t="s">
        <v>2277</v>
      </c>
      <c r="L1818" t="s">
        <v>1472</v>
      </c>
      <c r="M1818" t="s">
        <v>2277</v>
      </c>
      <c r="N1818" t="s">
        <v>2277</v>
      </c>
      <c r="O1818" s="190" t="str">
        <f t="shared" si="28"/>
        <v>[S06_AircraftOperatorsVerificationEmissionReportChecks1][4][SelectingCriteria]</v>
      </c>
    </row>
    <row r="1819" spans="1:15" x14ac:dyDescent="0.3">
      <c r="A1819" t="s">
        <v>2278</v>
      </c>
      <c r="B1819" t="s">
        <v>2026</v>
      </c>
      <c r="C1819" t="s">
        <v>2029</v>
      </c>
      <c r="D1819">
        <v>1</v>
      </c>
      <c r="E1819" t="s">
        <v>1447</v>
      </c>
      <c r="F1819" t="s">
        <v>1998</v>
      </c>
      <c r="G1819" t="s">
        <v>1748</v>
      </c>
      <c r="H1819" t="s">
        <v>2277</v>
      </c>
      <c r="I1819">
        <v>0</v>
      </c>
      <c r="J1819" t="s">
        <v>2277</v>
      </c>
      <c r="K1819" t="s">
        <v>2277</v>
      </c>
      <c r="L1819" t="s">
        <v>2277</v>
      </c>
      <c r="M1819" t="s">
        <v>2277</v>
      </c>
      <c r="N1819" t="s">
        <v>2277</v>
      </c>
      <c r="O1819" s="190" t="str">
        <f t="shared" si="28"/>
        <v>[S06_AircraftOperatorsVerificationEmissionReportChecks2][1][NumberOfReports]</v>
      </c>
    </row>
    <row r="1820" spans="1:15" x14ac:dyDescent="0.3">
      <c r="A1820" t="s">
        <v>2278</v>
      </c>
      <c r="B1820" t="s">
        <v>2026</v>
      </c>
      <c r="C1820" t="s">
        <v>2029</v>
      </c>
      <c r="D1820">
        <v>2</v>
      </c>
      <c r="E1820" t="s">
        <v>1447</v>
      </c>
      <c r="F1820" t="s">
        <v>1998</v>
      </c>
      <c r="G1820" t="s">
        <v>1748</v>
      </c>
      <c r="H1820" t="s">
        <v>2277</v>
      </c>
      <c r="I1820">
        <v>0</v>
      </c>
      <c r="J1820" t="s">
        <v>2277</v>
      </c>
      <c r="K1820" t="s">
        <v>2277</v>
      </c>
      <c r="L1820" t="s">
        <v>2277</v>
      </c>
      <c r="M1820" t="s">
        <v>2277</v>
      </c>
      <c r="N1820" t="s">
        <v>2277</v>
      </c>
      <c r="O1820" s="190" t="str">
        <f t="shared" si="28"/>
        <v>[S06_AircraftOperatorsVerificationEmissionReportChecks2][2][NumberOfReports]</v>
      </c>
    </row>
    <row r="1821" spans="1:15" x14ac:dyDescent="0.3">
      <c r="A1821" t="s">
        <v>2278</v>
      </c>
      <c r="B1821" t="s">
        <v>2026</v>
      </c>
      <c r="C1821" t="s">
        <v>2030</v>
      </c>
      <c r="D1821">
        <v>1</v>
      </c>
      <c r="E1821" t="s">
        <v>1447</v>
      </c>
      <c r="F1821" t="s">
        <v>2000</v>
      </c>
      <c r="G1821" t="s">
        <v>1741</v>
      </c>
      <c r="H1821" t="s">
        <v>2302</v>
      </c>
      <c r="I1821" t="s">
        <v>2277</v>
      </c>
      <c r="J1821" t="s">
        <v>2277</v>
      </c>
      <c r="K1821" t="s">
        <v>2277</v>
      </c>
      <c r="L1821" t="s">
        <v>2277</v>
      </c>
      <c r="M1821" t="s">
        <v>2277</v>
      </c>
      <c r="N1821" t="s">
        <v>2277</v>
      </c>
      <c r="O1821" s="190" t="str">
        <f t="shared" si="28"/>
        <v>[S06_AircraftOperatorsVerificationEmissionReportChecks3][1][ActionsTaken]</v>
      </c>
    </row>
    <row r="1822" spans="1:15" x14ac:dyDescent="0.3">
      <c r="A1822" t="s">
        <v>2278</v>
      </c>
      <c r="B1822" t="s">
        <v>2026</v>
      </c>
      <c r="C1822" t="s">
        <v>2030</v>
      </c>
      <c r="D1822">
        <v>2</v>
      </c>
      <c r="E1822" t="s">
        <v>1419</v>
      </c>
      <c r="F1822" t="s">
        <v>2000</v>
      </c>
      <c r="G1822" t="s">
        <v>1791</v>
      </c>
      <c r="H1822" t="s">
        <v>2277</v>
      </c>
      <c r="I1822" t="s">
        <v>2277</v>
      </c>
      <c r="J1822" t="s">
        <v>2277</v>
      </c>
      <c r="K1822" t="s">
        <v>2302</v>
      </c>
      <c r="L1822" t="s">
        <v>2277</v>
      </c>
      <c r="M1822" t="s">
        <v>2277</v>
      </c>
      <c r="N1822" t="s">
        <v>2277</v>
      </c>
      <c r="O1822" s="190" t="str">
        <f t="shared" si="28"/>
        <v>[S06_AircraftOperatorsVerificationEmissionReportChecks3][2][ActionsTaken]</v>
      </c>
    </row>
    <row r="1823" spans="1:15" x14ac:dyDescent="0.3">
      <c r="A1823" t="s">
        <v>2278</v>
      </c>
      <c r="B1823" t="s">
        <v>2026</v>
      </c>
      <c r="C1823" t="s">
        <v>2031</v>
      </c>
      <c r="D1823">
        <v>1</v>
      </c>
      <c r="E1823" t="s">
        <v>1447</v>
      </c>
      <c r="F1823" t="s">
        <v>1994</v>
      </c>
      <c r="G1823" t="s">
        <v>1806</v>
      </c>
      <c r="H1823" t="s">
        <v>2277</v>
      </c>
      <c r="I1823" t="s">
        <v>2277</v>
      </c>
      <c r="J1823">
        <v>0</v>
      </c>
      <c r="K1823" t="s">
        <v>2277</v>
      </c>
      <c r="L1823" t="s">
        <v>2277</v>
      </c>
      <c r="M1823" t="s">
        <v>2277</v>
      </c>
      <c r="N1823" t="s">
        <v>2277</v>
      </c>
      <c r="O1823" s="190" t="str">
        <f t="shared" si="28"/>
        <v>[S06_AircraftOperatorsVerificationTKMReportChecks1][1][PercentageShare]</v>
      </c>
    </row>
    <row r="1824" spans="1:15" x14ac:dyDescent="0.3">
      <c r="A1824" t="s">
        <v>2278</v>
      </c>
      <c r="B1824" t="s">
        <v>2026</v>
      </c>
      <c r="C1824" t="s">
        <v>2031</v>
      </c>
      <c r="D1824">
        <v>2</v>
      </c>
      <c r="E1824" t="s">
        <v>1447</v>
      </c>
      <c r="F1824" t="s">
        <v>1994</v>
      </c>
      <c r="G1824" t="s">
        <v>1806</v>
      </c>
      <c r="H1824" t="s">
        <v>2277</v>
      </c>
      <c r="I1824" t="s">
        <v>2277</v>
      </c>
      <c r="J1824">
        <v>0</v>
      </c>
      <c r="K1824" t="s">
        <v>2277</v>
      </c>
      <c r="L1824" t="s">
        <v>2277</v>
      </c>
      <c r="M1824" t="s">
        <v>2277</v>
      </c>
      <c r="N1824" t="s">
        <v>2277</v>
      </c>
      <c r="O1824" s="190" t="str">
        <f t="shared" si="28"/>
        <v>[S06_AircraftOperatorsVerificationTKMReportChecks1][2][PercentageShare]</v>
      </c>
    </row>
    <row r="1825" spans="1:15" x14ac:dyDescent="0.3">
      <c r="A1825" t="s">
        <v>2278</v>
      </c>
      <c r="B1825" t="s">
        <v>2026</v>
      </c>
      <c r="C1825" t="s">
        <v>2031</v>
      </c>
      <c r="D1825">
        <v>3</v>
      </c>
      <c r="E1825" t="s">
        <v>1447</v>
      </c>
      <c r="F1825" t="s">
        <v>1994</v>
      </c>
      <c r="G1825" t="s">
        <v>1806</v>
      </c>
      <c r="H1825" t="s">
        <v>2277</v>
      </c>
      <c r="I1825" t="s">
        <v>2277</v>
      </c>
      <c r="J1825">
        <v>0</v>
      </c>
      <c r="K1825" t="s">
        <v>2277</v>
      </c>
      <c r="L1825" t="s">
        <v>2277</v>
      </c>
      <c r="M1825" t="s">
        <v>2277</v>
      </c>
      <c r="N1825" t="s">
        <v>2277</v>
      </c>
      <c r="O1825" s="190" t="str">
        <f t="shared" si="28"/>
        <v>[S06_AircraftOperatorsVerificationTKMReportChecks1][3][PercentageShare]</v>
      </c>
    </row>
    <row r="1826" spans="1:15" x14ac:dyDescent="0.3">
      <c r="A1826" t="s">
        <v>2278</v>
      </c>
      <c r="B1826" t="s">
        <v>2026</v>
      </c>
      <c r="C1826" t="s">
        <v>2031</v>
      </c>
      <c r="D1826">
        <v>4</v>
      </c>
      <c r="E1826" t="s">
        <v>1447</v>
      </c>
      <c r="F1826" t="s">
        <v>1994</v>
      </c>
      <c r="G1826" t="s">
        <v>1806</v>
      </c>
      <c r="H1826" t="s">
        <v>2277</v>
      </c>
      <c r="I1826" t="s">
        <v>2277</v>
      </c>
      <c r="J1826">
        <v>0</v>
      </c>
      <c r="K1826" t="s">
        <v>2277</v>
      </c>
      <c r="L1826" t="s">
        <v>2277</v>
      </c>
      <c r="M1826" t="s">
        <v>2277</v>
      </c>
      <c r="N1826" t="s">
        <v>2277</v>
      </c>
      <c r="O1826" s="190" t="str">
        <f t="shared" si="28"/>
        <v>[S06_AircraftOperatorsVerificationTKMReportChecks1][4][PercentageShare]</v>
      </c>
    </row>
    <row r="1827" spans="1:15" x14ac:dyDescent="0.3">
      <c r="A1827" t="s">
        <v>2278</v>
      </c>
      <c r="B1827" t="s">
        <v>2026</v>
      </c>
      <c r="C1827" t="s">
        <v>2031</v>
      </c>
      <c r="D1827">
        <v>4</v>
      </c>
      <c r="E1827" t="s">
        <v>1447</v>
      </c>
      <c r="F1827" t="s">
        <v>1996</v>
      </c>
      <c r="G1827" t="s">
        <v>1737</v>
      </c>
      <c r="H1827" t="s">
        <v>2277</v>
      </c>
      <c r="I1827" t="s">
        <v>2277</v>
      </c>
      <c r="J1827" t="s">
        <v>2277</v>
      </c>
      <c r="K1827" t="s">
        <v>2277</v>
      </c>
      <c r="L1827" t="s">
        <v>1472</v>
      </c>
      <c r="M1827" t="s">
        <v>2277</v>
      </c>
      <c r="N1827" t="s">
        <v>2277</v>
      </c>
      <c r="O1827" s="190" t="str">
        <f t="shared" si="28"/>
        <v>[S06_AircraftOperatorsVerificationTKMReportChecks1][4][SelectingCriteria]</v>
      </c>
    </row>
    <row r="1828" spans="1:15" x14ac:dyDescent="0.3">
      <c r="A1828" t="s">
        <v>2278</v>
      </c>
      <c r="B1828" t="s">
        <v>2026</v>
      </c>
      <c r="C1828" t="s">
        <v>2032</v>
      </c>
      <c r="D1828">
        <v>1</v>
      </c>
      <c r="E1828" t="s">
        <v>1447</v>
      </c>
      <c r="F1828" t="s">
        <v>1998</v>
      </c>
      <c r="G1828" t="s">
        <v>1748</v>
      </c>
      <c r="H1828" t="s">
        <v>2277</v>
      </c>
      <c r="I1828">
        <v>0</v>
      </c>
      <c r="J1828" t="s">
        <v>2277</v>
      </c>
      <c r="K1828" t="s">
        <v>2277</v>
      </c>
      <c r="L1828" t="s">
        <v>2277</v>
      </c>
      <c r="M1828" t="s">
        <v>2277</v>
      </c>
      <c r="N1828" t="s">
        <v>2277</v>
      </c>
      <c r="O1828" s="190" t="str">
        <f t="shared" si="28"/>
        <v>[S06_AircraftOperatorsVerificationTKMReportChecks2][1][NumberOfReports]</v>
      </c>
    </row>
    <row r="1829" spans="1:15" x14ac:dyDescent="0.3">
      <c r="A1829" t="s">
        <v>2278</v>
      </c>
      <c r="B1829" t="s">
        <v>2026</v>
      </c>
      <c r="C1829" t="s">
        <v>2032</v>
      </c>
      <c r="D1829">
        <v>2</v>
      </c>
      <c r="E1829" t="s">
        <v>1447</v>
      </c>
      <c r="F1829" t="s">
        <v>1998</v>
      </c>
      <c r="G1829" t="s">
        <v>1748</v>
      </c>
      <c r="H1829" t="s">
        <v>2277</v>
      </c>
      <c r="I1829">
        <v>0</v>
      </c>
      <c r="J1829" t="s">
        <v>2277</v>
      </c>
      <c r="K1829" t="s">
        <v>2277</v>
      </c>
      <c r="L1829" t="s">
        <v>2277</v>
      </c>
      <c r="M1829" t="s">
        <v>2277</v>
      </c>
      <c r="N1829" t="s">
        <v>2277</v>
      </c>
      <c r="O1829" s="190" t="str">
        <f t="shared" si="28"/>
        <v>[S06_AircraftOperatorsVerificationTKMReportChecks2][2][NumberOfReports]</v>
      </c>
    </row>
    <row r="1830" spans="1:15" x14ac:dyDescent="0.3">
      <c r="A1830" t="s">
        <v>2278</v>
      </c>
      <c r="B1830" t="s">
        <v>2026</v>
      </c>
      <c r="C1830" t="s">
        <v>2033</v>
      </c>
      <c r="D1830">
        <v>1</v>
      </c>
      <c r="E1830" t="s">
        <v>1447</v>
      </c>
      <c r="F1830" t="s">
        <v>2000</v>
      </c>
      <c r="G1830" t="s">
        <v>1741</v>
      </c>
      <c r="H1830" t="s">
        <v>2302</v>
      </c>
      <c r="I1830" t="s">
        <v>2277</v>
      </c>
      <c r="J1830" t="s">
        <v>2277</v>
      </c>
      <c r="K1830" t="s">
        <v>2277</v>
      </c>
      <c r="L1830" t="s">
        <v>2277</v>
      </c>
      <c r="M1830" t="s">
        <v>2277</v>
      </c>
      <c r="N1830" t="s">
        <v>2277</v>
      </c>
      <c r="O1830" s="190" t="str">
        <f t="shared" si="28"/>
        <v>[S06_AircraftOperatorsVerificationTKMReportChecks3][1][ActionsTaken]</v>
      </c>
    </row>
    <row r="1831" spans="1:15" x14ac:dyDescent="0.3">
      <c r="A1831" t="s">
        <v>2278</v>
      </c>
      <c r="B1831" t="s">
        <v>2034</v>
      </c>
      <c r="C1831" t="s">
        <v>2035</v>
      </c>
      <c r="D1831">
        <v>0</v>
      </c>
      <c r="E1831" t="s">
        <v>1447</v>
      </c>
      <c r="F1831" t="s">
        <v>2035</v>
      </c>
      <c r="G1831" t="s">
        <v>1759</v>
      </c>
      <c r="H1831" t="s">
        <v>2277</v>
      </c>
      <c r="I1831" t="s">
        <v>2277</v>
      </c>
      <c r="J1831" t="s">
        <v>2277</v>
      </c>
      <c r="K1831" t="s">
        <v>2277</v>
      </c>
      <c r="L1831" t="s">
        <v>1419</v>
      </c>
      <c r="M1831" t="s">
        <v>2277</v>
      </c>
      <c r="N1831" t="s">
        <v>2277</v>
      </c>
      <c r="O1831" s="190" t="str">
        <f t="shared" si="28"/>
        <v>[AircraftOperatorsVisitsWaivedLowEmitters][0][AircraftOperatorsVisitsWaivedLowEmitters]</v>
      </c>
    </row>
    <row r="1832" spans="1:15" x14ac:dyDescent="0.3">
      <c r="A1832" t="s">
        <v>2278</v>
      </c>
      <c r="B1832" t="s">
        <v>2034</v>
      </c>
      <c r="C1832" t="s">
        <v>2036</v>
      </c>
      <c r="D1832">
        <v>0</v>
      </c>
      <c r="E1832" t="s">
        <v>1447</v>
      </c>
      <c r="F1832" t="s">
        <v>2036</v>
      </c>
      <c r="G1832" t="s">
        <v>1748</v>
      </c>
      <c r="H1832" t="s">
        <v>2277</v>
      </c>
      <c r="I1832">
        <v>2</v>
      </c>
      <c r="J1832" t="s">
        <v>2277</v>
      </c>
      <c r="K1832" t="s">
        <v>2277</v>
      </c>
      <c r="L1832" t="s">
        <v>2277</v>
      </c>
      <c r="M1832" t="s">
        <v>2277</v>
      </c>
      <c r="N1832" t="s">
        <v>2277</v>
      </c>
      <c r="O1832" s="190" t="str">
        <f t="shared" si="28"/>
        <v>[AircraftOperatorsVisitsWaivedLowEmittersDetail][0][AircraftOperatorsVisitsWaivedLowEmittersDetail]</v>
      </c>
    </row>
    <row r="1833" spans="1:15" x14ac:dyDescent="0.3">
      <c r="A1833" t="s">
        <v>2278</v>
      </c>
      <c r="B1833" t="s">
        <v>2037</v>
      </c>
      <c r="C1833" t="s">
        <v>2038</v>
      </c>
      <c r="D1833">
        <v>0</v>
      </c>
      <c r="E1833" t="s">
        <v>1447</v>
      </c>
      <c r="F1833" t="s">
        <v>2038</v>
      </c>
      <c r="G1833" t="s">
        <v>1759</v>
      </c>
      <c r="H1833" t="s">
        <v>2277</v>
      </c>
      <c r="I1833" t="s">
        <v>2277</v>
      </c>
      <c r="J1833" t="s">
        <v>2277</v>
      </c>
      <c r="K1833" t="s">
        <v>2277</v>
      </c>
      <c r="L1833" t="s">
        <v>1419</v>
      </c>
      <c r="M1833" t="s">
        <v>2277</v>
      </c>
      <c r="N1833" t="s">
        <v>2277</v>
      </c>
      <c r="O1833" s="190" t="str">
        <f t="shared" si="28"/>
        <v>[VirtualVisitsAircraft][0][VirtualVisitsAircraft]</v>
      </c>
    </row>
    <row r="1834" spans="1:15" x14ac:dyDescent="0.3">
      <c r="A1834" t="s">
        <v>2278</v>
      </c>
      <c r="B1834" t="s">
        <v>2037</v>
      </c>
      <c r="C1834" t="s">
        <v>2039</v>
      </c>
      <c r="D1834">
        <v>1</v>
      </c>
      <c r="E1834" t="s">
        <v>1447</v>
      </c>
      <c r="F1834" t="s">
        <v>2010</v>
      </c>
      <c r="G1834" t="s">
        <v>1741</v>
      </c>
      <c r="H1834" t="s">
        <v>2329</v>
      </c>
      <c r="I1834" t="s">
        <v>2277</v>
      </c>
      <c r="J1834" t="s">
        <v>2277</v>
      </c>
      <c r="K1834" t="s">
        <v>2277</v>
      </c>
      <c r="L1834" t="s">
        <v>2277</v>
      </c>
      <c r="M1834" t="s">
        <v>2277</v>
      </c>
      <c r="N1834" t="s">
        <v>2277</v>
      </c>
      <c r="O1834" s="190" t="str">
        <f t="shared" si="28"/>
        <v>[S06_VirtualVisitsAircraftDetails][1][TypeForceMajeur]</v>
      </c>
    </row>
    <row r="1835" spans="1:15" x14ac:dyDescent="0.3">
      <c r="A1835" t="s">
        <v>2278</v>
      </c>
      <c r="B1835" t="s">
        <v>2037</v>
      </c>
      <c r="C1835" t="s">
        <v>2039</v>
      </c>
      <c r="D1835">
        <v>1</v>
      </c>
      <c r="E1835" t="s">
        <v>1447</v>
      </c>
      <c r="F1835" t="s">
        <v>2040</v>
      </c>
      <c r="G1835" t="s">
        <v>1748</v>
      </c>
      <c r="H1835" t="s">
        <v>2277</v>
      </c>
      <c r="I1835">
        <v>5</v>
      </c>
      <c r="J1835" t="s">
        <v>2277</v>
      </c>
      <c r="K1835" t="s">
        <v>2277</v>
      </c>
      <c r="L1835" t="s">
        <v>2277</v>
      </c>
      <c r="M1835" t="s">
        <v>2277</v>
      </c>
      <c r="N1835" t="s">
        <v>2277</v>
      </c>
      <c r="O1835" s="190" t="str">
        <f t="shared" si="28"/>
        <v>[S06_VirtualVisitsAircraftDetails][1][NumberOfAirOperatorsVV]</v>
      </c>
    </row>
    <row r="1836" spans="1:15" x14ac:dyDescent="0.3">
      <c r="A1836" t="s">
        <v>2278</v>
      </c>
      <c r="B1836" t="s">
        <v>2037</v>
      </c>
      <c r="C1836" t="s">
        <v>2039</v>
      </c>
      <c r="D1836">
        <v>1</v>
      </c>
      <c r="E1836" t="s">
        <v>1447</v>
      </c>
      <c r="F1836" t="s">
        <v>2012</v>
      </c>
      <c r="G1836" t="s">
        <v>1737</v>
      </c>
      <c r="H1836" t="s">
        <v>2277</v>
      </c>
      <c r="I1836" t="s">
        <v>2277</v>
      </c>
      <c r="J1836" t="s">
        <v>2277</v>
      </c>
      <c r="K1836" t="s">
        <v>2277</v>
      </c>
      <c r="L1836" t="s">
        <v>1470</v>
      </c>
      <c r="M1836" t="s">
        <v>2277</v>
      </c>
      <c r="N1836" t="s">
        <v>2277</v>
      </c>
      <c r="O1836" s="190" t="str">
        <f t="shared" si="28"/>
        <v>[S06_VirtualVisitsAircraftDetails][1][AuthorityApproval]</v>
      </c>
    </row>
    <row r="1837" spans="1:15" x14ac:dyDescent="0.3">
      <c r="A1837" t="s">
        <v>2278</v>
      </c>
      <c r="B1837" t="s">
        <v>2037</v>
      </c>
      <c r="C1837" t="s">
        <v>2039</v>
      </c>
      <c r="D1837">
        <v>1</v>
      </c>
      <c r="E1837" t="s">
        <v>1447</v>
      </c>
      <c r="F1837" t="s">
        <v>2013</v>
      </c>
      <c r="G1837" t="s">
        <v>1741</v>
      </c>
      <c r="H1837" t="s">
        <v>2328</v>
      </c>
      <c r="I1837" t="s">
        <v>2277</v>
      </c>
      <c r="J1837" t="s">
        <v>2277</v>
      </c>
      <c r="K1837" t="s">
        <v>2277</v>
      </c>
      <c r="L1837" t="s">
        <v>2277</v>
      </c>
      <c r="M1837" t="s">
        <v>2277</v>
      </c>
      <c r="N1837" t="s">
        <v>2277</v>
      </c>
      <c r="O1837" s="190" t="str">
        <f t="shared" si="28"/>
        <v>[S06_VirtualVisitsAircraftDetails][1][ConfirmationConditionsMet]</v>
      </c>
    </row>
    <row r="1838" spans="1:15" x14ac:dyDescent="0.3">
      <c r="A1838" t="s">
        <v>2278</v>
      </c>
      <c r="B1838" t="s">
        <v>2041</v>
      </c>
      <c r="C1838" t="s">
        <v>2042</v>
      </c>
      <c r="D1838">
        <v>1</v>
      </c>
      <c r="E1838" t="s">
        <v>1447</v>
      </c>
      <c r="F1838" t="s">
        <v>2043</v>
      </c>
      <c r="G1838" t="s">
        <v>1741</v>
      </c>
      <c r="H1838" t="s">
        <v>2327</v>
      </c>
      <c r="I1838" t="s">
        <v>2277</v>
      </c>
      <c r="J1838" t="s">
        <v>2277</v>
      </c>
      <c r="K1838" t="s">
        <v>2277</v>
      </c>
      <c r="L1838" t="s">
        <v>2277</v>
      </c>
      <c r="M1838" t="s">
        <v>2277</v>
      </c>
      <c r="N1838" t="s">
        <v>2277</v>
      </c>
      <c r="O1838" s="190" t="str">
        <f t="shared" si="28"/>
        <v>[S07_NoFurtherAllowancesSurrendered][1][InstallationIDCode]</v>
      </c>
    </row>
    <row r="1839" spans="1:15" x14ac:dyDescent="0.3">
      <c r="A1839" t="s">
        <v>2278</v>
      </c>
      <c r="B1839" t="s">
        <v>2048</v>
      </c>
      <c r="C1839" t="s">
        <v>2049</v>
      </c>
      <c r="D1839">
        <v>0</v>
      </c>
      <c r="E1839" t="s">
        <v>1447</v>
      </c>
      <c r="F1839" t="s">
        <v>2049</v>
      </c>
      <c r="G1839" t="s">
        <v>1748</v>
      </c>
      <c r="H1839" t="s">
        <v>2277</v>
      </c>
      <c r="I1839">
        <v>0</v>
      </c>
      <c r="J1839" t="s">
        <v>2277</v>
      </c>
      <c r="K1839" t="s">
        <v>2277</v>
      </c>
      <c r="L1839" t="s">
        <v>2277</v>
      </c>
      <c r="M1839" t="s">
        <v>2277</v>
      </c>
      <c r="N1839" t="s">
        <v>2277</v>
      </c>
      <c r="O1839" s="190" t="str">
        <f t="shared" si="28"/>
        <v>[AircraftOperatorsMandateArt15UseNumber][0][AircraftOperatorsMandateArt15UseNumber]</v>
      </c>
    </row>
    <row r="1840" spans="1:15" x14ac:dyDescent="0.3">
      <c r="A1840" t="s">
        <v>2278</v>
      </c>
      <c r="B1840" t="s">
        <v>2052</v>
      </c>
      <c r="C1840" t="s">
        <v>2053</v>
      </c>
      <c r="D1840">
        <v>0</v>
      </c>
      <c r="E1840" t="s">
        <v>1447</v>
      </c>
      <c r="F1840" t="s">
        <v>2053</v>
      </c>
      <c r="G1840" t="s">
        <v>1759</v>
      </c>
      <c r="H1840" t="s">
        <v>2277</v>
      </c>
      <c r="I1840" t="s">
        <v>2277</v>
      </c>
      <c r="J1840" t="s">
        <v>2277</v>
      </c>
      <c r="K1840" t="s">
        <v>2277</v>
      </c>
      <c r="L1840" t="s">
        <v>1419</v>
      </c>
      <c r="M1840" t="s">
        <v>2277</v>
      </c>
      <c r="N1840" t="s">
        <v>2277</v>
      </c>
      <c r="O1840" s="190" t="str">
        <f t="shared" si="28"/>
        <v>[CommissionTemplatesAllocation][0][CommissionTemplatesAllocation]</v>
      </c>
    </row>
    <row r="1841" spans="1:15" x14ac:dyDescent="0.3">
      <c r="A1841" t="s">
        <v>2278</v>
      </c>
      <c r="B1841" t="s">
        <v>2055</v>
      </c>
      <c r="C1841" t="s">
        <v>2056</v>
      </c>
      <c r="D1841">
        <v>0</v>
      </c>
      <c r="E1841" t="s">
        <v>1447</v>
      </c>
      <c r="F1841" t="s">
        <v>2056</v>
      </c>
      <c r="G1841" t="s">
        <v>1759</v>
      </c>
      <c r="H1841" t="s">
        <v>2277</v>
      </c>
      <c r="I1841" t="s">
        <v>2277</v>
      </c>
      <c r="J1841" t="s">
        <v>2277</v>
      </c>
      <c r="K1841" t="s">
        <v>2277</v>
      </c>
      <c r="L1841" t="s">
        <v>1419</v>
      </c>
      <c r="M1841" t="s">
        <v>2277</v>
      </c>
      <c r="N1841" t="s">
        <v>2277</v>
      </c>
      <c r="O1841" s="190" t="str">
        <f t="shared" si="28"/>
        <v>[FeesAllocation][0][FeesAllocation]</v>
      </c>
    </row>
    <row r="1842" spans="1:15" x14ac:dyDescent="0.3">
      <c r="A1842" t="s">
        <v>2278</v>
      </c>
      <c r="B1842" t="s">
        <v>2055</v>
      </c>
      <c r="C1842" t="s">
        <v>2057</v>
      </c>
      <c r="D1842">
        <v>1</v>
      </c>
      <c r="E1842" t="s">
        <v>1447</v>
      </c>
      <c r="F1842" t="s">
        <v>2058</v>
      </c>
      <c r="G1842" t="s">
        <v>1806</v>
      </c>
      <c r="H1842" t="s">
        <v>2277</v>
      </c>
      <c r="I1842" t="s">
        <v>2277</v>
      </c>
      <c r="J1842">
        <v>2.13</v>
      </c>
      <c r="K1842" t="s">
        <v>2277</v>
      </c>
      <c r="L1842" t="s">
        <v>2277</v>
      </c>
      <c r="M1842" t="s">
        <v>2277</v>
      </c>
      <c r="N1842" t="s">
        <v>2277</v>
      </c>
      <c r="O1842" s="190" t="str">
        <f t="shared" si="28"/>
        <v>[S08_FeesAllocationDetail][1][FeeAmount]</v>
      </c>
    </row>
    <row r="1843" spans="1:15" x14ac:dyDescent="0.3">
      <c r="A1843" t="s">
        <v>2278</v>
      </c>
      <c r="B1843" t="s">
        <v>2055</v>
      </c>
      <c r="C1843" t="s">
        <v>2057</v>
      </c>
      <c r="D1843">
        <v>2</v>
      </c>
      <c r="E1843" t="s">
        <v>1447</v>
      </c>
      <c r="F1843" t="s">
        <v>2058</v>
      </c>
      <c r="G1843" t="s">
        <v>1806</v>
      </c>
      <c r="H1843" t="s">
        <v>2277</v>
      </c>
      <c r="I1843" t="s">
        <v>2277</v>
      </c>
      <c r="J1843">
        <v>1.07</v>
      </c>
      <c r="K1843" t="s">
        <v>2277</v>
      </c>
      <c r="L1843" t="s">
        <v>2277</v>
      </c>
      <c r="M1843" t="s">
        <v>2277</v>
      </c>
      <c r="N1843" t="s">
        <v>2277</v>
      </c>
      <c r="O1843" s="190" t="str">
        <f t="shared" si="28"/>
        <v>[S08_FeesAllocationDetail][2][FeeAmount]</v>
      </c>
    </row>
    <row r="1844" spans="1:15" x14ac:dyDescent="0.3">
      <c r="A1844" t="s">
        <v>2278</v>
      </c>
      <c r="B1844" t="s">
        <v>2060</v>
      </c>
      <c r="C1844" t="s">
        <v>2061</v>
      </c>
      <c r="D1844">
        <v>0</v>
      </c>
      <c r="E1844" t="s">
        <v>1447</v>
      </c>
      <c r="F1844" t="s">
        <v>2061</v>
      </c>
      <c r="G1844" t="s">
        <v>1759</v>
      </c>
      <c r="H1844" t="s">
        <v>2277</v>
      </c>
      <c r="I1844" t="s">
        <v>2277</v>
      </c>
      <c r="J1844" t="s">
        <v>2277</v>
      </c>
      <c r="K1844" t="s">
        <v>2277</v>
      </c>
      <c r="L1844" t="s">
        <v>1419</v>
      </c>
      <c r="M1844" t="s">
        <v>2277</v>
      </c>
      <c r="N1844" t="s">
        <v>2277</v>
      </c>
      <c r="O1844" s="190" t="str">
        <f t="shared" si="28"/>
        <v>[ITforAllocationData][0][ITforAllocationData]</v>
      </c>
    </row>
    <row r="1845" spans="1:15" x14ac:dyDescent="0.3">
      <c r="A1845" t="s">
        <v>2278</v>
      </c>
      <c r="B1845" t="s">
        <v>2062</v>
      </c>
      <c r="C1845" t="s">
        <v>2063</v>
      </c>
      <c r="D1845">
        <v>1</v>
      </c>
      <c r="E1845" t="s">
        <v>1447</v>
      </c>
      <c r="F1845" t="s">
        <v>1798</v>
      </c>
      <c r="G1845" t="s">
        <v>1748</v>
      </c>
      <c r="H1845" t="s">
        <v>2277</v>
      </c>
      <c r="I1845">
        <v>0</v>
      </c>
      <c r="J1845" t="s">
        <v>2277</v>
      </c>
      <c r="K1845" t="s">
        <v>2277</v>
      </c>
      <c r="L1845" t="s">
        <v>2277</v>
      </c>
      <c r="M1845" t="s">
        <v>2277</v>
      </c>
      <c r="N1845" t="s">
        <v>2277</v>
      </c>
      <c r="O1845" s="190" t="str">
        <f t="shared" si="28"/>
        <v>[S08_RenunciationSuspensionAllowances][1][NumberOfInstallations]</v>
      </c>
    </row>
    <row r="1846" spans="1:15" x14ac:dyDescent="0.3">
      <c r="A1846" t="s">
        <v>2278</v>
      </c>
      <c r="B1846" t="s">
        <v>2062</v>
      </c>
      <c r="C1846" t="s">
        <v>2063</v>
      </c>
      <c r="D1846">
        <v>2</v>
      </c>
      <c r="E1846" t="s">
        <v>1447</v>
      </c>
      <c r="F1846" t="s">
        <v>1798</v>
      </c>
      <c r="G1846" t="s">
        <v>1748</v>
      </c>
      <c r="H1846" t="s">
        <v>2277</v>
      </c>
      <c r="I1846">
        <v>154</v>
      </c>
      <c r="J1846" t="s">
        <v>2277</v>
      </c>
      <c r="K1846" t="s">
        <v>2277</v>
      </c>
      <c r="L1846" t="s">
        <v>2277</v>
      </c>
      <c r="M1846" t="s">
        <v>2277</v>
      </c>
      <c r="N1846" t="s">
        <v>2277</v>
      </c>
      <c r="O1846" s="190" t="str">
        <f t="shared" si="28"/>
        <v>[S08_RenunciationSuspensionAllowances][2][NumberOfInstallations]</v>
      </c>
    </row>
    <row r="1847" spans="1:15" x14ac:dyDescent="0.3">
      <c r="A1847" t="s">
        <v>2278</v>
      </c>
      <c r="B1847" t="s">
        <v>2062</v>
      </c>
      <c r="C1847" t="s">
        <v>2063</v>
      </c>
      <c r="D1847">
        <v>3</v>
      </c>
      <c r="E1847" t="s">
        <v>1447</v>
      </c>
      <c r="F1847" t="s">
        <v>1798</v>
      </c>
      <c r="G1847" t="s">
        <v>1748</v>
      </c>
      <c r="H1847" t="s">
        <v>2277</v>
      </c>
      <c r="I1847">
        <v>0</v>
      </c>
      <c r="J1847" t="s">
        <v>2277</v>
      </c>
      <c r="K1847" t="s">
        <v>2277</v>
      </c>
      <c r="L1847" t="s">
        <v>2277</v>
      </c>
      <c r="M1847" t="s">
        <v>2277</v>
      </c>
      <c r="N1847" t="s">
        <v>2277</v>
      </c>
      <c r="O1847" s="190" t="str">
        <f t="shared" si="28"/>
        <v>[S08_RenunciationSuspensionAllowances][3][NumberOfInstallations]</v>
      </c>
    </row>
    <row r="1848" spans="1:15" x14ac:dyDescent="0.3">
      <c r="A1848" t="s">
        <v>2278</v>
      </c>
      <c r="B1848" t="s">
        <v>2064</v>
      </c>
      <c r="C1848" t="s">
        <v>2065</v>
      </c>
      <c r="D1848">
        <v>0</v>
      </c>
      <c r="E1848" t="s">
        <v>1447</v>
      </c>
      <c r="F1848" t="s">
        <v>2065</v>
      </c>
      <c r="G1848" t="s">
        <v>1759</v>
      </c>
      <c r="H1848" t="s">
        <v>2277</v>
      </c>
      <c r="I1848" t="s">
        <v>2277</v>
      </c>
      <c r="J1848" t="s">
        <v>2277</v>
      </c>
      <c r="K1848" t="s">
        <v>2277</v>
      </c>
      <c r="L1848" t="s">
        <v>1419</v>
      </c>
      <c r="M1848" t="s">
        <v>2277</v>
      </c>
      <c r="N1848" t="s">
        <v>2277</v>
      </c>
      <c r="O1848" s="190" t="str">
        <f t="shared" si="28"/>
        <v>[SubInstallationBenchmark61][0][SubInstallationBenchmark61]</v>
      </c>
    </row>
    <row r="1849" spans="1:15" x14ac:dyDescent="0.3">
      <c r="A1849" t="s">
        <v>2278</v>
      </c>
      <c r="B1849" t="s">
        <v>2064</v>
      </c>
      <c r="C1849" t="s">
        <v>2066</v>
      </c>
      <c r="D1849">
        <v>1</v>
      </c>
      <c r="E1849" t="s">
        <v>1447</v>
      </c>
      <c r="F1849" t="s">
        <v>2067</v>
      </c>
      <c r="G1849" t="s">
        <v>1748</v>
      </c>
      <c r="H1849" t="s">
        <v>2277</v>
      </c>
      <c r="I1849">
        <v>11</v>
      </c>
      <c r="J1849" t="s">
        <v>2277</v>
      </c>
      <c r="K1849" t="s">
        <v>2277</v>
      </c>
      <c r="L1849" t="s">
        <v>2277</v>
      </c>
      <c r="M1849" t="s">
        <v>2277</v>
      </c>
      <c r="N1849" t="s">
        <v>2277</v>
      </c>
      <c r="O1849" s="190" t="str">
        <f t="shared" si="28"/>
        <v>[S08_SubInstallationBenchmark61Detail][1][FuelBenchmark]</v>
      </c>
    </row>
    <row r="1850" spans="1:15" x14ac:dyDescent="0.3">
      <c r="A1850" t="s">
        <v>2278</v>
      </c>
      <c r="B1850" t="s">
        <v>2064</v>
      </c>
      <c r="C1850" t="s">
        <v>2066</v>
      </c>
      <c r="D1850">
        <v>1</v>
      </c>
      <c r="E1850" t="s">
        <v>1447</v>
      </c>
      <c r="F1850" t="s">
        <v>2068</v>
      </c>
      <c r="G1850" t="s">
        <v>1748</v>
      </c>
      <c r="H1850" t="s">
        <v>2277</v>
      </c>
      <c r="I1850">
        <v>8</v>
      </c>
      <c r="J1850" t="s">
        <v>2277</v>
      </c>
      <c r="K1850" t="s">
        <v>2277</v>
      </c>
      <c r="L1850" t="s">
        <v>2277</v>
      </c>
      <c r="M1850" t="s">
        <v>2277</v>
      </c>
      <c r="N1850" t="s">
        <v>2277</v>
      </c>
      <c r="O1850" s="190" t="str">
        <f t="shared" si="28"/>
        <v>[S08_SubInstallationBenchmark61Detail][1][HeatBenchmark]</v>
      </c>
    </row>
    <row r="1851" spans="1:15" x14ac:dyDescent="0.3">
      <c r="A1851" t="s">
        <v>2278</v>
      </c>
      <c r="B1851" t="s">
        <v>2064</v>
      </c>
      <c r="C1851" t="s">
        <v>2069</v>
      </c>
      <c r="D1851">
        <v>0</v>
      </c>
      <c r="E1851" t="s">
        <v>1447</v>
      </c>
      <c r="F1851" t="s">
        <v>2069</v>
      </c>
      <c r="G1851" t="s">
        <v>1759</v>
      </c>
      <c r="H1851" t="s">
        <v>2277</v>
      </c>
      <c r="I1851" t="s">
        <v>2277</v>
      </c>
      <c r="J1851" t="s">
        <v>2277</v>
      </c>
      <c r="K1851" t="s">
        <v>2277</v>
      </c>
      <c r="L1851" t="s">
        <v>1447</v>
      </c>
      <c r="M1851" t="s">
        <v>2277</v>
      </c>
      <c r="N1851" t="s">
        <v>2277</v>
      </c>
      <c r="O1851" s="190" t="str">
        <f t="shared" si="28"/>
        <v>[SubInstallationBenchmark61Reject][0][SubInstallationBenchmark61Reject]</v>
      </c>
    </row>
    <row r="1852" spans="1:15" x14ac:dyDescent="0.3">
      <c r="A1852" t="s">
        <v>2278</v>
      </c>
      <c r="B1852" t="s">
        <v>2064</v>
      </c>
      <c r="C1852" t="s">
        <v>2071</v>
      </c>
      <c r="D1852">
        <v>0</v>
      </c>
      <c r="E1852" t="s">
        <v>1447</v>
      </c>
      <c r="F1852" t="s">
        <v>2071</v>
      </c>
      <c r="G1852" t="s">
        <v>1759</v>
      </c>
      <c r="H1852" t="s">
        <v>2277</v>
      </c>
      <c r="I1852" t="s">
        <v>2277</v>
      </c>
      <c r="J1852" t="s">
        <v>2277</v>
      </c>
      <c r="K1852" t="s">
        <v>2277</v>
      </c>
      <c r="L1852" t="s">
        <v>1419</v>
      </c>
      <c r="M1852" t="s">
        <v>2277</v>
      </c>
      <c r="N1852" t="s">
        <v>2277</v>
      </c>
      <c r="O1852" s="190" t="str">
        <f t="shared" si="28"/>
        <v>[SubInstallationBenchmark62][0][SubInstallationBenchmark62]</v>
      </c>
    </row>
    <row r="1853" spans="1:15" x14ac:dyDescent="0.3">
      <c r="A1853" t="s">
        <v>2278</v>
      </c>
      <c r="B1853" t="s">
        <v>2064</v>
      </c>
      <c r="C1853" t="s">
        <v>2072</v>
      </c>
      <c r="D1853">
        <v>1</v>
      </c>
      <c r="E1853" t="s">
        <v>1447</v>
      </c>
      <c r="F1853" t="s">
        <v>2067</v>
      </c>
      <c r="G1853" t="s">
        <v>1748</v>
      </c>
      <c r="H1853" t="s">
        <v>2277</v>
      </c>
      <c r="I1853">
        <v>9</v>
      </c>
      <c r="J1853" t="s">
        <v>2277</v>
      </c>
      <c r="K1853" t="s">
        <v>2277</v>
      </c>
      <c r="L1853" t="s">
        <v>2277</v>
      </c>
      <c r="M1853" t="s">
        <v>2277</v>
      </c>
      <c r="N1853" t="s">
        <v>2277</v>
      </c>
      <c r="O1853" s="190" t="str">
        <f t="shared" si="28"/>
        <v>[S08_SubInstallationBenchmark62Detail][1][FuelBenchmark]</v>
      </c>
    </row>
    <row r="1854" spans="1:15" x14ac:dyDescent="0.3">
      <c r="A1854" t="s">
        <v>2278</v>
      </c>
      <c r="B1854" t="s">
        <v>2064</v>
      </c>
      <c r="C1854" t="s">
        <v>2072</v>
      </c>
      <c r="D1854">
        <v>1</v>
      </c>
      <c r="E1854" t="s">
        <v>1447</v>
      </c>
      <c r="F1854" t="s">
        <v>2068</v>
      </c>
      <c r="G1854" t="s">
        <v>1748</v>
      </c>
      <c r="H1854" t="s">
        <v>2277</v>
      </c>
      <c r="I1854">
        <v>5</v>
      </c>
      <c r="J1854" t="s">
        <v>2277</v>
      </c>
      <c r="K1854" t="s">
        <v>2277</v>
      </c>
      <c r="L1854" t="s">
        <v>2277</v>
      </c>
      <c r="M1854" t="s">
        <v>2277</v>
      </c>
      <c r="N1854" t="s">
        <v>2277</v>
      </c>
      <c r="O1854" s="190" t="str">
        <f t="shared" si="28"/>
        <v>[S08_SubInstallationBenchmark62Detail][1][HeatBenchmark]</v>
      </c>
    </row>
    <row r="1855" spans="1:15" x14ac:dyDescent="0.3">
      <c r="A1855" t="s">
        <v>2278</v>
      </c>
      <c r="B1855" t="s">
        <v>2073</v>
      </c>
      <c r="C1855" t="s">
        <v>2074</v>
      </c>
      <c r="D1855">
        <v>2</v>
      </c>
      <c r="E1855" t="s">
        <v>1447</v>
      </c>
      <c r="F1855" t="s">
        <v>1798</v>
      </c>
      <c r="G1855" t="s">
        <v>1748</v>
      </c>
      <c r="H1855" t="s">
        <v>2277</v>
      </c>
      <c r="I1855">
        <v>24</v>
      </c>
      <c r="J1855" t="s">
        <v>2277</v>
      </c>
      <c r="K1855" t="s">
        <v>2277</v>
      </c>
      <c r="L1855" t="s">
        <v>2277</v>
      </c>
      <c r="M1855" t="s">
        <v>2277</v>
      </c>
      <c r="N1855" t="s">
        <v>2277</v>
      </c>
      <c r="O1855" s="190" t="str">
        <f t="shared" si="28"/>
        <v>[S08_ScopeExclusion][2][NumberOfInstallations]</v>
      </c>
    </row>
    <row r="1856" spans="1:15" x14ac:dyDescent="0.3">
      <c r="A1856" t="s">
        <v>2278</v>
      </c>
      <c r="B1856" t="s">
        <v>2076</v>
      </c>
      <c r="C1856" t="s">
        <v>2077</v>
      </c>
      <c r="D1856">
        <v>0</v>
      </c>
      <c r="E1856" t="s">
        <v>1447</v>
      </c>
      <c r="F1856" t="s">
        <v>2077</v>
      </c>
      <c r="G1856" t="s">
        <v>1759</v>
      </c>
      <c r="H1856" t="s">
        <v>2277</v>
      </c>
      <c r="I1856" t="s">
        <v>2277</v>
      </c>
      <c r="J1856" t="s">
        <v>2277</v>
      </c>
      <c r="K1856" t="s">
        <v>2277</v>
      </c>
      <c r="L1856" t="s">
        <v>1447</v>
      </c>
      <c r="M1856" t="s">
        <v>2277</v>
      </c>
      <c r="N1856" t="s">
        <v>2277</v>
      </c>
      <c r="O1856" s="190" t="str">
        <f t="shared" si="28"/>
        <v>[Article10cApplied][0][Article10cApplied]</v>
      </c>
    </row>
    <row r="1857" spans="1:15" x14ac:dyDescent="0.3">
      <c r="A1857" t="s">
        <v>2278</v>
      </c>
      <c r="B1857" t="s">
        <v>2080</v>
      </c>
      <c r="C1857" t="s">
        <v>2081</v>
      </c>
      <c r="D1857">
        <v>1</v>
      </c>
      <c r="E1857" t="s">
        <v>1447</v>
      </c>
      <c r="F1857" t="s">
        <v>1798</v>
      </c>
      <c r="G1857" t="s">
        <v>1748</v>
      </c>
      <c r="H1857" t="s">
        <v>2277</v>
      </c>
      <c r="I1857">
        <v>0</v>
      </c>
      <c r="J1857" t="s">
        <v>2277</v>
      </c>
      <c r="K1857" t="s">
        <v>2277</v>
      </c>
      <c r="L1857" t="s">
        <v>2277</v>
      </c>
      <c r="M1857" t="s">
        <v>2277</v>
      </c>
      <c r="N1857" t="s">
        <v>2277</v>
      </c>
      <c r="O1857" s="190" t="str">
        <f t="shared" si="28"/>
        <v>[S08_NegativeOpinionBaselineData][1][NumberOfInstallations]</v>
      </c>
    </row>
    <row r="1858" spans="1:15" x14ac:dyDescent="0.3">
      <c r="A1858" t="s">
        <v>2278</v>
      </c>
      <c r="B1858" t="s">
        <v>2080</v>
      </c>
      <c r="C1858" t="s">
        <v>2081</v>
      </c>
      <c r="D1858">
        <v>2</v>
      </c>
      <c r="E1858" t="s">
        <v>1447</v>
      </c>
      <c r="F1858" t="s">
        <v>1798</v>
      </c>
      <c r="G1858" t="s">
        <v>1748</v>
      </c>
      <c r="H1858" t="s">
        <v>2277</v>
      </c>
      <c r="I1858">
        <v>0</v>
      </c>
      <c r="J1858" t="s">
        <v>2277</v>
      </c>
      <c r="K1858" t="s">
        <v>2277</v>
      </c>
      <c r="L1858" t="s">
        <v>2277</v>
      </c>
      <c r="M1858" t="s">
        <v>2277</v>
      </c>
      <c r="N1858" t="s">
        <v>2277</v>
      </c>
      <c r="O1858" s="190" t="str">
        <f t="shared" ref="O1858:O1921" si="29">"["&amp;$C1858&amp;"]["&amp;$D1858&amp;"]["&amp;$F1858&amp;"]"</f>
        <v>[S08_NegativeOpinionBaselineData][2][NumberOfInstallations]</v>
      </c>
    </row>
    <row r="1859" spans="1:15" x14ac:dyDescent="0.3">
      <c r="A1859" t="s">
        <v>2278</v>
      </c>
      <c r="B1859" t="s">
        <v>2080</v>
      </c>
      <c r="C1859" t="s">
        <v>2081</v>
      </c>
      <c r="D1859">
        <v>3</v>
      </c>
      <c r="E1859" t="s">
        <v>1447</v>
      </c>
      <c r="F1859" t="s">
        <v>1798</v>
      </c>
      <c r="G1859" t="s">
        <v>1748</v>
      </c>
      <c r="H1859" t="s">
        <v>2277</v>
      </c>
      <c r="I1859">
        <v>0</v>
      </c>
      <c r="J1859" t="s">
        <v>2277</v>
      </c>
      <c r="K1859" t="s">
        <v>2277</v>
      </c>
      <c r="L1859" t="s">
        <v>2277</v>
      </c>
      <c r="M1859" t="s">
        <v>2277</v>
      </c>
      <c r="N1859" t="s">
        <v>2277</v>
      </c>
      <c r="O1859" s="190" t="str">
        <f t="shared" si="29"/>
        <v>[S08_NegativeOpinionBaselineData][3][NumberOfInstallations]</v>
      </c>
    </row>
    <row r="1860" spans="1:15" x14ac:dyDescent="0.3">
      <c r="A1860" t="s">
        <v>2278</v>
      </c>
      <c r="B1860" t="s">
        <v>2082</v>
      </c>
      <c r="C1860" t="s">
        <v>2083</v>
      </c>
      <c r="D1860">
        <v>0</v>
      </c>
      <c r="E1860" t="s">
        <v>1447</v>
      </c>
      <c r="F1860" t="s">
        <v>2083</v>
      </c>
      <c r="G1860" t="s">
        <v>1759</v>
      </c>
      <c r="H1860" t="s">
        <v>2277</v>
      </c>
      <c r="I1860" t="s">
        <v>2277</v>
      </c>
      <c r="J1860" t="s">
        <v>2277</v>
      </c>
      <c r="K1860" t="s">
        <v>2277</v>
      </c>
      <c r="L1860" t="s">
        <v>1419</v>
      </c>
      <c r="M1860" t="s">
        <v>2277</v>
      </c>
      <c r="N1860" t="s">
        <v>2277</v>
      </c>
      <c r="O1860" s="190" t="str">
        <f t="shared" si="29"/>
        <v>[BaselineDataIssues][0][BaselineDataIssues]</v>
      </c>
    </row>
    <row r="1861" spans="1:15" x14ac:dyDescent="0.3">
      <c r="A1861" t="s">
        <v>2278</v>
      </c>
      <c r="B1861" t="s">
        <v>2082</v>
      </c>
      <c r="C1861" t="s">
        <v>2084</v>
      </c>
      <c r="D1861">
        <v>1</v>
      </c>
      <c r="E1861" t="s">
        <v>1447</v>
      </c>
      <c r="F1861" t="s">
        <v>1988</v>
      </c>
      <c r="G1861" t="s">
        <v>1737</v>
      </c>
      <c r="H1861" t="s">
        <v>2277</v>
      </c>
      <c r="I1861" t="s">
        <v>2277</v>
      </c>
      <c r="J1861" t="s">
        <v>2277</v>
      </c>
      <c r="K1861" t="s">
        <v>2277</v>
      </c>
      <c r="L1861" t="s">
        <v>1420</v>
      </c>
      <c r="M1861" t="s">
        <v>2277</v>
      </c>
      <c r="N1861" t="s">
        <v>2277</v>
      </c>
      <c r="O1861" s="190" t="str">
        <f t="shared" si="29"/>
        <v>[S08_BaselineDataIssuesDetail][1][AnnexIActivity]</v>
      </c>
    </row>
    <row r="1862" spans="1:15" x14ac:dyDescent="0.3">
      <c r="A1862" t="s">
        <v>2278</v>
      </c>
      <c r="B1862" t="s">
        <v>2082</v>
      </c>
      <c r="C1862" t="s">
        <v>2084</v>
      </c>
      <c r="D1862">
        <v>2</v>
      </c>
      <c r="E1862" t="s">
        <v>1447</v>
      </c>
      <c r="F1862" t="s">
        <v>1988</v>
      </c>
      <c r="G1862" t="s">
        <v>1737</v>
      </c>
      <c r="H1862" t="s">
        <v>2277</v>
      </c>
      <c r="I1862" t="s">
        <v>2277</v>
      </c>
      <c r="J1862" t="s">
        <v>2277</v>
      </c>
      <c r="K1862" t="s">
        <v>2277</v>
      </c>
      <c r="L1862" t="s">
        <v>1562</v>
      </c>
      <c r="M1862" t="s">
        <v>2277</v>
      </c>
      <c r="N1862" t="s">
        <v>2277</v>
      </c>
      <c r="O1862" s="190" t="str">
        <f t="shared" si="29"/>
        <v>[S08_BaselineDataIssuesDetail][2][AnnexIActivity]</v>
      </c>
    </row>
    <row r="1863" spans="1:15" x14ac:dyDescent="0.3">
      <c r="A1863" t="s">
        <v>2278</v>
      </c>
      <c r="B1863" t="s">
        <v>2082</v>
      </c>
      <c r="C1863" t="s">
        <v>2084</v>
      </c>
      <c r="D1863">
        <v>3</v>
      </c>
      <c r="E1863" t="s">
        <v>1447</v>
      </c>
      <c r="F1863" t="s">
        <v>1988</v>
      </c>
      <c r="G1863" t="s">
        <v>1737</v>
      </c>
      <c r="H1863" t="s">
        <v>2277</v>
      </c>
      <c r="I1863" t="s">
        <v>2277</v>
      </c>
      <c r="J1863" t="s">
        <v>2277</v>
      </c>
      <c r="K1863" t="s">
        <v>2277</v>
      </c>
      <c r="L1863" t="s">
        <v>1597</v>
      </c>
      <c r="M1863" t="s">
        <v>2277</v>
      </c>
      <c r="N1863" t="s">
        <v>2277</v>
      </c>
      <c r="O1863" s="190" t="str">
        <f t="shared" si="29"/>
        <v>[S08_BaselineDataIssuesDetail][3][AnnexIActivity]</v>
      </c>
    </row>
    <row r="1864" spans="1:15" x14ac:dyDescent="0.3">
      <c r="A1864" t="s">
        <v>2278</v>
      </c>
      <c r="B1864" t="s">
        <v>2082</v>
      </c>
      <c r="C1864" t="s">
        <v>2084</v>
      </c>
      <c r="D1864">
        <v>4</v>
      </c>
      <c r="E1864" t="s">
        <v>1447</v>
      </c>
      <c r="F1864" t="s">
        <v>1988</v>
      </c>
      <c r="G1864" t="s">
        <v>1737</v>
      </c>
      <c r="H1864" t="s">
        <v>2277</v>
      </c>
      <c r="I1864" t="s">
        <v>2277</v>
      </c>
      <c r="J1864" t="s">
        <v>2277</v>
      </c>
      <c r="K1864" t="s">
        <v>2277</v>
      </c>
      <c r="L1864" t="s">
        <v>1582</v>
      </c>
      <c r="M1864" t="s">
        <v>2277</v>
      </c>
      <c r="N1864" t="s">
        <v>2277</v>
      </c>
      <c r="O1864" s="190" t="str">
        <f t="shared" si="29"/>
        <v>[S08_BaselineDataIssuesDetail][4][AnnexIActivity]</v>
      </c>
    </row>
    <row r="1865" spans="1:15" x14ac:dyDescent="0.3">
      <c r="A1865" t="s">
        <v>2278</v>
      </c>
      <c r="B1865" t="s">
        <v>2082</v>
      </c>
      <c r="C1865" t="s">
        <v>2084</v>
      </c>
      <c r="D1865">
        <v>5</v>
      </c>
      <c r="E1865" t="s">
        <v>1447</v>
      </c>
      <c r="F1865" t="s">
        <v>1988</v>
      </c>
      <c r="G1865" t="s">
        <v>1737</v>
      </c>
      <c r="H1865" t="s">
        <v>2277</v>
      </c>
      <c r="I1865" t="s">
        <v>2277</v>
      </c>
      <c r="J1865" t="s">
        <v>2277</v>
      </c>
      <c r="K1865" t="s">
        <v>2277</v>
      </c>
      <c r="L1865" t="s">
        <v>1557</v>
      </c>
      <c r="M1865" t="s">
        <v>2277</v>
      </c>
      <c r="N1865" t="s">
        <v>2277</v>
      </c>
      <c r="O1865" s="190" t="str">
        <f t="shared" si="29"/>
        <v>[S08_BaselineDataIssuesDetail][5][AnnexIActivity]</v>
      </c>
    </row>
    <row r="1866" spans="1:15" x14ac:dyDescent="0.3">
      <c r="A1866" t="s">
        <v>2278</v>
      </c>
      <c r="B1866" t="s">
        <v>2082</v>
      </c>
      <c r="C1866" t="s">
        <v>2084</v>
      </c>
      <c r="D1866">
        <v>6</v>
      </c>
      <c r="E1866" t="s">
        <v>1447</v>
      </c>
      <c r="F1866" t="s">
        <v>1988</v>
      </c>
      <c r="G1866" t="s">
        <v>1737</v>
      </c>
      <c r="H1866" t="s">
        <v>2277</v>
      </c>
      <c r="I1866" t="s">
        <v>2277</v>
      </c>
      <c r="J1866" t="s">
        <v>2277</v>
      </c>
      <c r="K1866" t="s">
        <v>2277</v>
      </c>
      <c r="L1866" t="s">
        <v>1626</v>
      </c>
      <c r="M1866" t="s">
        <v>2277</v>
      </c>
      <c r="N1866" t="s">
        <v>2277</v>
      </c>
      <c r="O1866" s="190" t="str">
        <f t="shared" si="29"/>
        <v>[S08_BaselineDataIssuesDetail][6][AnnexIActivity]</v>
      </c>
    </row>
    <row r="1867" spans="1:15" x14ac:dyDescent="0.3">
      <c r="A1867" t="s">
        <v>2278</v>
      </c>
      <c r="B1867" t="s">
        <v>2082</v>
      </c>
      <c r="C1867" t="s">
        <v>2084</v>
      </c>
      <c r="D1867">
        <v>7</v>
      </c>
      <c r="E1867" t="s">
        <v>1447</v>
      </c>
      <c r="F1867" t="s">
        <v>1988</v>
      </c>
      <c r="G1867" t="s">
        <v>1737</v>
      </c>
      <c r="H1867" t="s">
        <v>2277</v>
      </c>
      <c r="I1867" t="s">
        <v>2277</v>
      </c>
      <c r="J1867" t="s">
        <v>2277</v>
      </c>
      <c r="K1867" t="s">
        <v>2277</v>
      </c>
      <c r="L1867" t="s">
        <v>1573</v>
      </c>
      <c r="M1867" t="s">
        <v>2277</v>
      </c>
      <c r="N1867" t="s">
        <v>2277</v>
      </c>
      <c r="O1867" s="190" t="str">
        <f t="shared" si="29"/>
        <v>[S08_BaselineDataIssuesDetail][7][AnnexIActivity]</v>
      </c>
    </row>
    <row r="1868" spans="1:15" x14ac:dyDescent="0.3">
      <c r="A1868" t="s">
        <v>2278</v>
      </c>
      <c r="B1868" t="s">
        <v>2082</v>
      </c>
      <c r="C1868" t="s">
        <v>2084</v>
      </c>
      <c r="D1868">
        <v>1</v>
      </c>
      <c r="E1868" t="s">
        <v>1447</v>
      </c>
      <c r="F1868" t="s">
        <v>1989</v>
      </c>
      <c r="G1868" t="s">
        <v>1737</v>
      </c>
      <c r="H1868" t="s">
        <v>2277</v>
      </c>
      <c r="I1868" t="s">
        <v>2277</v>
      </c>
      <c r="J1868" t="s">
        <v>2277</v>
      </c>
      <c r="K1868" t="s">
        <v>2277</v>
      </c>
      <c r="L1868" t="s">
        <v>1439</v>
      </c>
      <c r="M1868" t="s">
        <v>2277</v>
      </c>
      <c r="N1868" t="s">
        <v>2277</v>
      </c>
      <c r="O1868" s="190" t="str">
        <f t="shared" si="29"/>
        <v>[S08_BaselineDataIssuesDetail][1][TypeOfIssue]</v>
      </c>
    </row>
    <row r="1869" spans="1:15" x14ac:dyDescent="0.3">
      <c r="A1869" t="s">
        <v>2278</v>
      </c>
      <c r="B1869" t="s">
        <v>2082</v>
      </c>
      <c r="C1869" t="s">
        <v>2084</v>
      </c>
      <c r="D1869">
        <v>2</v>
      </c>
      <c r="E1869" t="s">
        <v>1447</v>
      </c>
      <c r="F1869" t="s">
        <v>1989</v>
      </c>
      <c r="G1869" t="s">
        <v>1737</v>
      </c>
      <c r="H1869" t="s">
        <v>2277</v>
      </c>
      <c r="I1869" t="s">
        <v>2277</v>
      </c>
      <c r="J1869" t="s">
        <v>2277</v>
      </c>
      <c r="K1869" t="s">
        <v>2277</v>
      </c>
      <c r="L1869" t="s">
        <v>1439</v>
      </c>
      <c r="M1869" t="s">
        <v>2277</v>
      </c>
      <c r="N1869" t="s">
        <v>2277</v>
      </c>
      <c r="O1869" s="190" t="str">
        <f t="shared" si="29"/>
        <v>[S08_BaselineDataIssuesDetail][2][TypeOfIssue]</v>
      </c>
    </row>
    <row r="1870" spans="1:15" x14ac:dyDescent="0.3">
      <c r="A1870" t="s">
        <v>2278</v>
      </c>
      <c r="B1870" t="s">
        <v>2082</v>
      </c>
      <c r="C1870" t="s">
        <v>2084</v>
      </c>
      <c r="D1870">
        <v>3</v>
      </c>
      <c r="E1870" t="s">
        <v>1447</v>
      </c>
      <c r="F1870" t="s">
        <v>1989</v>
      </c>
      <c r="G1870" t="s">
        <v>1737</v>
      </c>
      <c r="H1870" t="s">
        <v>2277</v>
      </c>
      <c r="I1870" t="s">
        <v>2277</v>
      </c>
      <c r="J1870" t="s">
        <v>2277</v>
      </c>
      <c r="K1870" t="s">
        <v>2277</v>
      </c>
      <c r="L1870" t="s">
        <v>1439</v>
      </c>
      <c r="M1870" t="s">
        <v>2277</v>
      </c>
      <c r="N1870" t="s">
        <v>2277</v>
      </c>
      <c r="O1870" s="190" t="str">
        <f t="shared" si="29"/>
        <v>[S08_BaselineDataIssuesDetail][3][TypeOfIssue]</v>
      </c>
    </row>
    <row r="1871" spans="1:15" x14ac:dyDescent="0.3">
      <c r="A1871" t="s">
        <v>2278</v>
      </c>
      <c r="B1871" t="s">
        <v>2082</v>
      </c>
      <c r="C1871" t="s">
        <v>2084</v>
      </c>
      <c r="D1871">
        <v>4</v>
      </c>
      <c r="E1871" t="s">
        <v>1447</v>
      </c>
      <c r="F1871" t="s">
        <v>1989</v>
      </c>
      <c r="G1871" t="s">
        <v>1737</v>
      </c>
      <c r="H1871" t="s">
        <v>2277</v>
      </c>
      <c r="I1871" t="s">
        <v>2277</v>
      </c>
      <c r="J1871" t="s">
        <v>2277</v>
      </c>
      <c r="K1871" t="s">
        <v>2277</v>
      </c>
      <c r="L1871" t="s">
        <v>1439</v>
      </c>
      <c r="M1871" t="s">
        <v>2277</v>
      </c>
      <c r="N1871" t="s">
        <v>2277</v>
      </c>
      <c r="O1871" s="190" t="str">
        <f t="shared" si="29"/>
        <v>[S08_BaselineDataIssuesDetail][4][TypeOfIssue]</v>
      </c>
    </row>
    <row r="1872" spans="1:15" x14ac:dyDescent="0.3">
      <c r="A1872" t="s">
        <v>2278</v>
      </c>
      <c r="B1872" t="s">
        <v>2082</v>
      </c>
      <c r="C1872" t="s">
        <v>2084</v>
      </c>
      <c r="D1872">
        <v>5</v>
      </c>
      <c r="E1872" t="s">
        <v>1447</v>
      </c>
      <c r="F1872" t="s">
        <v>1989</v>
      </c>
      <c r="G1872" t="s">
        <v>1737</v>
      </c>
      <c r="H1872" t="s">
        <v>2277</v>
      </c>
      <c r="I1872" t="s">
        <v>2277</v>
      </c>
      <c r="J1872" t="s">
        <v>2277</v>
      </c>
      <c r="K1872" t="s">
        <v>2277</v>
      </c>
      <c r="L1872" t="s">
        <v>1439</v>
      </c>
      <c r="M1872" t="s">
        <v>2277</v>
      </c>
      <c r="N1872" t="s">
        <v>2277</v>
      </c>
      <c r="O1872" s="190" t="str">
        <f t="shared" si="29"/>
        <v>[S08_BaselineDataIssuesDetail][5][TypeOfIssue]</v>
      </c>
    </row>
    <row r="1873" spans="1:15" x14ac:dyDescent="0.3">
      <c r="A1873" t="s">
        <v>2278</v>
      </c>
      <c r="B1873" t="s">
        <v>2082</v>
      </c>
      <c r="C1873" t="s">
        <v>2084</v>
      </c>
      <c r="D1873">
        <v>6</v>
      </c>
      <c r="E1873" t="s">
        <v>1447</v>
      </c>
      <c r="F1873" t="s">
        <v>1989</v>
      </c>
      <c r="G1873" t="s">
        <v>1737</v>
      </c>
      <c r="H1873" t="s">
        <v>2277</v>
      </c>
      <c r="I1873" t="s">
        <v>2277</v>
      </c>
      <c r="J1873" t="s">
        <v>2277</v>
      </c>
      <c r="K1873" t="s">
        <v>2277</v>
      </c>
      <c r="L1873" t="s">
        <v>1439</v>
      </c>
      <c r="M1873" t="s">
        <v>2277</v>
      </c>
      <c r="N1873" t="s">
        <v>2277</v>
      </c>
      <c r="O1873" s="190" t="str">
        <f t="shared" si="29"/>
        <v>[S08_BaselineDataIssuesDetail][6][TypeOfIssue]</v>
      </c>
    </row>
    <row r="1874" spans="1:15" x14ac:dyDescent="0.3">
      <c r="A1874" t="s">
        <v>2278</v>
      </c>
      <c r="B1874" t="s">
        <v>2082</v>
      </c>
      <c r="C1874" t="s">
        <v>2084</v>
      </c>
      <c r="D1874">
        <v>7</v>
      </c>
      <c r="E1874" t="s">
        <v>1447</v>
      </c>
      <c r="F1874" t="s">
        <v>1989</v>
      </c>
      <c r="G1874" t="s">
        <v>1737</v>
      </c>
      <c r="H1874" t="s">
        <v>2277</v>
      </c>
      <c r="I1874" t="s">
        <v>2277</v>
      </c>
      <c r="J1874" t="s">
        <v>2277</v>
      </c>
      <c r="K1874" t="s">
        <v>2277</v>
      </c>
      <c r="L1874" t="s">
        <v>1439</v>
      </c>
      <c r="M1874" t="s">
        <v>2277</v>
      </c>
      <c r="N1874" t="s">
        <v>2277</v>
      </c>
      <c r="O1874" s="190" t="str">
        <f t="shared" si="29"/>
        <v>[S08_BaselineDataIssuesDetail][7][TypeOfIssue]</v>
      </c>
    </row>
    <row r="1875" spans="1:15" x14ac:dyDescent="0.3">
      <c r="A1875" t="s">
        <v>2278</v>
      </c>
      <c r="B1875" t="s">
        <v>2082</v>
      </c>
      <c r="C1875" t="s">
        <v>2084</v>
      </c>
      <c r="D1875">
        <v>1</v>
      </c>
      <c r="E1875" t="s">
        <v>1447</v>
      </c>
      <c r="F1875" t="s">
        <v>1798</v>
      </c>
      <c r="G1875" t="s">
        <v>1748</v>
      </c>
      <c r="H1875" t="s">
        <v>2277</v>
      </c>
      <c r="I1875">
        <v>4</v>
      </c>
      <c r="J1875" t="s">
        <v>2277</v>
      </c>
      <c r="K1875" t="s">
        <v>2277</v>
      </c>
      <c r="L1875" t="s">
        <v>2277</v>
      </c>
      <c r="M1875" t="s">
        <v>2277</v>
      </c>
      <c r="N1875" t="s">
        <v>2277</v>
      </c>
      <c r="O1875" s="190" t="str">
        <f t="shared" si="29"/>
        <v>[S08_BaselineDataIssuesDetail][1][NumberOfInstallations]</v>
      </c>
    </row>
    <row r="1876" spans="1:15" x14ac:dyDescent="0.3">
      <c r="A1876" t="s">
        <v>2278</v>
      </c>
      <c r="B1876" t="s">
        <v>2082</v>
      </c>
      <c r="C1876" t="s">
        <v>2084</v>
      </c>
      <c r="D1876">
        <v>2</v>
      </c>
      <c r="E1876" t="s">
        <v>1447</v>
      </c>
      <c r="F1876" t="s">
        <v>1798</v>
      </c>
      <c r="G1876" t="s">
        <v>1748</v>
      </c>
      <c r="H1876" t="s">
        <v>2277</v>
      </c>
      <c r="I1876">
        <v>1</v>
      </c>
      <c r="J1876" t="s">
        <v>2277</v>
      </c>
      <c r="K1876" t="s">
        <v>2277</v>
      </c>
      <c r="L1876" t="s">
        <v>2277</v>
      </c>
      <c r="M1876" t="s">
        <v>2277</v>
      </c>
      <c r="N1876" t="s">
        <v>2277</v>
      </c>
      <c r="O1876" s="190" t="str">
        <f t="shared" si="29"/>
        <v>[S08_BaselineDataIssuesDetail][2][NumberOfInstallations]</v>
      </c>
    </row>
    <row r="1877" spans="1:15" x14ac:dyDescent="0.3">
      <c r="A1877" t="s">
        <v>2278</v>
      </c>
      <c r="B1877" t="s">
        <v>2082</v>
      </c>
      <c r="C1877" t="s">
        <v>2084</v>
      </c>
      <c r="D1877">
        <v>3</v>
      </c>
      <c r="E1877" t="s">
        <v>1447</v>
      </c>
      <c r="F1877" t="s">
        <v>1798</v>
      </c>
      <c r="G1877" t="s">
        <v>1748</v>
      </c>
      <c r="H1877" t="s">
        <v>2277</v>
      </c>
      <c r="I1877">
        <v>1</v>
      </c>
      <c r="J1877" t="s">
        <v>2277</v>
      </c>
      <c r="K1877" t="s">
        <v>2277</v>
      </c>
      <c r="L1877" t="s">
        <v>2277</v>
      </c>
      <c r="M1877" t="s">
        <v>2277</v>
      </c>
      <c r="N1877" t="s">
        <v>2277</v>
      </c>
      <c r="O1877" s="190" t="str">
        <f t="shared" si="29"/>
        <v>[S08_BaselineDataIssuesDetail][3][NumberOfInstallations]</v>
      </c>
    </row>
    <row r="1878" spans="1:15" x14ac:dyDescent="0.3">
      <c r="A1878" t="s">
        <v>2278</v>
      </c>
      <c r="B1878" t="s">
        <v>2082</v>
      </c>
      <c r="C1878" t="s">
        <v>2084</v>
      </c>
      <c r="D1878">
        <v>4</v>
      </c>
      <c r="E1878" t="s">
        <v>1447</v>
      </c>
      <c r="F1878" t="s">
        <v>1798</v>
      </c>
      <c r="G1878" t="s">
        <v>1748</v>
      </c>
      <c r="H1878" t="s">
        <v>2277</v>
      </c>
      <c r="I1878">
        <v>4</v>
      </c>
      <c r="J1878" t="s">
        <v>2277</v>
      </c>
      <c r="K1878" t="s">
        <v>2277</v>
      </c>
      <c r="L1878" t="s">
        <v>2277</v>
      </c>
      <c r="M1878" t="s">
        <v>2277</v>
      </c>
      <c r="N1878" t="s">
        <v>2277</v>
      </c>
      <c r="O1878" s="190" t="str">
        <f t="shared" si="29"/>
        <v>[S08_BaselineDataIssuesDetail][4][NumberOfInstallations]</v>
      </c>
    </row>
    <row r="1879" spans="1:15" x14ac:dyDescent="0.3">
      <c r="A1879" t="s">
        <v>2278</v>
      </c>
      <c r="B1879" t="s">
        <v>2082</v>
      </c>
      <c r="C1879" t="s">
        <v>2084</v>
      </c>
      <c r="D1879">
        <v>5</v>
      </c>
      <c r="E1879" t="s">
        <v>1447</v>
      </c>
      <c r="F1879" t="s">
        <v>1798</v>
      </c>
      <c r="G1879" t="s">
        <v>1748</v>
      </c>
      <c r="H1879" t="s">
        <v>2277</v>
      </c>
      <c r="I1879">
        <v>1</v>
      </c>
      <c r="J1879" t="s">
        <v>2277</v>
      </c>
      <c r="K1879" t="s">
        <v>2277</v>
      </c>
      <c r="L1879" t="s">
        <v>2277</v>
      </c>
      <c r="M1879" t="s">
        <v>2277</v>
      </c>
      <c r="N1879" t="s">
        <v>2277</v>
      </c>
      <c r="O1879" s="190" t="str">
        <f t="shared" si="29"/>
        <v>[S08_BaselineDataIssuesDetail][5][NumberOfInstallations]</v>
      </c>
    </row>
    <row r="1880" spans="1:15" x14ac:dyDescent="0.3">
      <c r="A1880" t="s">
        <v>2278</v>
      </c>
      <c r="B1880" t="s">
        <v>2082</v>
      </c>
      <c r="C1880" t="s">
        <v>2084</v>
      </c>
      <c r="D1880">
        <v>6</v>
      </c>
      <c r="E1880" t="s">
        <v>1447</v>
      </c>
      <c r="F1880" t="s">
        <v>1798</v>
      </c>
      <c r="G1880" t="s">
        <v>1748</v>
      </c>
      <c r="H1880" t="s">
        <v>2277</v>
      </c>
      <c r="I1880">
        <v>1</v>
      </c>
      <c r="J1880" t="s">
        <v>2277</v>
      </c>
      <c r="K1880" t="s">
        <v>2277</v>
      </c>
      <c r="L1880" t="s">
        <v>2277</v>
      </c>
      <c r="M1880" t="s">
        <v>2277</v>
      </c>
      <c r="N1880" t="s">
        <v>2277</v>
      </c>
      <c r="O1880" s="190" t="str">
        <f t="shared" si="29"/>
        <v>[S08_BaselineDataIssuesDetail][6][NumberOfInstallations]</v>
      </c>
    </row>
    <row r="1881" spans="1:15" x14ac:dyDescent="0.3">
      <c r="A1881" t="s">
        <v>2278</v>
      </c>
      <c r="B1881" t="s">
        <v>2082</v>
      </c>
      <c r="C1881" t="s">
        <v>2084</v>
      </c>
      <c r="D1881">
        <v>7</v>
      </c>
      <c r="E1881" t="s">
        <v>1447</v>
      </c>
      <c r="F1881" t="s">
        <v>1798</v>
      </c>
      <c r="G1881" t="s">
        <v>1748</v>
      </c>
      <c r="H1881" t="s">
        <v>2277</v>
      </c>
      <c r="I1881">
        <v>1</v>
      </c>
      <c r="J1881" t="s">
        <v>2277</v>
      </c>
      <c r="K1881" t="s">
        <v>2277</v>
      </c>
      <c r="L1881" t="s">
        <v>2277</v>
      </c>
      <c r="M1881" t="s">
        <v>2277</v>
      </c>
      <c r="N1881" t="s">
        <v>2277</v>
      </c>
      <c r="O1881" s="190" t="str">
        <f t="shared" si="29"/>
        <v>[S08_BaselineDataIssuesDetail][7][NumberOfInstallations]</v>
      </c>
    </row>
    <row r="1882" spans="1:15" x14ac:dyDescent="0.3">
      <c r="A1882" t="s">
        <v>2278</v>
      </c>
      <c r="B1882" t="s">
        <v>2082</v>
      </c>
      <c r="C1882" t="s">
        <v>2084</v>
      </c>
      <c r="D1882">
        <v>1</v>
      </c>
      <c r="E1882" t="s">
        <v>1447</v>
      </c>
      <c r="F1882" t="s">
        <v>1972</v>
      </c>
      <c r="G1882" t="s">
        <v>1748</v>
      </c>
      <c r="H1882" t="s">
        <v>2277</v>
      </c>
      <c r="I1882">
        <v>4</v>
      </c>
      <c r="J1882" t="s">
        <v>2277</v>
      </c>
      <c r="K1882" t="s">
        <v>2277</v>
      </c>
      <c r="L1882" t="s">
        <v>2277</v>
      </c>
      <c r="M1882" t="s">
        <v>2277</v>
      </c>
      <c r="N1882" t="s">
        <v>2277</v>
      </c>
      <c r="O1882" s="190" t="str">
        <f t="shared" si="29"/>
        <v>[S08_BaselineDataIssuesDetail][1][NumberOfIssues]</v>
      </c>
    </row>
    <row r="1883" spans="1:15" x14ac:dyDescent="0.3">
      <c r="A1883" t="s">
        <v>2278</v>
      </c>
      <c r="B1883" t="s">
        <v>2082</v>
      </c>
      <c r="C1883" t="s">
        <v>2084</v>
      </c>
      <c r="D1883">
        <v>2</v>
      </c>
      <c r="E1883" t="s">
        <v>1447</v>
      </c>
      <c r="F1883" t="s">
        <v>1972</v>
      </c>
      <c r="G1883" t="s">
        <v>1748</v>
      </c>
      <c r="H1883" t="s">
        <v>2277</v>
      </c>
      <c r="I1883">
        <v>1</v>
      </c>
      <c r="J1883" t="s">
        <v>2277</v>
      </c>
      <c r="K1883" t="s">
        <v>2277</v>
      </c>
      <c r="L1883" t="s">
        <v>2277</v>
      </c>
      <c r="M1883" t="s">
        <v>2277</v>
      </c>
      <c r="N1883" t="s">
        <v>2277</v>
      </c>
      <c r="O1883" s="190" t="str">
        <f t="shared" si="29"/>
        <v>[S08_BaselineDataIssuesDetail][2][NumberOfIssues]</v>
      </c>
    </row>
    <row r="1884" spans="1:15" x14ac:dyDescent="0.3">
      <c r="A1884" t="s">
        <v>2278</v>
      </c>
      <c r="B1884" t="s">
        <v>2082</v>
      </c>
      <c r="C1884" t="s">
        <v>2084</v>
      </c>
      <c r="D1884">
        <v>3</v>
      </c>
      <c r="E1884" t="s">
        <v>1447</v>
      </c>
      <c r="F1884" t="s">
        <v>1972</v>
      </c>
      <c r="G1884" t="s">
        <v>1748</v>
      </c>
      <c r="H1884" t="s">
        <v>2277</v>
      </c>
      <c r="I1884">
        <v>1</v>
      </c>
      <c r="J1884" t="s">
        <v>2277</v>
      </c>
      <c r="K1884" t="s">
        <v>2277</v>
      </c>
      <c r="L1884" t="s">
        <v>2277</v>
      </c>
      <c r="M1884" t="s">
        <v>2277</v>
      </c>
      <c r="N1884" t="s">
        <v>2277</v>
      </c>
      <c r="O1884" s="190" t="str">
        <f t="shared" si="29"/>
        <v>[S08_BaselineDataIssuesDetail][3][NumberOfIssues]</v>
      </c>
    </row>
    <row r="1885" spans="1:15" x14ac:dyDescent="0.3">
      <c r="A1885" t="s">
        <v>2278</v>
      </c>
      <c r="B1885" t="s">
        <v>2082</v>
      </c>
      <c r="C1885" t="s">
        <v>2084</v>
      </c>
      <c r="D1885">
        <v>4</v>
      </c>
      <c r="E1885" t="s">
        <v>1447</v>
      </c>
      <c r="F1885" t="s">
        <v>1972</v>
      </c>
      <c r="G1885" t="s">
        <v>1748</v>
      </c>
      <c r="H1885" t="s">
        <v>2277</v>
      </c>
      <c r="I1885">
        <v>4</v>
      </c>
      <c r="J1885" t="s">
        <v>2277</v>
      </c>
      <c r="K1885" t="s">
        <v>2277</v>
      </c>
      <c r="L1885" t="s">
        <v>2277</v>
      </c>
      <c r="M1885" t="s">
        <v>2277</v>
      </c>
      <c r="N1885" t="s">
        <v>2277</v>
      </c>
      <c r="O1885" s="190" t="str">
        <f t="shared" si="29"/>
        <v>[S08_BaselineDataIssuesDetail][4][NumberOfIssues]</v>
      </c>
    </row>
    <row r="1886" spans="1:15" x14ac:dyDescent="0.3">
      <c r="A1886" t="s">
        <v>2278</v>
      </c>
      <c r="B1886" t="s">
        <v>2082</v>
      </c>
      <c r="C1886" t="s">
        <v>2084</v>
      </c>
      <c r="D1886">
        <v>5</v>
      </c>
      <c r="E1886" t="s">
        <v>1447</v>
      </c>
      <c r="F1886" t="s">
        <v>1972</v>
      </c>
      <c r="G1886" t="s">
        <v>1748</v>
      </c>
      <c r="H1886" t="s">
        <v>2277</v>
      </c>
      <c r="I1886">
        <v>1</v>
      </c>
      <c r="J1886" t="s">
        <v>2277</v>
      </c>
      <c r="K1886" t="s">
        <v>2277</v>
      </c>
      <c r="L1886" t="s">
        <v>2277</v>
      </c>
      <c r="M1886" t="s">
        <v>2277</v>
      </c>
      <c r="N1886" t="s">
        <v>2277</v>
      </c>
      <c r="O1886" s="190" t="str">
        <f t="shared" si="29"/>
        <v>[S08_BaselineDataIssuesDetail][5][NumberOfIssues]</v>
      </c>
    </row>
    <row r="1887" spans="1:15" x14ac:dyDescent="0.3">
      <c r="A1887" t="s">
        <v>2278</v>
      </c>
      <c r="B1887" t="s">
        <v>2082</v>
      </c>
      <c r="C1887" t="s">
        <v>2084</v>
      </c>
      <c r="D1887">
        <v>6</v>
      </c>
      <c r="E1887" t="s">
        <v>1447</v>
      </c>
      <c r="F1887" t="s">
        <v>1972</v>
      </c>
      <c r="G1887" t="s">
        <v>1748</v>
      </c>
      <c r="H1887" t="s">
        <v>2277</v>
      </c>
      <c r="I1887">
        <v>1</v>
      </c>
      <c r="J1887" t="s">
        <v>2277</v>
      </c>
      <c r="K1887" t="s">
        <v>2277</v>
      </c>
      <c r="L1887" t="s">
        <v>2277</v>
      </c>
      <c r="M1887" t="s">
        <v>2277</v>
      </c>
      <c r="N1887" t="s">
        <v>2277</v>
      </c>
      <c r="O1887" s="190" t="str">
        <f t="shared" si="29"/>
        <v>[S08_BaselineDataIssuesDetail][6][NumberOfIssues]</v>
      </c>
    </row>
    <row r="1888" spans="1:15" x14ac:dyDescent="0.3">
      <c r="A1888" t="s">
        <v>2278</v>
      </c>
      <c r="B1888" t="s">
        <v>2082</v>
      </c>
      <c r="C1888" t="s">
        <v>2084</v>
      </c>
      <c r="D1888">
        <v>7</v>
      </c>
      <c r="E1888" t="s">
        <v>1447</v>
      </c>
      <c r="F1888" t="s">
        <v>1972</v>
      </c>
      <c r="G1888" t="s">
        <v>1748</v>
      </c>
      <c r="H1888" t="s">
        <v>2277</v>
      </c>
      <c r="I1888">
        <v>1</v>
      </c>
      <c r="J1888" t="s">
        <v>2277</v>
      </c>
      <c r="K1888" t="s">
        <v>2277</v>
      </c>
      <c r="L1888" t="s">
        <v>2277</v>
      </c>
      <c r="M1888" t="s">
        <v>2277</v>
      </c>
      <c r="N1888" t="s">
        <v>2277</v>
      </c>
      <c r="O1888" s="190" t="str">
        <f t="shared" si="29"/>
        <v>[S08_BaselineDataIssuesDetail][7][NumberOfIssues]</v>
      </c>
    </row>
    <row r="1889" spans="1:15" x14ac:dyDescent="0.3">
      <c r="A1889" t="s">
        <v>2278</v>
      </c>
      <c r="B1889" t="s">
        <v>2082</v>
      </c>
      <c r="C1889" t="s">
        <v>2084</v>
      </c>
      <c r="D1889">
        <v>1</v>
      </c>
      <c r="E1889" t="s">
        <v>1447</v>
      </c>
      <c r="F1889" t="s">
        <v>2085</v>
      </c>
      <c r="G1889" t="s">
        <v>1748</v>
      </c>
      <c r="H1889" t="s">
        <v>2277</v>
      </c>
      <c r="I1889">
        <v>0</v>
      </c>
      <c r="J1889" t="s">
        <v>2277</v>
      </c>
      <c r="K1889" t="s">
        <v>2277</v>
      </c>
      <c r="L1889" t="s">
        <v>2277</v>
      </c>
      <c r="M1889" t="s">
        <v>2277</v>
      </c>
      <c r="N1889" t="s">
        <v>2277</v>
      </c>
      <c r="O1889" s="190" t="str">
        <f t="shared" si="29"/>
        <v>[S08_BaselineDataIssuesDetail][1][NumberOfInstallationsArt152]</v>
      </c>
    </row>
    <row r="1890" spans="1:15" x14ac:dyDescent="0.3">
      <c r="A1890" t="s">
        <v>2278</v>
      </c>
      <c r="B1890" t="s">
        <v>2082</v>
      </c>
      <c r="C1890" t="s">
        <v>2084</v>
      </c>
      <c r="D1890">
        <v>2</v>
      </c>
      <c r="E1890" t="s">
        <v>1447</v>
      </c>
      <c r="F1890" t="s">
        <v>2085</v>
      </c>
      <c r="G1890" t="s">
        <v>1748</v>
      </c>
      <c r="H1890" t="s">
        <v>2277</v>
      </c>
      <c r="I1890">
        <v>0</v>
      </c>
      <c r="J1890" t="s">
        <v>2277</v>
      </c>
      <c r="K1890" t="s">
        <v>2277</v>
      </c>
      <c r="L1890" t="s">
        <v>2277</v>
      </c>
      <c r="M1890" t="s">
        <v>2277</v>
      </c>
      <c r="N1890" t="s">
        <v>2277</v>
      </c>
      <c r="O1890" s="190" t="str">
        <f t="shared" si="29"/>
        <v>[S08_BaselineDataIssuesDetail][2][NumberOfInstallationsArt152]</v>
      </c>
    </row>
    <row r="1891" spans="1:15" x14ac:dyDescent="0.3">
      <c r="A1891" t="s">
        <v>2278</v>
      </c>
      <c r="B1891" t="s">
        <v>2082</v>
      </c>
      <c r="C1891" t="s">
        <v>2084</v>
      </c>
      <c r="D1891">
        <v>3</v>
      </c>
      <c r="E1891" t="s">
        <v>1447</v>
      </c>
      <c r="F1891" t="s">
        <v>2085</v>
      </c>
      <c r="G1891" t="s">
        <v>1748</v>
      </c>
      <c r="H1891" t="s">
        <v>2277</v>
      </c>
      <c r="I1891">
        <v>0</v>
      </c>
      <c r="J1891" t="s">
        <v>2277</v>
      </c>
      <c r="K1891" t="s">
        <v>2277</v>
      </c>
      <c r="L1891" t="s">
        <v>2277</v>
      </c>
      <c r="M1891" t="s">
        <v>2277</v>
      </c>
      <c r="N1891" t="s">
        <v>2277</v>
      </c>
      <c r="O1891" s="190" t="str">
        <f t="shared" si="29"/>
        <v>[S08_BaselineDataIssuesDetail][3][NumberOfInstallationsArt152]</v>
      </c>
    </row>
    <row r="1892" spans="1:15" x14ac:dyDescent="0.3">
      <c r="A1892" t="s">
        <v>2278</v>
      </c>
      <c r="B1892" t="s">
        <v>2082</v>
      </c>
      <c r="C1892" t="s">
        <v>2084</v>
      </c>
      <c r="D1892">
        <v>4</v>
      </c>
      <c r="E1892" t="s">
        <v>1447</v>
      </c>
      <c r="F1892" t="s">
        <v>2085</v>
      </c>
      <c r="G1892" t="s">
        <v>1748</v>
      </c>
      <c r="H1892" t="s">
        <v>2277</v>
      </c>
      <c r="I1892">
        <v>0</v>
      </c>
      <c r="J1892" t="s">
        <v>2277</v>
      </c>
      <c r="K1892" t="s">
        <v>2277</v>
      </c>
      <c r="L1892" t="s">
        <v>2277</v>
      </c>
      <c r="M1892" t="s">
        <v>2277</v>
      </c>
      <c r="N1892" t="s">
        <v>2277</v>
      </c>
      <c r="O1892" s="190" t="str">
        <f t="shared" si="29"/>
        <v>[S08_BaselineDataIssuesDetail][4][NumberOfInstallationsArt152]</v>
      </c>
    </row>
    <row r="1893" spans="1:15" x14ac:dyDescent="0.3">
      <c r="A1893" t="s">
        <v>2278</v>
      </c>
      <c r="B1893" t="s">
        <v>2082</v>
      </c>
      <c r="C1893" t="s">
        <v>2084</v>
      </c>
      <c r="D1893">
        <v>5</v>
      </c>
      <c r="E1893" t="s">
        <v>1447</v>
      </c>
      <c r="F1893" t="s">
        <v>2085</v>
      </c>
      <c r="G1893" t="s">
        <v>1748</v>
      </c>
      <c r="H1893" t="s">
        <v>2277</v>
      </c>
      <c r="I1893">
        <v>0</v>
      </c>
      <c r="J1893" t="s">
        <v>2277</v>
      </c>
      <c r="K1893" t="s">
        <v>2277</v>
      </c>
      <c r="L1893" t="s">
        <v>2277</v>
      </c>
      <c r="M1893" t="s">
        <v>2277</v>
      </c>
      <c r="N1893" t="s">
        <v>2277</v>
      </c>
      <c r="O1893" s="190" t="str">
        <f t="shared" si="29"/>
        <v>[S08_BaselineDataIssuesDetail][5][NumberOfInstallationsArt152]</v>
      </c>
    </row>
    <row r="1894" spans="1:15" x14ac:dyDescent="0.3">
      <c r="A1894" t="s">
        <v>2278</v>
      </c>
      <c r="B1894" t="s">
        <v>2082</v>
      </c>
      <c r="C1894" t="s">
        <v>2084</v>
      </c>
      <c r="D1894">
        <v>6</v>
      </c>
      <c r="E1894" t="s">
        <v>1447</v>
      </c>
      <c r="F1894" t="s">
        <v>2085</v>
      </c>
      <c r="G1894" t="s">
        <v>1748</v>
      </c>
      <c r="H1894" t="s">
        <v>2277</v>
      </c>
      <c r="I1894">
        <v>0</v>
      </c>
      <c r="J1894" t="s">
        <v>2277</v>
      </c>
      <c r="K1894" t="s">
        <v>2277</v>
      </c>
      <c r="L1894" t="s">
        <v>2277</v>
      </c>
      <c r="M1894" t="s">
        <v>2277</v>
      </c>
      <c r="N1894" t="s">
        <v>2277</v>
      </c>
      <c r="O1894" s="190" t="str">
        <f t="shared" si="29"/>
        <v>[S08_BaselineDataIssuesDetail][6][NumberOfInstallationsArt152]</v>
      </c>
    </row>
    <row r="1895" spans="1:15" x14ac:dyDescent="0.3">
      <c r="A1895" t="s">
        <v>2278</v>
      </c>
      <c r="B1895" t="s">
        <v>2082</v>
      </c>
      <c r="C1895" t="s">
        <v>2084</v>
      </c>
      <c r="D1895">
        <v>7</v>
      </c>
      <c r="E1895" t="s">
        <v>1447</v>
      </c>
      <c r="F1895" t="s">
        <v>2085</v>
      </c>
      <c r="G1895" t="s">
        <v>1748</v>
      </c>
      <c r="H1895" t="s">
        <v>2277</v>
      </c>
      <c r="I1895">
        <v>0</v>
      </c>
      <c r="J1895" t="s">
        <v>2277</v>
      </c>
      <c r="K1895" t="s">
        <v>2277</v>
      </c>
      <c r="L1895" t="s">
        <v>2277</v>
      </c>
      <c r="M1895" t="s">
        <v>2277</v>
      </c>
      <c r="N1895" t="s">
        <v>2277</v>
      </c>
      <c r="O1895" s="190" t="str">
        <f t="shared" si="29"/>
        <v>[S08_BaselineDataIssuesDetail][7][NumberOfInstallationsArt152]</v>
      </c>
    </row>
    <row r="1896" spans="1:15" x14ac:dyDescent="0.3">
      <c r="A1896" t="s">
        <v>2278</v>
      </c>
      <c r="B1896" t="s">
        <v>2086</v>
      </c>
      <c r="C1896" t="s">
        <v>2087</v>
      </c>
      <c r="D1896">
        <v>0</v>
      </c>
      <c r="E1896" t="s">
        <v>1447</v>
      </c>
      <c r="F1896" t="s">
        <v>2087</v>
      </c>
      <c r="G1896" t="s">
        <v>1759</v>
      </c>
      <c r="H1896" t="s">
        <v>2277</v>
      </c>
      <c r="I1896" t="s">
        <v>2277</v>
      </c>
      <c r="J1896" t="s">
        <v>2277</v>
      </c>
      <c r="K1896" t="s">
        <v>2277</v>
      </c>
      <c r="L1896" t="s">
        <v>1447</v>
      </c>
      <c r="M1896" t="s">
        <v>2277</v>
      </c>
      <c r="N1896" t="s">
        <v>2277</v>
      </c>
      <c r="O1896" s="190" t="str">
        <f t="shared" si="29"/>
        <v>[AdditionalParametersRequired][0][AdditionalParametersRequired]</v>
      </c>
    </row>
    <row r="1897" spans="1:15" x14ac:dyDescent="0.3">
      <c r="A1897" t="s">
        <v>2278</v>
      </c>
      <c r="B1897" t="s">
        <v>2089</v>
      </c>
      <c r="C1897" t="s">
        <v>2090</v>
      </c>
      <c r="D1897">
        <v>0</v>
      </c>
      <c r="E1897" t="s">
        <v>1447</v>
      </c>
      <c r="F1897" t="s">
        <v>2090</v>
      </c>
      <c r="G1897" t="s">
        <v>1759</v>
      </c>
      <c r="H1897" t="s">
        <v>2277</v>
      </c>
      <c r="I1897" t="s">
        <v>2277</v>
      </c>
      <c r="J1897" t="s">
        <v>2277</v>
      </c>
      <c r="K1897" t="s">
        <v>2277</v>
      </c>
      <c r="L1897" t="s">
        <v>1447</v>
      </c>
      <c r="M1897" t="s">
        <v>2277</v>
      </c>
      <c r="N1897" t="s">
        <v>2277</v>
      </c>
      <c r="O1897" s="190" t="str">
        <f t="shared" si="29"/>
        <v>[PreliminaryActivityRequired][0][PreliminaryActivityRequired]</v>
      </c>
    </row>
    <row r="1898" spans="1:15" x14ac:dyDescent="0.3">
      <c r="A1898" t="s">
        <v>2278</v>
      </c>
      <c r="B1898" t="s">
        <v>2092</v>
      </c>
      <c r="C1898" t="s">
        <v>2093</v>
      </c>
      <c r="D1898">
        <v>1</v>
      </c>
      <c r="E1898" t="s">
        <v>1447</v>
      </c>
      <c r="F1898" t="s">
        <v>1798</v>
      </c>
      <c r="G1898" t="s">
        <v>1748</v>
      </c>
      <c r="H1898" t="s">
        <v>2277</v>
      </c>
      <c r="I1898">
        <v>5</v>
      </c>
      <c r="J1898" t="s">
        <v>2277</v>
      </c>
      <c r="K1898" t="s">
        <v>2277</v>
      </c>
      <c r="L1898" t="s">
        <v>2277</v>
      </c>
      <c r="M1898" t="s">
        <v>2277</v>
      </c>
      <c r="N1898" t="s">
        <v>2277</v>
      </c>
      <c r="O1898" s="190" t="str">
        <f t="shared" si="29"/>
        <v>[S08_NegativeOpinionActivityData][1][NumberOfInstallations]</v>
      </c>
    </row>
    <row r="1899" spans="1:15" x14ac:dyDescent="0.3">
      <c r="A1899" t="s">
        <v>2278</v>
      </c>
      <c r="B1899" t="s">
        <v>2092</v>
      </c>
      <c r="C1899" t="s">
        <v>2093</v>
      </c>
      <c r="D1899">
        <v>1</v>
      </c>
      <c r="E1899" t="s">
        <v>1447</v>
      </c>
      <c r="F1899" t="s">
        <v>2094</v>
      </c>
      <c r="G1899" t="s">
        <v>1748</v>
      </c>
      <c r="H1899" t="s">
        <v>2277</v>
      </c>
      <c r="I1899">
        <v>5</v>
      </c>
      <c r="J1899" t="s">
        <v>2277</v>
      </c>
      <c r="K1899" t="s">
        <v>2277</v>
      </c>
      <c r="L1899" t="s">
        <v>2277</v>
      </c>
      <c r="M1899" t="s">
        <v>2277</v>
      </c>
      <c r="N1899" t="s">
        <v>2277</v>
      </c>
      <c r="O1899" s="190" t="str">
        <f t="shared" si="29"/>
        <v>[S08_NegativeOpinionActivityData][1][NumberOfInstallationsConEst]</v>
      </c>
    </row>
    <row r="1900" spans="1:15" x14ac:dyDescent="0.3">
      <c r="A1900" t="s">
        <v>2278</v>
      </c>
      <c r="B1900" t="s">
        <v>2092</v>
      </c>
      <c r="C1900" t="s">
        <v>2095</v>
      </c>
      <c r="D1900">
        <v>0</v>
      </c>
      <c r="E1900" t="s">
        <v>1447</v>
      </c>
      <c r="F1900" t="s">
        <v>2095</v>
      </c>
      <c r="G1900" t="s">
        <v>1759</v>
      </c>
      <c r="H1900" t="s">
        <v>2277</v>
      </c>
      <c r="I1900" t="s">
        <v>2277</v>
      </c>
      <c r="J1900" t="s">
        <v>2277</v>
      </c>
      <c r="K1900" t="s">
        <v>2277</v>
      </c>
      <c r="L1900" t="s">
        <v>1419</v>
      </c>
      <c r="M1900" t="s">
        <v>2277</v>
      </c>
      <c r="N1900" t="s">
        <v>2277</v>
      </c>
      <c r="O1900" s="190" t="str">
        <f t="shared" si="29"/>
        <v>[ActivityDataIssues][0][ActivityDataIssues]</v>
      </c>
    </row>
    <row r="1901" spans="1:15" x14ac:dyDescent="0.3">
      <c r="A1901" t="s">
        <v>2278</v>
      </c>
      <c r="B1901" t="s">
        <v>2096</v>
      </c>
      <c r="C1901" t="s">
        <v>2097</v>
      </c>
      <c r="D1901">
        <v>1</v>
      </c>
      <c r="E1901" t="s">
        <v>1447</v>
      </c>
      <c r="F1901" t="s">
        <v>1988</v>
      </c>
      <c r="G1901" t="s">
        <v>1737</v>
      </c>
      <c r="H1901" t="s">
        <v>2277</v>
      </c>
      <c r="I1901" t="s">
        <v>2277</v>
      </c>
      <c r="J1901" t="s">
        <v>2277</v>
      </c>
      <c r="K1901" t="s">
        <v>2277</v>
      </c>
      <c r="L1901" t="s">
        <v>1420</v>
      </c>
      <c r="M1901" t="s">
        <v>2277</v>
      </c>
      <c r="N1901" t="s">
        <v>2277</v>
      </c>
      <c r="O1901" s="190" t="str">
        <f t="shared" si="29"/>
        <v>[S08_ActivityDataIssuesDetail][1][AnnexIActivity]</v>
      </c>
    </row>
    <row r="1902" spans="1:15" x14ac:dyDescent="0.3">
      <c r="A1902" t="s">
        <v>2278</v>
      </c>
      <c r="B1902" t="s">
        <v>2096</v>
      </c>
      <c r="C1902" t="s">
        <v>2097</v>
      </c>
      <c r="D1902">
        <v>2</v>
      </c>
      <c r="E1902" t="s">
        <v>1447</v>
      </c>
      <c r="F1902" t="s">
        <v>1988</v>
      </c>
      <c r="G1902" t="s">
        <v>1737</v>
      </c>
      <c r="H1902" t="s">
        <v>2277</v>
      </c>
      <c r="I1902" t="s">
        <v>2277</v>
      </c>
      <c r="J1902" t="s">
        <v>2277</v>
      </c>
      <c r="K1902" t="s">
        <v>2277</v>
      </c>
      <c r="L1902" t="s">
        <v>1568</v>
      </c>
      <c r="M1902" t="s">
        <v>2277</v>
      </c>
      <c r="N1902" t="s">
        <v>2277</v>
      </c>
      <c r="O1902" s="190" t="str">
        <f t="shared" si="29"/>
        <v>[S08_ActivityDataIssuesDetail][2][AnnexIActivity]</v>
      </c>
    </row>
    <row r="1903" spans="1:15" x14ac:dyDescent="0.3">
      <c r="A1903" t="s">
        <v>2278</v>
      </c>
      <c r="B1903" t="s">
        <v>2096</v>
      </c>
      <c r="C1903" t="s">
        <v>2097</v>
      </c>
      <c r="D1903">
        <v>3</v>
      </c>
      <c r="E1903" t="s">
        <v>1447</v>
      </c>
      <c r="F1903" t="s">
        <v>1988</v>
      </c>
      <c r="G1903" t="s">
        <v>1737</v>
      </c>
      <c r="H1903" t="s">
        <v>2277</v>
      </c>
      <c r="I1903" t="s">
        <v>2277</v>
      </c>
      <c r="J1903" t="s">
        <v>2277</v>
      </c>
      <c r="K1903" t="s">
        <v>2277</v>
      </c>
      <c r="L1903" t="s">
        <v>1573</v>
      </c>
      <c r="M1903" t="s">
        <v>2277</v>
      </c>
      <c r="N1903" t="s">
        <v>2277</v>
      </c>
      <c r="O1903" s="190" t="str">
        <f t="shared" si="29"/>
        <v>[S08_ActivityDataIssuesDetail][3][AnnexIActivity]</v>
      </c>
    </row>
    <row r="1904" spans="1:15" x14ac:dyDescent="0.3">
      <c r="A1904" t="s">
        <v>2278</v>
      </c>
      <c r="B1904" t="s">
        <v>2096</v>
      </c>
      <c r="C1904" t="s">
        <v>2097</v>
      </c>
      <c r="D1904">
        <v>4</v>
      </c>
      <c r="E1904" t="s">
        <v>1447</v>
      </c>
      <c r="F1904" t="s">
        <v>1988</v>
      </c>
      <c r="G1904" t="s">
        <v>1737</v>
      </c>
      <c r="H1904" t="s">
        <v>2277</v>
      </c>
      <c r="I1904" t="s">
        <v>2277</v>
      </c>
      <c r="J1904" t="s">
        <v>2277</v>
      </c>
      <c r="K1904" t="s">
        <v>2277</v>
      </c>
      <c r="L1904" t="s">
        <v>1577</v>
      </c>
      <c r="M1904" t="s">
        <v>2277</v>
      </c>
      <c r="N1904" t="s">
        <v>2277</v>
      </c>
      <c r="O1904" s="190" t="str">
        <f t="shared" si="29"/>
        <v>[S08_ActivityDataIssuesDetail][4][AnnexIActivity]</v>
      </c>
    </row>
    <row r="1905" spans="1:15" x14ac:dyDescent="0.3">
      <c r="A1905" t="s">
        <v>2278</v>
      </c>
      <c r="B1905" t="s">
        <v>2096</v>
      </c>
      <c r="C1905" t="s">
        <v>2097</v>
      </c>
      <c r="D1905">
        <v>1</v>
      </c>
      <c r="E1905" t="s">
        <v>1447</v>
      </c>
      <c r="F1905" t="s">
        <v>1989</v>
      </c>
      <c r="G1905" t="s">
        <v>1737</v>
      </c>
      <c r="H1905" t="s">
        <v>2277</v>
      </c>
      <c r="I1905" t="s">
        <v>2277</v>
      </c>
      <c r="J1905" t="s">
        <v>2277</v>
      </c>
      <c r="K1905" t="s">
        <v>2277</v>
      </c>
      <c r="L1905" t="s">
        <v>1439</v>
      </c>
      <c r="M1905" t="s">
        <v>2277</v>
      </c>
      <c r="N1905" t="s">
        <v>2277</v>
      </c>
      <c r="O1905" s="190" t="str">
        <f t="shared" si="29"/>
        <v>[S08_ActivityDataIssuesDetail][1][TypeOfIssue]</v>
      </c>
    </row>
    <row r="1906" spans="1:15" x14ac:dyDescent="0.3">
      <c r="A1906" t="s">
        <v>2278</v>
      </c>
      <c r="B1906" t="s">
        <v>2096</v>
      </c>
      <c r="C1906" t="s">
        <v>2097</v>
      </c>
      <c r="D1906">
        <v>2</v>
      </c>
      <c r="E1906" t="s">
        <v>1447</v>
      </c>
      <c r="F1906" t="s">
        <v>1989</v>
      </c>
      <c r="G1906" t="s">
        <v>1737</v>
      </c>
      <c r="H1906" t="s">
        <v>2277</v>
      </c>
      <c r="I1906" t="s">
        <v>2277</v>
      </c>
      <c r="J1906" t="s">
        <v>2277</v>
      </c>
      <c r="K1906" t="s">
        <v>2277</v>
      </c>
      <c r="L1906" t="s">
        <v>1439</v>
      </c>
      <c r="M1906" t="s">
        <v>2277</v>
      </c>
      <c r="N1906" t="s">
        <v>2277</v>
      </c>
      <c r="O1906" s="190" t="str">
        <f t="shared" si="29"/>
        <v>[S08_ActivityDataIssuesDetail][2][TypeOfIssue]</v>
      </c>
    </row>
    <row r="1907" spans="1:15" x14ac:dyDescent="0.3">
      <c r="A1907" t="s">
        <v>2278</v>
      </c>
      <c r="B1907" t="s">
        <v>2096</v>
      </c>
      <c r="C1907" t="s">
        <v>2097</v>
      </c>
      <c r="D1907">
        <v>3</v>
      </c>
      <c r="E1907" t="s">
        <v>1447</v>
      </c>
      <c r="F1907" t="s">
        <v>1989</v>
      </c>
      <c r="G1907" t="s">
        <v>1737</v>
      </c>
      <c r="H1907" t="s">
        <v>2277</v>
      </c>
      <c r="I1907" t="s">
        <v>2277</v>
      </c>
      <c r="J1907" t="s">
        <v>2277</v>
      </c>
      <c r="K1907" t="s">
        <v>2277</v>
      </c>
      <c r="L1907" t="s">
        <v>1439</v>
      </c>
      <c r="M1907" t="s">
        <v>2277</v>
      </c>
      <c r="N1907" t="s">
        <v>2277</v>
      </c>
      <c r="O1907" s="190" t="str">
        <f t="shared" si="29"/>
        <v>[S08_ActivityDataIssuesDetail][3][TypeOfIssue]</v>
      </c>
    </row>
    <row r="1908" spans="1:15" x14ac:dyDescent="0.3">
      <c r="A1908" t="s">
        <v>2278</v>
      </c>
      <c r="B1908" t="s">
        <v>2096</v>
      </c>
      <c r="C1908" t="s">
        <v>2097</v>
      </c>
      <c r="D1908">
        <v>4</v>
      </c>
      <c r="E1908" t="s">
        <v>1447</v>
      </c>
      <c r="F1908" t="s">
        <v>1989</v>
      </c>
      <c r="G1908" t="s">
        <v>1737</v>
      </c>
      <c r="H1908" t="s">
        <v>2277</v>
      </c>
      <c r="I1908" t="s">
        <v>2277</v>
      </c>
      <c r="J1908" t="s">
        <v>2277</v>
      </c>
      <c r="K1908" t="s">
        <v>2277</v>
      </c>
      <c r="L1908" t="s">
        <v>1439</v>
      </c>
      <c r="M1908" t="s">
        <v>2277</v>
      </c>
      <c r="N1908" t="s">
        <v>2277</v>
      </c>
      <c r="O1908" s="190" t="str">
        <f t="shared" si="29"/>
        <v>[S08_ActivityDataIssuesDetail][4][TypeOfIssue]</v>
      </c>
    </row>
    <row r="1909" spans="1:15" x14ac:dyDescent="0.3">
      <c r="A1909" t="s">
        <v>2278</v>
      </c>
      <c r="B1909" t="s">
        <v>2096</v>
      </c>
      <c r="C1909" t="s">
        <v>2097</v>
      </c>
      <c r="D1909">
        <v>1</v>
      </c>
      <c r="E1909" t="s">
        <v>1447</v>
      </c>
      <c r="F1909" t="s">
        <v>1798</v>
      </c>
      <c r="G1909" t="s">
        <v>1748</v>
      </c>
      <c r="H1909" t="s">
        <v>2277</v>
      </c>
      <c r="I1909">
        <v>28</v>
      </c>
      <c r="J1909" t="s">
        <v>2277</v>
      </c>
      <c r="K1909" t="s">
        <v>2277</v>
      </c>
      <c r="L1909" t="s">
        <v>2277</v>
      </c>
      <c r="M1909" t="s">
        <v>2277</v>
      </c>
      <c r="N1909" t="s">
        <v>2277</v>
      </c>
      <c r="O1909" s="190" t="str">
        <f t="shared" si="29"/>
        <v>[S08_ActivityDataIssuesDetail][1][NumberOfInstallations]</v>
      </c>
    </row>
    <row r="1910" spans="1:15" x14ac:dyDescent="0.3">
      <c r="A1910" t="s">
        <v>2278</v>
      </c>
      <c r="B1910" t="s">
        <v>2096</v>
      </c>
      <c r="C1910" t="s">
        <v>2097</v>
      </c>
      <c r="D1910">
        <v>2</v>
      </c>
      <c r="E1910" t="s">
        <v>1447</v>
      </c>
      <c r="F1910" t="s">
        <v>1798</v>
      </c>
      <c r="G1910" t="s">
        <v>1748</v>
      </c>
      <c r="H1910" t="s">
        <v>2277</v>
      </c>
      <c r="I1910">
        <v>1</v>
      </c>
      <c r="J1910" t="s">
        <v>2277</v>
      </c>
      <c r="K1910" t="s">
        <v>2277</v>
      </c>
      <c r="L1910" t="s">
        <v>2277</v>
      </c>
      <c r="M1910" t="s">
        <v>2277</v>
      </c>
      <c r="N1910" t="s">
        <v>2277</v>
      </c>
      <c r="O1910" s="190" t="str">
        <f t="shared" si="29"/>
        <v>[S08_ActivityDataIssuesDetail][2][NumberOfInstallations]</v>
      </c>
    </row>
    <row r="1911" spans="1:15" x14ac:dyDescent="0.3">
      <c r="A1911" t="s">
        <v>2278</v>
      </c>
      <c r="B1911" t="s">
        <v>2096</v>
      </c>
      <c r="C1911" t="s">
        <v>2097</v>
      </c>
      <c r="D1911">
        <v>3</v>
      </c>
      <c r="E1911" t="s">
        <v>1447</v>
      </c>
      <c r="F1911" t="s">
        <v>1798</v>
      </c>
      <c r="G1911" t="s">
        <v>1748</v>
      </c>
      <c r="H1911" t="s">
        <v>2277</v>
      </c>
      <c r="I1911">
        <v>1</v>
      </c>
      <c r="J1911" t="s">
        <v>2277</v>
      </c>
      <c r="K1911" t="s">
        <v>2277</v>
      </c>
      <c r="L1911" t="s">
        <v>2277</v>
      </c>
      <c r="M1911" t="s">
        <v>2277</v>
      </c>
      <c r="N1911" t="s">
        <v>2277</v>
      </c>
      <c r="O1911" s="190" t="str">
        <f t="shared" si="29"/>
        <v>[S08_ActivityDataIssuesDetail][3][NumberOfInstallations]</v>
      </c>
    </row>
    <row r="1912" spans="1:15" x14ac:dyDescent="0.3">
      <c r="A1912" t="s">
        <v>2278</v>
      </c>
      <c r="B1912" t="s">
        <v>2096</v>
      </c>
      <c r="C1912" t="s">
        <v>2097</v>
      </c>
      <c r="D1912">
        <v>4</v>
      </c>
      <c r="E1912" t="s">
        <v>1447</v>
      </c>
      <c r="F1912" t="s">
        <v>1798</v>
      </c>
      <c r="G1912" t="s">
        <v>1748</v>
      </c>
      <c r="H1912" t="s">
        <v>2277</v>
      </c>
      <c r="I1912">
        <v>1</v>
      </c>
      <c r="J1912" t="s">
        <v>2277</v>
      </c>
      <c r="K1912" t="s">
        <v>2277</v>
      </c>
      <c r="L1912" t="s">
        <v>2277</v>
      </c>
      <c r="M1912" t="s">
        <v>2277</v>
      </c>
      <c r="N1912" t="s">
        <v>2277</v>
      </c>
      <c r="O1912" s="190" t="str">
        <f t="shared" si="29"/>
        <v>[S08_ActivityDataIssuesDetail][4][NumberOfInstallations]</v>
      </c>
    </row>
    <row r="1913" spans="1:15" x14ac:dyDescent="0.3">
      <c r="A1913" t="s">
        <v>2278</v>
      </c>
      <c r="B1913" t="s">
        <v>2096</v>
      </c>
      <c r="C1913" t="s">
        <v>2097</v>
      </c>
      <c r="D1913">
        <v>1</v>
      </c>
      <c r="E1913" t="s">
        <v>1447</v>
      </c>
      <c r="F1913" t="s">
        <v>1972</v>
      </c>
      <c r="G1913" t="s">
        <v>1748</v>
      </c>
      <c r="H1913" t="s">
        <v>2277</v>
      </c>
      <c r="I1913">
        <v>37</v>
      </c>
      <c r="J1913" t="s">
        <v>2277</v>
      </c>
      <c r="K1913" t="s">
        <v>2277</v>
      </c>
      <c r="L1913" t="s">
        <v>2277</v>
      </c>
      <c r="M1913" t="s">
        <v>2277</v>
      </c>
      <c r="N1913" t="s">
        <v>2277</v>
      </c>
      <c r="O1913" s="190" t="str">
        <f t="shared" si="29"/>
        <v>[S08_ActivityDataIssuesDetail][1][NumberOfIssues]</v>
      </c>
    </row>
    <row r="1914" spans="1:15" x14ac:dyDescent="0.3">
      <c r="A1914" t="s">
        <v>2278</v>
      </c>
      <c r="B1914" t="s">
        <v>2096</v>
      </c>
      <c r="C1914" t="s">
        <v>2097</v>
      </c>
      <c r="D1914">
        <v>2</v>
      </c>
      <c r="E1914" t="s">
        <v>1447</v>
      </c>
      <c r="F1914" t="s">
        <v>1972</v>
      </c>
      <c r="G1914" t="s">
        <v>1748</v>
      </c>
      <c r="H1914" t="s">
        <v>2277</v>
      </c>
      <c r="I1914">
        <v>1</v>
      </c>
      <c r="J1914" t="s">
        <v>2277</v>
      </c>
      <c r="K1914" t="s">
        <v>2277</v>
      </c>
      <c r="L1914" t="s">
        <v>2277</v>
      </c>
      <c r="M1914" t="s">
        <v>2277</v>
      </c>
      <c r="N1914" t="s">
        <v>2277</v>
      </c>
      <c r="O1914" s="190" t="str">
        <f t="shared" si="29"/>
        <v>[S08_ActivityDataIssuesDetail][2][NumberOfIssues]</v>
      </c>
    </row>
    <row r="1915" spans="1:15" x14ac:dyDescent="0.3">
      <c r="A1915" t="s">
        <v>2278</v>
      </c>
      <c r="B1915" t="s">
        <v>2096</v>
      </c>
      <c r="C1915" t="s">
        <v>2097</v>
      </c>
      <c r="D1915">
        <v>3</v>
      </c>
      <c r="E1915" t="s">
        <v>1447</v>
      </c>
      <c r="F1915" t="s">
        <v>1972</v>
      </c>
      <c r="G1915" t="s">
        <v>1748</v>
      </c>
      <c r="H1915" t="s">
        <v>2277</v>
      </c>
      <c r="I1915">
        <v>1</v>
      </c>
      <c r="J1915" t="s">
        <v>2277</v>
      </c>
      <c r="K1915" t="s">
        <v>2277</v>
      </c>
      <c r="L1915" t="s">
        <v>2277</v>
      </c>
      <c r="M1915" t="s">
        <v>2277</v>
      </c>
      <c r="N1915" t="s">
        <v>2277</v>
      </c>
      <c r="O1915" s="190" t="str">
        <f t="shared" si="29"/>
        <v>[S08_ActivityDataIssuesDetail][3][NumberOfIssues]</v>
      </c>
    </row>
    <row r="1916" spans="1:15" x14ac:dyDescent="0.3">
      <c r="A1916" t="s">
        <v>2278</v>
      </c>
      <c r="B1916" t="s">
        <v>2096</v>
      </c>
      <c r="C1916" t="s">
        <v>2097</v>
      </c>
      <c r="D1916">
        <v>4</v>
      </c>
      <c r="E1916" t="s">
        <v>1447</v>
      </c>
      <c r="F1916" t="s">
        <v>1972</v>
      </c>
      <c r="G1916" t="s">
        <v>1748</v>
      </c>
      <c r="H1916" t="s">
        <v>2277</v>
      </c>
      <c r="I1916">
        <v>2</v>
      </c>
      <c r="J1916" t="s">
        <v>2277</v>
      </c>
      <c r="K1916" t="s">
        <v>2277</v>
      </c>
      <c r="L1916" t="s">
        <v>2277</v>
      </c>
      <c r="M1916" t="s">
        <v>2277</v>
      </c>
      <c r="N1916" t="s">
        <v>2277</v>
      </c>
      <c r="O1916" s="190" t="str">
        <f t="shared" si="29"/>
        <v>[S08_ActivityDataIssuesDetail][4][NumberOfIssues]</v>
      </c>
    </row>
    <row r="1917" spans="1:15" x14ac:dyDescent="0.3">
      <c r="A1917" t="s">
        <v>2278</v>
      </c>
      <c r="B1917" t="s">
        <v>2096</v>
      </c>
      <c r="C1917" t="s">
        <v>2097</v>
      </c>
      <c r="D1917">
        <v>1</v>
      </c>
      <c r="E1917" t="s">
        <v>1447</v>
      </c>
      <c r="F1917" t="s">
        <v>2094</v>
      </c>
      <c r="G1917" t="s">
        <v>1748</v>
      </c>
      <c r="H1917" t="s">
        <v>2277</v>
      </c>
      <c r="I1917">
        <v>1</v>
      </c>
      <c r="J1917" t="s">
        <v>2277</v>
      </c>
      <c r="K1917" t="s">
        <v>2277</v>
      </c>
      <c r="L1917" t="s">
        <v>2277</v>
      </c>
      <c r="M1917" t="s">
        <v>2277</v>
      </c>
      <c r="N1917" t="s">
        <v>2277</v>
      </c>
      <c r="O1917" s="190" t="str">
        <f t="shared" si="29"/>
        <v>[S08_ActivityDataIssuesDetail][1][NumberOfInstallationsConEst]</v>
      </c>
    </row>
    <row r="1918" spans="1:15" x14ac:dyDescent="0.3">
      <c r="A1918" t="s">
        <v>2278</v>
      </c>
      <c r="B1918" t="s">
        <v>2096</v>
      </c>
      <c r="C1918" t="s">
        <v>2097</v>
      </c>
      <c r="D1918">
        <v>2</v>
      </c>
      <c r="E1918" t="s">
        <v>1447</v>
      </c>
      <c r="F1918" t="s">
        <v>2094</v>
      </c>
      <c r="G1918" t="s">
        <v>1748</v>
      </c>
      <c r="H1918" t="s">
        <v>2277</v>
      </c>
      <c r="I1918">
        <v>0</v>
      </c>
      <c r="J1918" t="s">
        <v>2277</v>
      </c>
      <c r="K1918" t="s">
        <v>2277</v>
      </c>
      <c r="L1918" t="s">
        <v>2277</v>
      </c>
      <c r="M1918" t="s">
        <v>2277</v>
      </c>
      <c r="N1918" t="s">
        <v>2277</v>
      </c>
      <c r="O1918" s="190" t="str">
        <f t="shared" si="29"/>
        <v>[S08_ActivityDataIssuesDetail][2][NumberOfInstallationsConEst]</v>
      </c>
    </row>
    <row r="1919" spans="1:15" x14ac:dyDescent="0.3">
      <c r="A1919" t="s">
        <v>2278</v>
      </c>
      <c r="B1919" t="s">
        <v>2096</v>
      </c>
      <c r="C1919" t="s">
        <v>2097</v>
      </c>
      <c r="D1919">
        <v>3</v>
      </c>
      <c r="E1919" t="s">
        <v>1447</v>
      </c>
      <c r="F1919" t="s">
        <v>2094</v>
      </c>
      <c r="G1919" t="s">
        <v>1748</v>
      </c>
      <c r="H1919" t="s">
        <v>2277</v>
      </c>
      <c r="I1919">
        <v>0</v>
      </c>
      <c r="J1919" t="s">
        <v>2277</v>
      </c>
      <c r="K1919" t="s">
        <v>2277</v>
      </c>
      <c r="L1919" t="s">
        <v>2277</v>
      </c>
      <c r="M1919" t="s">
        <v>2277</v>
      </c>
      <c r="N1919" t="s">
        <v>2277</v>
      </c>
      <c r="O1919" s="190" t="str">
        <f t="shared" si="29"/>
        <v>[S08_ActivityDataIssuesDetail][3][NumberOfInstallationsConEst]</v>
      </c>
    </row>
    <row r="1920" spans="1:15" x14ac:dyDescent="0.3">
      <c r="A1920" t="s">
        <v>2278</v>
      </c>
      <c r="B1920" t="s">
        <v>2096</v>
      </c>
      <c r="C1920" t="s">
        <v>2097</v>
      </c>
      <c r="D1920">
        <v>4</v>
      </c>
      <c r="E1920" t="s">
        <v>1447</v>
      </c>
      <c r="F1920" t="s">
        <v>2094</v>
      </c>
      <c r="G1920" t="s">
        <v>1748</v>
      </c>
      <c r="H1920" t="s">
        <v>2277</v>
      </c>
      <c r="I1920">
        <v>0</v>
      </c>
      <c r="J1920" t="s">
        <v>2277</v>
      </c>
      <c r="K1920" t="s">
        <v>2277</v>
      </c>
      <c r="L1920" t="s">
        <v>2277</v>
      </c>
      <c r="M1920" t="s">
        <v>2277</v>
      </c>
      <c r="N1920" t="s">
        <v>2277</v>
      </c>
      <c r="O1920" s="190" t="str">
        <f t="shared" si="29"/>
        <v>[S08_ActivityDataIssuesDetail][4][NumberOfInstallationsConEst]</v>
      </c>
    </row>
    <row r="1921" spans="1:15" x14ac:dyDescent="0.3">
      <c r="A1921" t="s">
        <v>2278</v>
      </c>
      <c r="B1921" t="s">
        <v>2098</v>
      </c>
      <c r="C1921" t="s">
        <v>2099</v>
      </c>
      <c r="D1921">
        <v>0</v>
      </c>
      <c r="E1921" t="s">
        <v>1447</v>
      </c>
      <c r="F1921" t="s">
        <v>2099</v>
      </c>
      <c r="G1921" t="s">
        <v>1759</v>
      </c>
      <c r="H1921" t="s">
        <v>2277</v>
      </c>
      <c r="I1921" t="s">
        <v>2277</v>
      </c>
      <c r="J1921" t="s">
        <v>2277</v>
      </c>
      <c r="K1921" t="s">
        <v>2277</v>
      </c>
      <c r="L1921" t="s">
        <v>1447</v>
      </c>
      <c r="M1921" t="s">
        <v>2277</v>
      </c>
      <c r="N1921" t="s">
        <v>2277</v>
      </c>
      <c r="O1921" s="190" t="str">
        <f t="shared" si="29"/>
        <v>[ActivityReportRejected][0][ActivityReportRejected]</v>
      </c>
    </row>
    <row r="1922" spans="1:15" x14ac:dyDescent="0.3">
      <c r="A1922" t="s">
        <v>2278</v>
      </c>
      <c r="B1922" t="s">
        <v>2103</v>
      </c>
      <c r="C1922" t="s">
        <v>2104</v>
      </c>
      <c r="D1922">
        <v>0</v>
      </c>
      <c r="E1922" t="s">
        <v>1447</v>
      </c>
      <c r="F1922" t="s">
        <v>2104</v>
      </c>
      <c r="G1922" t="s">
        <v>1759</v>
      </c>
      <c r="H1922" t="s">
        <v>2277</v>
      </c>
      <c r="I1922" t="s">
        <v>2277</v>
      </c>
      <c r="J1922" t="s">
        <v>2277</v>
      </c>
      <c r="K1922" t="s">
        <v>2277</v>
      </c>
      <c r="L1922" t="s">
        <v>1419</v>
      </c>
      <c r="M1922" t="s">
        <v>2277</v>
      </c>
      <c r="N1922" t="s">
        <v>2277</v>
      </c>
      <c r="O1922" s="190" t="str">
        <f t="shared" ref="O1922:O1985" si="30">"["&amp;$C1922&amp;"]["&amp;$D1922&amp;"]["&amp;$F1922&amp;"]"</f>
        <v>[ActivityLevelVisitsWaived][0][ActivityLevelVisitsWaived]</v>
      </c>
    </row>
    <row r="1923" spans="1:15" x14ac:dyDescent="0.3">
      <c r="A1923" t="s">
        <v>2278</v>
      </c>
      <c r="B1923" t="s">
        <v>2103</v>
      </c>
      <c r="C1923" t="s">
        <v>2105</v>
      </c>
      <c r="D1923">
        <v>3</v>
      </c>
      <c r="E1923" t="s">
        <v>1447</v>
      </c>
      <c r="F1923" t="s">
        <v>1798</v>
      </c>
      <c r="G1923" t="s">
        <v>1748</v>
      </c>
      <c r="H1923" t="s">
        <v>2277</v>
      </c>
      <c r="I1923">
        <v>1</v>
      </c>
      <c r="J1923" t="s">
        <v>2277</v>
      </c>
      <c r="K1923" t="s">
        <v>2277</v>
      </c>
      <c r="L1923" t="s">
        <v>2277</v>
      </c>
      <c r="M1923" t="s">
        <v>2277</v>
      </c>
      <c r="N1923" t="s">
        <v>2277</v>
      </c>
      <c r="O1923" s="190" t="str">
        <f t="shared" si="30"/>
        <v>[S08_ActivityLevelVisitsWaivedDetail][3][NumberOfInstallations]</v>
      </c>
    </row>
    <row r="1924" spans="1:15" x14ac:dyDescent="0.3">
      <c r="A1924" t="s">
        <v>2278</v>
      </c>
      <c r="B1924" t="s">
        <v>2106</v>
      </c>
      <c r="C1924" t="s">
        <v>2107</v>
      </c>
      <c r="D1924">
        <v>0</v>
      </c>
      <c r="E1924" t="s">
        <v>1447</v>
      </c>
      <c r="F1924" t="s">
        <v>2107</v>
      </c>
      <c r="G1924" t="s">
        <v>1759</v>
      </c>
      <c r="H1924" t="s">
        <v>2277</v>
      </c>
      <c r="I1924" t="s">
        <v>2277</v>
      </c>
      <c r="J1924" t="s">
        <v>2277</v>
      </c>
      <c r="K1924" t="s">
        <v>2277</v>
      </c>
      <c r="L1924" t="s">
        <v>1419</v>
      </c>
      <c r="M1924" t="s">
        <v>2277</v>
      </c>
      <c r="N1924" t="s">
        <v>2277</v>
      </c>
      <c r="O1924" s="190" t="str">
        <f t="shared" si="30"/>
        <v>[VirtualVisitsActivityLevel][0][VirtualVisitsActivityLevel]</v>
      </c>
    </row>
    <row r="1925" spans="1:15" x14ac:dyDescent="0.3">
      <c r="A1925" t="s">
        <v>2278</v>
      </c>
      <c r="B1925" t="s">
        <v>2106</v>
      </c>
      <c r="C1925" t="s">
        <v>2108</v>
      </c>
      <c r="D1925">
        <v>1</v>
      </c>
      <c r="E1925" t="s">
        <v>1447</v>
      </c>
      <c r="F1925" t="s">
        <v>2010</v>
      </c>
      <c r="G1925" t="s">
        <v>1741</v>
      </c>
      <c r="H1925" t="s">
        <v>2326</v>
      </c>
      <c r="I1925" t="s">
        <v>2277</v>
      </c>
      <c r="J1925" t="s">
        <v>2277</v>
      </c>
      <c r="K1925" t="s">
        <v>2277</v>
      </c>
      <c r="L1925" t="s">
        <v>2277</v>
      </c>
      <c r="M1925" t="s">
        <v>2277</v>
      </c>
      <c r="N1925" t="s">
        <v>2277</v>
      </c>
      <c r="O1925" s="190" t="str">
        <f t="shared" si="30"/>
        <v>[S08_VirtualVisitsActivityLevelDetail][1][TypeForceMajeur]</v>
      </c>
    </row>
    <row r="1926" spans="1:15" x14ac:dyDescent="0.3">
      <c r="A1926" t="s">
        <v>2278</v>
      </c>
      <c r="B1926" t="s">
        <v>2106</v>
      </c>
      <c r="C1926" t="s">
        <v>2108</v>
      </c>
      <c r="D1926">
        <v>1</v>
      </c>
      <c r="E1926" t="s">
        <v>1447</v>
      </c>
      <c r="F1926" t="s">
        <v>2011</v>
      </c>
      <c r="G1926" t="s">
        <v>1748</v>
      </c>
      <c r="H1926" t="s">
        <v>2277</v>
      </c>
      <c r="I1926">
        <v>56</v>
      </c>
      <c r="J1926" t="s">
        <v>2277</v>
      </c>
      <c r="K1926" t="s">
        <v>2277</v>
      </c>
      <c r="L1926" t="s">
        <v>2277</v>
      </c>
      <c r="M1926" t="s">
        <v>2277</v>
      </c>
      <c r="N1926" t="s">
        <v>2277</v>
      </c>
      <c r="O1926" s="190" t="str">
        <f t="shared" si="30"/>
        <v>[S08_VirtualVisitsActivityLevelDetail][1][NumberOfInstallationsVV]</v>
      </c>
    </row>
    <row r="1927" spans="1:15" x14ac:dyDescent="0.3">
      <c r="A1927" t="s">
        <v>2278</v>
      </c>
      <c r="B1927" t="s">
        <v>2106</v>
      </c>
      <c r="C1927" t="s">
        <v>2108</v>
      </c>
      <c r="D1927">
        <v>1</v>
      </c>
      <c r="E1927" t="s">
        <v>1447</v>
      </c>
      <c r="F1927" t="s">
        <v>2012</v>
      </c>
      <c r="G1927" t="s">
        <v>1737</v>
      </c>
      <c r="H1927" t="s">
        <v>2277</v>
      </c>
      <c r="I1927" t="s">
        <v>2277</v>
      </c>
      <c r="J1927" t="s">
        <v>2277</v>
      </c>
      <c r="K1927" t="s">
        <v>2277</v>
      </c>
      <c r="L1927" t="s">
        <v>1442</v>
      </c>
      <c r="M1927" t="s">
        <v>2277</v>
      </c>
      <c r="N1927" t="s">
        <v>2277</v>
      </c>
      <c r="O1927" s="190" t="str">
        <f t="shared" si="30"/>
        <v>[S08_VirtualVisitsActivityLevelDetail][1][AuthorityApproval]</v>
      </c>
    </row>
    <row r="1928" spans="1:15" x14ac:dyDescent="0.3">
      <c r="A1928" t="s">
        <v>2278</v>
      </c>
      <c r="B1928" t="s">
        <v>2106</v>
      </c>
      <c r="C1928" t="s">
        <v>2108</v>
      </c>
      <c r="D1928">
        <v>1</v>
      </c>
      <c r="E1928" t="s">
        <v>1447</v>
      </c>
      <c r="F1928" t="s">
        <v>2013</v>
      </c>
      <c r="G1928" t="s">
        <v>1741</v>
      </c>
      <c r="H1928" t="s">
        <v>2325</v>
      </c>
      <c r="I1928" t="s">
        <v>2277</v>
      </c>
      <c r="J1928" t="s">
        <v>2277</v>
      </c>
      <c r="K1928" t="s">
        <v>2277</v>
      </c>
      <c r="L1928" t="s">
        <v>2277</v>
      </c>
      <c r="M1928" t="s">
        <v>2277</v>
      </c>
      <c r="N1928" t="s">
        <v>2277</v>
      </c>
      <c r="O1928" s="190" t="str">
        <f t="shared" si="30"/>
        <v>[S08_VirtualVisitsActivityLevelDetail][1][ConfirmationConditionsMet]</v>
      </c>
    </row>
    <row r="1929" spans="1:15" x14ac:dyDescent="0.3">
      <c r="A1929" t="s">
        <v>2278</v>
      </c>
      <c r="B1929" t="s">
        <v>2109</v>
      </c>
      <c r="C1929" t="s">
        <v>2110</v>
      </c>
      <c r="D1929">
        <v>1</v>
      </c>
      <c r="E1929" t="s">
        <v>1447</v>
      </c>
      <c r="F1929" t="s">
        <v>2115</v>
      </c>
      <c r="G1929" t="s">
        <v>1741</v>
      </c>
      <c r="H1929" t="s">
        <v>2324</v>
      </c>
      <c r="I1929" t="s">
        <v>2277</v>
      </c>
      <c r="J1929" t="s">
        <v>2277</v>
      </c>
      <c r="K1929" t="s">
        <v>2277</v>
      </c>
      <c r="L1929" t="s">
        <v>2277</v>
      </c>
      <c r="M1929" t="s">
        <v>2277</v>
      </c>
      <c r="N1929" t="s">
        <v>2277</v>
      </c>
      <c r="O1929" s="190" t="str">
        <f t="shared" si="30"/>
        <v>[S08_PenaltiesAllocation][1][OtherPenalty]</v>
      </c>
    </row>
    <row r="1930" spans="1:15" x14ac:dyDescent="0.3">
      <c r="A1930" t="s">
        <v>2278</v>
      </c>
      <c r="B1930" t="s">
        <v>2109</v>
      </c>
      <c r="C1930" t="s">
        <v>2110</v>
      </c>
      <c r="D1930">
        <v>2</v>
      </c>
      <c r="E1930" t="s">
        <v>1447</v>
      </c>
      <c r="F1930" t="s">
        <v>2115</v>
      </c>
      <c r="G1930" t="s">
        <v>1741</v>
      </c>
      <c r="H1930" t="s">
        <v>2323</v>
      </c>
      <c r="I1930" t="s">
        <v>2277</v>
      </c>
      <c r="J1930" t="s">
        <v>2277</v>
      </c>
      <c r="K1930" t="s">
        <v>2277</v>
      </c>
      <c r="L1930" t="s">
        <v>2277</v>
      </c>
      <c r="M1930" t="s">
        <v>2277</v>
      </c>
      <c r="N1930" t="s">
        <v>2277</v>
      </c>
      <c r="O1930" s="190" t="str">
        <f t="shared" si="30"/>
        <v>[S08_PenaltiesAllocation][2][OtherPenalty]</v>
      </c>
    </row>
    <row r="1931" spans="1:15" x14ac:dyDescent="0.3">
      <c r="A1931" t="s">
        <v>2278</v>
      </c>
      <c r="B1931" t="s">
        <v>2109</v>
      </c>
      <c r="C1931" t="s">
        <v>2110</v>
      </c>
      <c r="D1931">
        <v>3</v>
      </c>
      <c r="E1931" t="s">
        <v>1447</v>
      </c>
      <c r="F1931" t="s">
        <v>2115</v>
      </c>
      <c r="G1931" t="s">
        <v>1741</v>
      </c>
      <c r="H1931" t="s">
        <v>2322</v>
      </c>
      <c r="I1931" t="s">
        <v>2277</v>
      </c>
      <c r="J1931" t="s">
        <v>2277</v>
      </c>
      <c r="K1931" t="s">
        <v>2277</v>
      </c>
      <c r="L1931" t="s">
        <v>2277</v>
      </c>
      <c r="M1931" t="s">
        <v>2277</v>
      </c>
      <c r="N1931" t="s">
        <v>2277</v>
      </c>
      <c r="O1931" s="190" t="str">
        <f t="shared" si="30"/>
        <v>[S08_PenaltiesAllocation][3][OtherPenalty]</v>
      </c>
    </row>
    <row r="1932" spans="1:15" x14ac:dyDescent="0.3">
      <c r="A1932" t="s">
        <v>2278</v>
      </c>
      <c r="B1932" t="s">
        <v>2109</v>
      </c>
      <c r="C1932" t="s">
        <v>2110</v>
      </c>
      <c r="D1932">
        <v>4</v>
      </c>
      <c r="E1932" t="s">
        <v>1447</v>
      </c>
      <c r="F1932" t="s">
        <v>2115</v>
      </c>
      <c r="G1932" t="s">
        <v>1741</v>
      </c>
      <c r="H1932" t="s">
        <v>2321</v>
      </c>
      <c r="I1932" t="s">
        <v>2277</v>
      </c>
      <c r="J1932" t="s">
        <v>2277</v>
      </c>
      <c r="K1932" t="s">
        <v>2277</v>
      </c>
      <c r="L1932" t="s">
        <v>2277</v>
      </c>
      <c r="M1932" t="s">
        <v>2277</v>
      </c>
      <c r="N1932" t="s">
        <v>2277</v>
      </c>
      <c r="O1932" s="190" t="str">
        <f t="shared" si="30"/>
        <v>[S08_PenaltiesAllocation][4][OtherPenalty]</v>
      </c>
    </row>
    <row r="1933" spans="1:15" x14ac:dyDescent="0.3">
      <c r="A1933" t="s">
        <v>2278</v>
      </c>
      <c r="B1933" t="s">
        <v>2130</v>
      </c>
      <c r="C1933" t="s">
        <v>2131</v>
      </c>
      <c r="D1933">
        <v>0</v>
      </c>
      <c r="E1933" t="s">
        <v>1447</v>
      </c>
      <c r="F1933" t="s">
        <v>2131</v>
      </c>
      <c r="G1933" t="s">
        <v>1759</v>
      </c>
      <c r="H1933" t="s">
        <v>2277</v>
      </c>
      <c r="I1933" t="s">
        <v>2277</v>
      </c>
      <c r="J1933" t="s">
        <v>2277</v>
      </c>
      <c r="K1933" t="s">
        <v>2277</v>
      </c>
      <c r="L1933" t="s">
        <v>1419</v>
      </c>
      <c r="M1933" t="s">
        <v>2277</v>
      </c>
      <c r="N1933" t="s">
        <v>2277</v>
      </c>
      <c r="O1933" s="190" t="str">
        <f t="shared" si="30"/>
        <v>[InstallationOperatorFees][0][InstallationOperatorFees]</v>
      </c>
    </row>
    <row r="1934" spans="1:15" x14ac:dyDescent="0.3">
      <c r="A1934" t="s">
        <v>2278</v>
      </c>
      <c r="B1934" t="s">
        <v>2130</v>
      </c>
      <c r="C1934" t="s">
        <v>2132</v>
      </c>
      <c r="D1934">
        <v>1</v>
      </c>
      <c r="E1934" t="s">
        <v>1447</v>
      </c>
      <c r="F1934" t="s">
        <v>2133</v>
      </c>
      <c r="G1934" t="s">
        <v>1806</v>
      </c>
      <c r="H1934" t="s">
        <v>2277</v>
      </c>
      <c r="I1934" t="s">
        <v>2277</v>
      </c>
      <c r="J1934">
        <v>17.52</v>
      </c>
      <c r="K1934" t="s">
        <v>2277</v>
      </c>
      <c r="L1934" t="s">
        <v>2277</v>
      </c>
      <c r="M1934" t="s">
        <v>2277</v>
      </c>
      <c r="N1934" t="s">
        <v>2277</v>
      </c>
      <c r="O1934" s="190" t="str">
        <f t="shared" si="30"/>
        <v>[S09_InstallationOperatorFeesPermits][1][FeesAmount]</v>
      </c>
    </row>
    <row r="1935" spans="1:15" x14ac:dyDescent="0.3">
      <c r="A1935" t="s">
        <v>2278</v>
      </c>
      <c r="B1935" t="s">
        <v>2130</v>
      </c>
      <c r="C1935" t="s">
        <v>2132</v>
      </c>
      <c r="D1935">
        <v>2</v>
      </c>
      <c r="E1935" t="s">
        <v>1447</v>
      </c>
      <c r="F1935" t="s">
        <v>2133</v>
      </c>
      <c r="G1935" t="s">
        <v>1806</v>
      </c>
      <c r="H1935" t="s">
        <v>2277</v>
      </c>
      <c r="I1935" t="s">
        <v>2277</v>
      </c>
      <c r="J1935">
        <v>2.13</v>
      </c>
      <c r="K1935" t="s">
        <v>2277</v>
      </c>
      <c r="L1935" t="s">
        <v>2277</v>
      </c>
      <c r="M1935" t="s">
        <v>2277</v>
      </c>
      <c r="N1935" t="s">
        <v>2277</v>
      </c>
      <c r="O1935" s="190" t="str">
        <f t="shared" si="30"/>
        <v>[S09_InstallationOperatorFeesPermits][2][FeesAmount]</v>
      </c>
    </row>
    <row r="1936" spans="1:15" x14ac:dyDescent="0.3">
      <c r="A1936" t="s">
        <v>2278</v>
      </c>
      <c r="B1936" t="s">
        <v>2130</v>
      </c>
      <c r="C1936" t="s">
        <v>2132</v>
      </c>
      <c r="D1936">
        <v>3</v>
      </c>
      <c r="E1936" t="s">
        <v>1447</v>
      </c>
      <c r="F1936" t="s">
        <v>2133</v>
      </c>
      <c r="G1936" t="s">
        <v>1806</v>
      </c>
      <c r="H1936" t="s">
        <v>2277</v>
      </c>
      <c r="I1936" t="s">
        <v>2277</v>
      </c>
      <c r="J1936">
        <v>2.13</v>
      </c>
      <c r="K1936" t="s">
        <v>2277</v>
      </c>
      <c r="L1936" t="s">
        <v>2277</v>
      </c>
      <c r="M1936" t="s">
        <v>2277</v>
      </c>
      <c r="N1936" t="s">
        <v>2277</v>
      </c>
      <c r="O1936" s="190" t="str">
        <f t="shared" si="30"/>
        <v>[S09_InstallationOperatorFeesPermits][3][FeesAmount]</v>
      </c>
    </row>
    <row r="1937" spans="1:15" x14ac:dyDescent="0.3">
      <c r="A1937" t="s">
        <v>2278</v>
      </c>
      <c r="B1937" t="s">
        <v>2130</v>
      </c>
      <c r="C1937" t="s">
        <v>2132</v>
      </c>
      <c r="D1937">
        <v>4</v>
      </c>
      <c r="E1937" t="s">
        <v>1447</v>
      </c>
      <c r="F1937" t="s">
        <v>2133</v>
      </c>
      <c r="G1937" t="s">
        <v>1806</v>
      </c>
      <c r="H1937" t="s">
        <v>2277</v>
      </c>
      <c r="I1937" t="s">
        <v>2277</v>
      </c>
      <c r="J1937">
        <v>2.13</v>
      </c>
      <c r="K1937" t="s">
        <v>2277</v>
      </c>
      <c r="L1937" t="s">
        <v>2277</v>
      </c>
      <c r="M1937" t="s">
        <v>2277</v>
      </c>
      <c r="N1937" t="s">
        <v>2277</v>
      </c>
      <c r="O1937" s="190" t="str">
        <f t="shared" si="30"/>
        <v>[S09_InstallationOperatorFeesPermits][4][FeesAmount]</v>
      </c>
    </row>
    <row r="1938" spans="1:15" x14ac:dyDescent="0.3">
      <c r="A1938" t="s">
        <v>2278</v>
      </c>
      <c r="B1938" t="s">
        <v>2130</v>
      </c>
      <c r="C1938" t="s">
        <v>2132</v>
      </c>
      <c r="D1938">
        <v>6</v>
      </c>
      <c r="E1938" t="s">
        <v>1419</v>
      </c>
      <c r="F1938" t="s">
        <v>2133</v>
      </c>
      <c r="G1938" t="s">
        <v>1806</v>
      </c>
      <c r="H1938" t="s">
        <v>2277</v>
      </c>
      <c r="I1938" t="s">
        <v>2277</v>
      </c>
      <c r="J1938">
        <v>8.76</v>
      </c>
      <c r="K1938" t="s">
        <v>2277</v>
      </c>
      <c r="L1938" t="s">
        <v>2277</v>
      </c>
      <c r="M1938" t="s">
        <v>2277</v>
      </c>
      <c r="N1938" t="s">
        <v>2277</v>
      </c>
      <c r="O1938" s="190" t="str">
        <f t="shared" si="30"/>
        <v>[S09_InstallationOperatorFeesPermits][6][FeesAmount]</v>
      </c>
    </row>
    <row r="1939" spans="1:15" x14ac:dyDescent="0.3">
      <c r="A1939" t="s">
        <v>2278</v>
      </c>
      <c r="B1939" t="s">
        <v>2130</v>
      </c>
      <c r="C1939" t="s">
        <v>2132</v>
      </c>
      <c r="D1939">
        <v>6</v>
      </c>
      <c r="E1939" t="s">
        <v>1419</v>
      </c>
      <c r="F1939" t="s">
        <v>2134</v>
      </c>
      <c r="G1939" t="s">
        <v>1791</v>
      </c>
      <c r="H1939" t="s">
        <v>2277</v>
      </c>
      <c r="I1939" t="s">
        <v>2277</v>
      </c>
      <c r="J1939" t="s">
        <v>2277</v>
      </c>
      <c r="K1939" t="s">
        <v>2320</v>
      </c>
      <c r="L1939" t="s">
        <v>2277</v>
      </c>
      <c r="M1939" t="s">
        <v>2277</v>
      </c>
      <c r="N1939" t="s">
        <v>2277</v>
      </c>
      <c r="O1939" s="190" t="str">
        <f t="shared" si="30"/>
        <v>[S09_InstallationOperatorFeesPermits][6][FeesOther]</v>
      </c>
    </row>
    <row r="1940" spans="1:15" x14ac:dyDescent="0.3">
      <c r="A1940" t="s">
        <v>2278</v>
      </c>
      <c r="B1940" t="s">
        <v>2136</v>
      </c>
      <c r="C1940" t="s">
        <v>2137</v>
      </c>
      <c r="D1940">
        <v>0</v>
      </c>
      <c r="E1940" t="s">
        <v>1447</v>
      </c>
      <c r="F1940" t="s">
        <v>2137</v>
      </c>
      <c r="G1940" t="s">
        <v>1759</v>
      </c>
      <c r="H1940" t="s">
        <v>2277</v>
      </c>
      <c r="I1940" t="s">
        <v>2277</v>
      </c>
      <c r="J1940" t="s">
        <v>2277</v>
      </c>
      <c r="K1940" t="s">
        <v>2277</v>
      </c>
      <c r="L1940" t="s">
        <v>1419</v>
      </c>
      <c r="M1940" t="s">
        <v>2277</v>
      </c>
      <c r="N1940" t="s">
        <v>2277</v>
      </c>
      <c r="O1940" s="190" t="str">
        <f t="shared" si="30"/>
        <v>[AircraftOperatorFees][0][AircraftOperatorFees]</v>
      </c>
    </row>
    <row r="1941" spans="1:15" x14ac:dyDescent="0.3">
      <c r="A1941" t="s">
        <v>2278</v>
      </c>
      <c r="B1941" t="s">
        <v>2136</v>
      </c>
      <c r="C1941" t="s">
        <v>2138</v>
      </c>
      <c r="D1941">
        <v>1</v>
      </c>
      <c r="E1941" t="s">
        <v>1447</v>
      </c>
      <c r="F1941" t="s">
        <v>2133</v>
      </c>
      <c r="G1941" t="s">
        <v>1806</v>
      </c>
      <c r="H1941" t="s">
        <v>2277</v>
      </c>
      <c r="I1941" t="s">
        <v>2277</v>
      </c>
      <c r="J1941">
        <v>2.13</v>
      </c>
      <c r="K1941" t="s">
        <v>2277</v>
      </c>
      <c r="L1941" t="s">
        <v>2277</v>
      </c>
      <c r="M1941" t="s">
        <v>2277</v>
      </c>
      <c r="N1941" t="s">
        <v>2277</v>
      </c>
      <c r="O1941" s="190" t="str">
        <f t="shared" si="30"/>
        <v>[S09_AircraftOperatorFeesMonitoringPlans][1][FeesAmount]</v>
      </c>
    </row>
    <row r="1942" spans="1:15" x14ac:dyDescent="0.3">
      <c r="A1942" t="s">
        <v>2278</v>
      </c>
      <c r="B1942" t="s">
        <v>2136</v>
      </c>
      <c r="C1942" t="s">
        <v>2138</v>
      </c>
      <c r="D1942">
        <v>2</v>
      </c>
      <c r="E1942" t="s">
        <v>1447</v>
      </c>
      <c r="F1942" t="s">
        <v>2133</v>
      </c>
      <c r="G1942" t="s">
        <v>1806</v>
      </c>
      <c r="H1942" t="s">
        <v>2277</v>
      </c>
      <c r="I1942" t="s">
        <v>2277</v>
      </c>
      <c r="J1942">
        <v>2.13</v>
      </c>
      <c r="K1942" t="s">
        <v>2277</v>
      </c>
      <c r="L1942" t="s">
        <v>2277</v>
      </c>
      <c r="M1942" t="s">
        <v>2277</v>
      </c>
      <c r="N1942" t="s">
        <v>2277</v>
      </c>
      <c r="O1942" s="190" t="str">
        <f t="shared" si="30"/>
        <v>[S09_AircraftOperatorFeesMonitoringPlans][2][FeesAmount]</v>
      </c>
    </row>
    <row r="1943" spans="1:15" x14ac:dyDescent="0.3">
      <c r="A1943" t="s">
        <v>2278</v>
      </c>
      <c r="B1943" t="s">
        <v>2136</v>
      </c>
      <c r="C1943" t="s">
        <v>2138</v>
      </c>
      <c r="D1943">
        <v>3</v>
      </c>
      <c r="E1943" t="s">
        <v>1447</v>
      </c>
      <c r="F1943" t="s">
        <v>2133</v>
      </c>
      <c r="G1943" t="s">
        <v>1806</v>
      </c>
      <c r="H1943" t="s">
        <v>2277</v>
      </c>
      <c r="I1943" t="s">
        <v>2277</v>
      </c>
      <c r="J1943">
        <v>2.13</v>
      </c>
      <c r="K1943" t="s">
        <v>2277</v>
      </c>
      <c r="L1943" t="s">
        <v>2277</v>
      </c>
      <c r="M1943" t="s">
        <v>2277</v>
      </c>
      <c r="N1943" t="s">
        <v>2277</v>
      </c>
      <c r="O1943" s="190" t="str">
        <f t="shared" si="30"/>
        <v>[S09_AircraftOperatorFeesMonitoringPlans][3][FeesAmount]</v>
      </c>
    </row>
    <row r="1944" spans="1:15" x14ac:dyDescent="0.3">
      <c r="A1944" t="s">
        <v>2278</v>
      </c>
      <c r="B1944" t="s">
        <v>2136</v>
      </c>
      <c r="C1944" t="s">
        <v>2138</v>
      </c>
      <c r="D1944">
        <v>4</v>
      </c>
      <c r="E1944" t="s">
        <v>1447</v>
      </c>
      <c r="F1944" t="s">
        <v>2133</v>
      </c>
      <c r="G1944" t="s">
        <v>1806</v>
      </c>
      <c r="H1944" t="s">
        <v>2277</v>
      </c>
      <c r="I1944" t="s">
        <v>2277</v>
      </c>
      <c r="J1944">
        <v>2.13</v>
      </c>
      <c r="K1944" t="s">
        <v>2277</v>
      </c>
      <c r="L1944" t="s">
        <v>2277</v>
      </c>
      <c r="M1944" t="s">
        <v>2277</v>
      </c>
      <c r="N1944" t="s">
        <v>2277</v>
      </c>
      <c r="O1944" s="190" t="str">
        <f t="shared" si="30"/>
        <v>[S09_AircraftOperatorFeesMonitoringPlans][4][FeesAmount]</v>
      </c>
    </row>
    <row r="1945" spans="1:15" x14ac:dyDescent="0.3">
      <c r="A1945" t="s">
        <v>2278</v>
      </c>
      <c r="B1945" t="s">
        <v>2136</v>
      </c>
      <c r="C1945" t="s">
        <v>2140</v>
      </c>
      <c r="D1945">
        <v>1</v>
      </c>
      <c r="E1945" t="s">
        <v>1447</v>
      </c>
      <c r="F1945" t="s">
        <v>2141</v>
      </c>
      <c r="G1945" t="s">
        <v>1741</v>
      </c>
      <c r="H1945" t="s">
        <v>2319</v>
      </c>
      <c r="I1945" t="s">
        <v>2277</v>
      </c>
      <c r="J1945" t="s">
        <v>2277</v>
      </c>
      <c r="K1945" t="s">
        <v>2277</v>
      </c>
      <c r="L1945" t="s">
        <v>2277</v>
      </c>
      <c r="M1945" t="s">
        <v>2277</v>
      </c>
      <c r="N1945" t="s">
        <v>2277</v>
      </c>
      <c r="O1945" s="190" t="str">
        <f t="shared" si="30"/>
        <v>[S09_RegistryAccountOneOffFees][1][OneOffFeeReason]</v>
      </c>
    </row>
    <row r="1946" spans="1:15" x14ac:dyDescent="0.3">
      <c r="A1946" t="s">
        <v>2278</v>
      </c>
      <c r="B1946" t="s">
        <v>2136</v>
      </c>
      <c r="C1946" t="s">
        <v>2140</v>
      </c>
      <c r="D1946">
        <v>1</v>
      </c>
      <c r="E1946" t="s">
        <v>1447</v>
      </c>
      <c r="F1946" t="s">
        <v>2142</v>
      </c>
      <c r="G1946" t="s">
        <v>1806</v>
      </c>
      <c r="H1946" t="s">
        <v>2277</v>
      </c>
      <c r="I1946" t="s">
        <v>2277</v>
      </c>
      <c r="J1946">
        <v>427.56</v>
      </c>
      <c r="K1946" t="s">
        <v>2277</v>
      </c>
      <c r="L1946" t="s">
        <v>2277</v>
      </c>
      <c r="M1946" t="s">
        <v>2277</v>
      </c>
      <c r="N1946" t="s">
        <v>2277</v>
      </c>
      <c r="O1946" s="190" t="str">
        <f t="shared" si="30"/>
        <v>[S09_RegistryAccountOneOffFees][1][OneOffFeeAmount]</v>
      </c>
    </row>
    <row r="1947" spans="1:15" x14ac:dyDescent="0.3">
      <c r="A1947" t="s">
        <v>2278</v>
      </c>
      <c r="B1947" t="s">
        <v>2136</v>
      </c>
      <c r="C1947" t="s">
        <v>2143</v>
      </c>
      <c r="D1947">
        <v>1</v>
      </c>
      <c r="E1947" t="s">
        <v>1447</v>
      </c>
      <c r="F1947" t="s">
        <v>2144</v>
      </c>
      <c r="G1947" t="s">
        <v>1741</v>
      </c>
      <c r="H1947" t="s">
        <v>2318</v>
      </c>
      <c r="I1947" t="s">
        <v>2277</v>
      </c>
      <c r="J1947" t="s">
        <v>2277</v>
      </c>
      <c r="K1947" t="s">
        <v>2277</v>
      </c>
      <c r="L1947" t="s">
        <v>2277</v>
      </c>
      <c r="M1947" t="s">
        <v>2277</v>
      </c>
      <c r="N1947" t="s">
        <v>2277</v>
      </c>
      <c r="O1947" s="190" t="str">
        <f t="shared" si="30"/>
        <v>[S09_RegistryAccountAnnualFees][1][AnnualFeeReason]</v>
      </c>
    </row>
    <row r="1948" spans="1:15" x14ac:dyDescent="0.3">
      <c r="A1948" t="s">
        <v>2278</v>
      </c>
      <c r="B1948" t="s">
        <v>2136</v>
      </c>
      <c r="C1948" t="s">
        <v>2143</v>
      </c>
      <c r="D1948">
        <v>1</v>
      </c>
      <c r="E1948" t="s">
        <v>1447</v>
      </c>
      <c r="F1948" t="s">
        <v>2145</v>
      </c>
      <c r="G1948" t="s">
        <v>1806</v>
      </c>
      <c r="H1948" t="s">
        <v>2277</v>
      </c>
      <c r="I1948" t="s">
        <v>2277</v>
      </c>
      <c r="J1948">
        <v>106.89</v>
      </c>
      <c r="K1948" t="s">
        <v>2277</v>
      </c>
      <c r="L1948" t="s">
        <v>2277</v>
      </c>
      <c r="M1948" t="s">
        <v>2277</v>
      </c>
      <c r="N1948" t="s">
        <v>2277</v>
      </c>
      <c r="O1948" s="190" t="str">
        <f t="shared" si="30"/>
        <v>[S09_RegistryAccountAnnualFees][1][AnnualFeeAmount]</v>
      </c>
    </row>
    <row r="1949" spans="1:15" x14ac:dyDescent="0.3">
      <c r="A1949" t="s">
        <v>2278</v>
      </c>
      <c r="B1949" t="s">
        <v>2146</v>
      </c>
      <c r="C1949" t="s">
        <v>2147</v>
      </c>
      <c r="D1949">
        <v>1</v>
      </c>
      <c r="E1949" t="s">
        <v>1447</v>
      </c>
      <c r="F1949" t="s">
        <v>2148</v>
      </c>
      <c r="G1949" t="s">
        <v>1759</v>
      </c>
      <c r="H1949" t="s">
        <v>2277</v>
      </c>
      <c r="I1949" t="s">
        <v>2277</v>
      </c>
      <c r="J1949" t="s">
        <v>2277</v>
      </c>
      <c r="K1949" t="s">
        <v>2277</v>
      </c>
      <c r="L1949" t="s">
        <v>1419</v>
      </c>
      <c r="M1949" t="s">
        <v>2277</v>
      </c>
      <c r="N1949" t="s">
        <v>2277</v>
      </c>
      <c r="O1949" s="190" t="str">
        <f t="shared" si="30"/>
        <v>[S10_InstallationsComplianceMeasures][1][ComplianceMeasuresYesNo]</v>
      </c>
    </row>
    <row r="1950" spans="1:15" x14ac:dyDescent="0.3">
      <c r="A1950" t="s">
        <v>2278</v>
      </c>
      <c r="B1950" t="s">
        <v>2146</v>
      </c>
      <c r="C1950" t="s">
        <v>2147</v>
      </c>
      <c r="D1950">
        <v>2</v>
      </c>
      <c r="E1950" t="s">
        <v>1447</v>
      </c>
      <c r="F1950" t="s">
        <v>2148</v>
      </c>
      <c r="G1950" t="s">
        <v>1759</v>
      </c>
      <c r="H1950" t="s">
        <v>2277</v>
      </c>
      <c r="I1950" t="s">
        <v>2277</v>
      </c>
      <c r="J1950" t="s">
        <v>2277</v>
      </c>
      <c r="K1950" t="s">
        <v>2277</v>
      </c>
      <c r="L1950" t="s">
        <v>1447</v>
      </c>
      <c r="M1950" t="s">
        <v>2277</v>
      </c>
      <c r="N1950" t="s">
        <v>2277</v>
      </c>
      <c r="O1950" s="190" t="str">
        <f t="shared" si="30"/>
        <v>[S10_InstallationsComplianceMeasures][2][ComplianceMeasuresYesNo]</v>
      </c>
    </row>
    <row r="1951" spans="1:15" x14ac:dyDescent="0.3">
      <c r="A1951" t="s">
        <v>2278</v>
      </c>
      <c r="B1951" t="s">
        <v>2146</v>
      </c>
      <c r="C1951" t="s">
        <v>2147</v>
      </c>
      <c r="D1951">
        <v>3</v>
      </c>
      <c r="E1951" t="s">
        <v>1447</v>
      </c>
      <c r="F1951" t="s">
        <v>2148</v>
      </c>
      <c r="G1951" t="s">
        <v>1759</v>
      </c>
      <c r="H1951" t="s">
        <v>2277</v>
      </c>
      <c r="I1951" t="s">
        <v>2277</v>
      </c>
      <c r="J1951" t="s">
        <v>2277</v>
      </c>
      <c r="K1951" t="s">
        <v>2277</v>
      </c>
      <c r="L1951" t="s">
        <v>1419</v>
      </c>
      <c r="M1951" t="s">
        <v>2277</v>
      </c>
      <c r="N1951" t="s">
        <v>2277</v>
      </c>
      <c r="O1951" s="190" t="str">
        <f t="shared" si="30"/>
        <v>[S10_InstallationsComplianceMeasures][3][ComplianceMeasuresYesNo]</v>
      </c>
    </row>
    <row r="1952" spans="1:15" x14ac:dyDescent="0.3">
      <c r="A1952" t="s">
        <v>2278</v>
      </c>
      <c r="B1952" t="s">
        <v>2146</v>
      </c>
      <c r="C1952" t="s">
        <v>2147</v>
      </c>
      <c r="D1952">
        <v>4</v>
      </c>
      <c r="E1952" t="s">
        <v>1447</v>
      </c>
      <c r="F1952" t="s">
        <v>2148</v>
      </c>
      <c r="G1952" t="s">
        <v>1759</v>
      </c>
      <c r="H1952" t="s">
        <v>2277</v>
      </c>
      <c r="I1952" t="s">
        <v>2277</v>
      </c>
      <c r="J1952" t="s">
        <v>2277</v>
      </c>
      <c r="K1952" t="s">
        <v>2277</v>
      </c>
      <c r="L1952" t="s">
        <v>1447</v>
      </c>
      <c r="M1952" t="s">
        <v>2277</v>
      </c>
      <c r="N1952" t="s">
        <v>2277</v>
      </c>
      <c r="O1952" s="190" t="str">
        <f t="shared" si="30"/>
        <v>[S10_InstallationsComplianceMeasures][4][ComplianceMeasuresYesNo]</v>
      </c>
    </row>
    <row r="1953" spans="1:15" x14ac:dyDescent="0.3">
      <c r="A1953" t="s">
        <v>2278</v>
      </c>
      <c r="B1953" t="s">
        <v>2146</v>
      </c>
      <c r="C1953" t="s">
        <v>2147</v>
      </c>
      <c r="D1953">
        <v>5</v>
      </c>
      <c r="E1953" t="s">
        <v>1447</v>
      </c>
      <c r="F1953" t="s">
        <v>2148</v>
      </c>
      <c r="G1953" t="s">
        <v>1759</v>
      </c>
      <c r="H1953" t="s">
        <v>2277</v>
      </c>
      <c r="I1953" t="s">
        <v>2277</v>
      </c>
      <c r="J1953" t="s">
        <v>2277</v>
      </c>
      <c r="K1953" t="s">
        <v>2277</v>
      </c>
      <c r="L1953" t="s">
        <v>1419</v>
      </c>
      <c r="M1953" t="s">
        <v>2277</v>
      </c>
      <c r="N1953" t="s">
        <v>2277</v>
      </c>
      <c r="O1953" s="190" t="str">
        <f t="shared" si="30"/>
        <v>[S10_InstallationsComplianceMeasures][5][ComplianceMeasuresYesNo]</v>
      </c>
    </row>
    <row r="1954" spans="1:15" x14ac:dyDescent="0.3">
      <c r="A1954" t="s">
        <v>2278</v>
      </c>
      <c r="B1954" t="s">
        <v>2146</v>
      </c>
      <c r="C1954" t="s">
        <v>2147</v>
      </c>
      <c r="D1954">
        <v>1</v>
      </c>
      <c r="E1954" t="s">
        <v>1447</v>
      </c>
      <c r="F1954" t="s">
        <v>2149</v>
      </c>
      <c r="G1954" t="s">
        <v>1791</v>
      </c>
      <c r="H1954" t="s">
        <v>2277</v>
      </c>
      <c r="I1954" t="s">
        <v>2277</v>
      </c>
      <c r="J1954" t="s">
        <v>2277</v>
      </c>
      <c r="K1954" t="s">
        <v>2317</v>
      </c>
      <c r="L1954" t="s">
        <v>2277</v>
      </c>
      <c r="M1954" t="s">
        <v>2277</v>
      </c>
      <c r="N1954" t="s">
        <v>2277</v>
      </c>
      <c r="O1954" s="190" t="str">
        <f t="shared" si="30"/>
        <v>[S10_InstallationsComplianceMeasures][1][ComplianceMeasuresComment]</v>
      </c>
    </row>
    <row r="1955" spans="1:15" x14ac:dyDescent="0.3">
      <c r="A1955" t="s">
        <v>2278</v>
      </c>
      <c r="B1955" t="s">
        <v>2146</v>
      </c>
      <c r="C1955" t="s">
        <v>2147</v>
      </c>
      <c r="D1955">
        <v>3</v>
      </c>
      <c r="E1955" t="s">
        <v>1447</v>
      </c>
      <c r="F1955" t="s">
        <v>2149</v>
      </c>
      <c r="G1955" t="s">
        <v>1791</v>
      </c>
      <c r="H1955" t="s">
        <v>2277</v>
      </c>
      <c r="I1955" t="s">
        <v>2277</v>
      </c>
      <c r="J1955" t="s">
        <v>2277</v>
      </c>
      <c r="K1955" t="s">
        <v>2316</v>
      </c>
      <c r="L1955" t="s">
        <v>2277</v>
      </c>
      <c r="M1955" t="s">
        <v>2277</v>
      </c>
      <c r="N1955" t="s">
        <v>2277</v>
      </c>
      <c r="O1955" s="190" t="str">
        <f t="shared" si="30"/>
        <v>[S10_InstallationsComplianceMeasures][3][ComplianceMeasuresComment]</v>
      </c>
    </row>
    <row r="1956" spans="1:15" x14ac:dyDescent="0.3">
      <c r="A1956" t="s">
        <v>2278</v>
      </c>
      <c r="B1956" t="s">
        <v>2146</v>
      </c>
      <c r="C1956" t="s">
        <v>2147</v>
      </c>
      <c r="D1956">
        <v>5</v>
      </c>
      <c r="E1956" t="s">
        <v>1447</v>
      </c>
      <c r="F1956" t="s">
        <v>2149</v>
      </c>
      <c r="G1956" t="s">
        <v>1791</v>
      </c>
      <c r="H1956" t="s">
        <v>2277</v>
      </c>
      <c r="I1956" t="s">
        <v>2277</v>
      </c>
      <c r="J1956" t="s">
        <v>2277</v>
      </c>
      <c r="K1956" t="s">
        <v>2315</v>
      </c>
      <c r="L1956" t="s">
        <v>2277</v>
      </c>
      <c r="M1956" t="s">
        <v>2277</v>
      </c>
      <c r="N1956" t="s">
        <v>2277</v>
      </c>
      <c r="O1956" s="190" t="str">
        <f t="shared" si="30"/>
        <v>[S10_InstallationsComplianceMeasures][5][ComplianceMeasuresComment]</v>
      </c>
    </row>
    <row r="1957" spans="1:15" x14ac:dyDescent="0.3">
      <c r="A1957" t="s">
        <v>2278</v>
      </c>
      <c r="B1957" t="s">
        <v>2151</v>
      </c>
      <c r="C1957" t="s">
        <v>2152</v>
      </c>
      <c r="D1957">
        <v>1</v>
      </c>
      <c r="E1957" t="s">
        <v>1447</v>
      </c>
      <c r="F1957" t="s">
        <v>2111</v>
      </c>
      <c r="G1957" t="s">
        <v>1806</v>
      </c>
      <c r="H1957" t="s">
        <v>2277</v>
      </c>
      <c r="I1957" t="s">
        <v>2277</v>
      </c>
      <c r="J1957">
        <v>10689.01</v>
      </c>
      <c r="K1957" t="s">
        <v>2277</v>
      </c>
      <c r="L1957" t="s">
        <v>2277</v>
      </c>
      <c r="M1957" t="s">
        <v>2277</v>
      </c>
      <c r="N1957" t="s">
        <v>2277</v>
      </c>
      <c r="O1957" s="190" t="str">
        <f t="shared" si="30"/>
        <v>[S10_InstallationsInfringementPenalties][1][MinFine]</v>
      </c>
    </row>
    <row r="1958" spans="1:15" x14ac:dyDescent="0.3">
      <c r="A1958" t="s">
        <v>2278</v>
      </c>
      <c r="B1958" t="s">
        <v>2151</v>
      </c>
      <c r="C1958" t="s">
        <v>2152</v>
      </c>
      <c r="D1958">
        <v>7</v>
      </c>
      <c r="E1958" t="s">
        <v>1447</v>
      </c>
      <c r="F1958" t="s">
        <v>2111</v>
      </c>
      <c r="G1958" t="s">
        <v>1806</v>
      </c>
      <c r="H1958" t="s">
        <v>2277</v>
      </c>
      <c r="I1958" t="s">
        <v>2277</v>
      </c>
      <c r="J1958">
        <v>2137.8000000000002</v>
      </c>
      <c r="K1958" t="s">
        <v>2277</v>
      </c>
      <c r="L1958" t="s">
        <v>2277</v>
      </c>
      <c r="M1958" t="s">
        <v>2277</v>
      </c>
      <c r="N1958" t="s">
        <v>2277</v>
      </c>
      <c r="O1958" s="190" t="str">
        <f t="shared" si="30"/>
        <v>[S10_InstallationsInfringementPenalties][7][MinFine]</v>
      </c>
    </row>
    <row r="1959" spans="1:15" x14ac:dyDescent="0.3">
      <c r="A1959" t="s">
        <v>2278</v>
      </c>
      <c r="B1959" t="s">
        <v>2151</v>
      </c>
      <c r="C1959" t="s">
        <v>2152</v>
      </c>
      <c r="D1959">
        <v>8</v>
      </c>
      <c r="E1959" t="s">
        <v>1447</v>
      </c>
      <c r="F1959" t="s">
        <v>2111</v>
      </c>
      <c r="G1959" t="s">
        <v>1806</v>
      </c>
      <c r="H1959" t="s">
        <v>2277</v>
      </c>
      <c r="I1959" t="s">
        <v>2277</v>
      </c>
      <c r="J1959">
        <v>1068.9000000000001</v>
      </c>
      <c r="K1959" t="s">
        <v>2277</v>
      </c>
      <c r="L1959" t="s">
        <v>2277</v>
      </c>
      <c r="M1959" t="s">
        <v>2277</v>
      </c>
      <c r="N1959" t="s">
        <v>2277</v>
      </c>
      <c r="O1959" s="190" t="str">
        <f t="shared" si="30"/>
        <v>[S10_InstallationsInfringementPenalties][8][MinFine]</v>
      </c>
    </row>
    <row r="1960" spans="1:15" x14ac:dyDescent="0.3">
      <c r="A1960" t="s">
        <v>2278</v>
      </c>
      <c r="B1960" t="s">
        <v>2151</v>
      </c>
      <c r="C1960" t="s">
        <v>2152</v>
      </c>
      <c r="D1960">
        <v>12</v>
      </c>
      <c r="E1960" t="s">
        <v>1447</v>
      </c>
      <c r="F1960" t="s">
        <v>2111</v>
      </c>
      <c r="G1960" t="s">
        <v>1806</v>
      </c>
      <c r="H1960" t="s">
        <v>2277</v>
      </c>
      <c r="I1960" t="s">
        <v>2277</v>
      </c>
      <c r="J1960">
        <v>100</v>
      </c>
      <c r="K1960" t="s">
        <v>2277</v>
      </c>
      <c r="L1960" t="s">
        <v>2277</v>
      </c>
      <c r="M1960" t="s">
        <v>2277</v>
      </c>
      <c r="N1960" t="s">
        <v>2277</v>
      </c>
      <c r="O1960" s="190" t="str">
        <f t="shared" si="30"/>
        <v>[S10_InstallationsInfringementPenalties][12][MinFine]</v>
      </c>
    </row>
    <row r="1961" spans="1:15" x14ac:dyDescent="0.3">
      <c r="A1961" t="s">
        <v>2278</v>
      </c>
      <c r="B1961" t="s">
        <v>2151</v>
      </c>
      <c r="C1961" t="s">
        <v>2152</v>
      </c>
      <c r="D1961">
        <v>13</v>
      </c>
      <c r="E1961" t="s">
        <v>1447</v>
      </c>
      <c r="F1961" t="s">
        <v>2111</v>
      </c>
      <c r="G1961" t="s">
        <v>1806</v>
      </c>
      <c r="H1961" t="s">
        <v>2277</v>
      </c>
      <c r="I1961" t="s">
        <v>2277</v>
      </c>
      <c r="J1961">
        <v>2137.8000000000002</v>
      </c>
      <c r="K1961" t="s">
        <v>2277</v>
      </c>
      <c r="L1961" t="s">
        <v>2277</v>
      </c>
      <c r="M1961" t="s">
        <v>2277</v>
      </c>
      <c r="N1961" t="s">
        <v>2277</v>
      </c>
      <c r="O1961" s="190" t="str">
        <f t="shared" si="30"/>
        <v>[S10_InstallationsInfringementPenalties][13][MinFine]</v>
      </c>
    </row>
    <row r="1962" spans="1:15" x14ac:dyDescent="0.3">
      <c r="A1962" t="s">
        <v>2278</v>
      </c>
      <c r="B1962" t="s">
        <v>2151</v>
      </c>
      <c r="C1962" t="s">
        <v>2152</v>
      </c>
      <c r="D1962">
        <v>14</v>
      </c>
      <c r="E1962" t="s">
        <v>1447</v>
      </c>
      <c r="F1962" t="s">
        <v>2111</v>
      </c>
      <c r="G1962" t="s">
        <v>1806</v>
      </c>
      <c r="H1962" t="s">
        <v>2277</v>
      </c>
      <c r="I1962" t="s">
        <v>2277</v>
      </c>
      <c r="J1962">
        <v>1069.06</v>
      </c>
      <c r="K1962" t="s">
        <v>2277</v>
      </c>
      <c r="L1962" t="s">
        <v>2277</v>
      </c>
      <c r="M1962" t="s">
        <v>2277</v>
      </c>
      <c r="N1962" t="s">
        <v>2277</v>
      </c>
      <c r="O1962" s="190" t="str">
        <f t="shared" si="30"/>
        <v>[S10_InstallationsInfringementPenalties][14][MinFine]</v>
      </c>
    </row>
    <row r="1963" spans="1:15" x14ac:dyDescent="0.3">
      <c r="A1963" t="s">
        <v>2278</v>
      </c>
      <c r="B1963" t="s">
        <v>2151</v>
      </c>
      <c r="C1963" t="s">
        <v>2152</v>
      </c>
      <c r="D1963">
        <v>1</v>
      </c>
      <c r="E1963" t="s">
        <v>1447</v>
      </c>
      <c r="F1963" t="s">
        <v>2112</v>
      </c>
      <c r="G1963" t="s">
        <v>1806</v>
      </c>
      <c r="H1963" t="s">
        <v>2277</v>
      </c>
      <c r="I1963" t="s">
        <v>2277</v>
      </c>
      <c r="J1963">
        <v>10689.01</v>
      </c>
      <c r="K1963" t="s">
        <v>2277</v>
      </c>
      <c r="L1963" t="s">
        <v>2277</v>
      </c>
      <c r="M1963" t="s">
        <v>2277</v>
      </c>
      <c r="N1963" t="s">
        <v>2277</v>
      </c>
      <c r="O1963" s="190" t="str">
        <f t="shared" si="30"/>
        <v>[S10_InstallationsInfringementPenalties][1][MaxFine]</v>
      </c>
    </row>
    <row r="1964" spans="1:15" x14ac:dyDescent="0.3">
      <c r="A1964" t="s">
        <v>2278</v>
      </c>
      <c r="B1964" t="s">
        <v>2151</v>
      </c>
      <c r="C1964" t="s">
        <v>2152</v>
      </c>
      <c r="D1964">
        <v>7</v>
      </c>
      <c r="E1964" t="s">
        <v>1447</v>
      </c>
      <c r="F1964" t="s">
        <v>2112</v>
      </c>
      <c r="G1964" t="s">
        <v>1806</v>
      </c>
      <c r="H1964" t="s">
        <v>2277</v>
      </c>
      <c r="I1964" t="s">
        <v>2277</v>
      </c>
      <c r="J1964">
        <v>2137.8000000000002</v>
      </c>
      <c r="K1964" t="s">
        <v>2277</v>
      </c>
      <c r="L1964" t="s">
        <v>2277</v>
      </c>
      <c r="M1964" t="s">
        <v>2277</v>
      </c>
      <c r="N1964" t="s">
        <v>2277</v>
      </c>
      <c r="O1964" s="190" t="str">
        <f t="shared" si="30"/>
        <v>[S10_InstallationsInfringementPenalties][7][MaxFine]</v>
      </c>
    </row>
    <row r="1965" spans="1:15" x14ac:dyDescent="0.3">
      <c r="A1965" t="s">
        <v>2278</v>
      </c>
      <c r="B1965" t="s">
        <v>2151</v>
      </c>
      <c r="C1965" t="s">
        <v>2152</v>
      </c>
      <c r="D1965">
        <v>8</v>
      </c>
      <c r="E1965" t="s">
        <v>1447</v>
      </c>
      <c r="F1965" t="s">
        <v>2112</v>
      </c>
      <c r="G1965" t="s">
        <v>1806</v>
      </c>
      <c r="H1965" t="s">
        <v>2277</v>
      </c>
      <c r="I1965" t="s">
        <v>2277</v>
      </c>
      <c r="J1965">
        <v>10689.01</v>
      </c>
      <c r="K1965" t="s">
        <v>2277</v>
      </c>
      <c r="L1965" t="s">
        <v>2277</v>
      </c>
      <c r="M1965" t="s">
        <v>2277</v>
      </c>
      <c r="N1965" t="s">
        <v>2277</v>
      </c>
      <c r="O1965" s="190" t="str">
        <f t="shared" si="30"/>
        <v>[S10_InstallationsInfringementPenalties][8][MaxFine]</v>
      </c>
    </row>
    <row r="1966" spans="1:15" x14ac:dyDescent="0.3">
      <c r="A1966" t="s">
        <v>2278</v>
      </c>
      <c r="B1966" t="s">
        <v>2151</v>
      </c>
      <c r="C1966" t="s">
        <v>2152</v>
      </c>
      <c r="D1966">
        <v>12</v>
      </c>
      <c r="E1966" t="s">
        <v>1447</v>
      </c>
      <c r="F1966" t="s">
        <v>2112</v>
      </c>
      <c r="G1966" t="s">
        <v>1806</v>
      </c>
      <c r="H1966" t="s">
        <v>2277</v>
      </c>
      <c r="I1966" t="s">
        <v>2277</v>
      </c>
      <c r="J1966">
        <v>100</v>
      </c>
      <c r="K1966" t="s">
        <v>2277</v>
      </c>
      <c r="L1966" t="s">
        <v>2277</v>
      </c>
      <c r="M1966" t="s">
        <v>2277</v>
      </c>
      <c r="N1966" t="s">
        <v>2277</v>
      </c>
      <c r="O1966" s="190" t="str">
        <f t="shared" si="30"/>
        <v>[S10_InstallationsInfringementPenalties][12][MaxFine]</v>
      </c>
    </row>
    <row r="1967" spans="1:15" x14ac:dyDescent="0.3">
      <c r="A1967" t="s">
        <v>2278</v>
      </c>
      <c r="B1967" t="s">
        <v>2151</v>
      </c>
      <c r="C1967" t="s">
        <v>2152</v>
      </c>
      <c r="D1967">
        <v>13</v>
      </c>
      <c r="E1967" t="s">
        <v>1447</v>
      </c>
      <c r="F1967" t="s">
        <v>2112</v>
      </c>
      <c r="G1967" t="s">
        <v>1806</v>
      </c>
      <c r="H1967" t="s">
        <v>2277</v>
      </c>
      <c r="I1967" t="s">
        <v>2277</v>
      </c>
      <c r="J1967">
        <v>2137.8000000000002</v>
      </c>
      <c r="K1967" t="s">
        <v>2277</v>
      </c>
      <c r="L1967" t="s">
        <v>2277</v>
      </c>
      <c r="M1967" t="s">
        <v>2277</v>
      </c>
      <c r="N1967" t="s">
        <v>2277</v>
      </c>
      <c r="O1967" s="190" t="str">
        <f t="shared" si="30"/>
        <v>[S10_InstallationsInfringementPenalties][13][MaxFine]</v>
      </c>
    </row>
    <row r="1968" spans="1:15" x14ac:dyDescent="0.3">
      <c r="A1968" t="s">
        <v>2278</v>
      </c>
      <c r="B1968" t="s">
        <v>2151</v>
      </c>
      <c r="C1968" t="s">
        <v>2152</v>
      </c>
      <c r="D1968">
        <v>14</v>
      </c>
      <c r="E1968" t="s">
        <v>1447</v>
      </c>
      <c r="F1968" t="s">
        <v>2112</v>
      </c>
      <c r="G1968" t="s">
        <v>1806</v>
      </c>
      <c r="H1968" t="s">
        <v>2277</v>
      </c>
      <c r="I1968" t="s">
        <v>2277</v>
      </c>
      <c r="J1968">
        <v>1069.06</v>
      </c>
      <c r="K1968" t="s">
        <v>2277</v>
      </c>
      <c r="L1968" t="s">
        <v>2277</v>
      </c>
      <c r="M1968" t="s">
        <v>2277</v>
      </c>
      <c r="N1968" t="s">
        <v>2277</v>
      </c>
      <c r="O1968" s="190" t="str">
        <f t="shared" si="30"/>
        <v>[S10_InstallationsInfringementPenalties][14][MaxFine]</v>
      </c>
    </row>
    <row r="1969" spans="1:15" x14ac:dyDescent="0.3">
      <c r="A1969" t="s">
        <v>2278</v>
      </c>
      <c r="B1969" t="s">
        <v>2151</v>
      </c>
      <c r="C1969" t="s">
        <v>2152</v>
      </c>
      <c r="D1969">
        <v>1</v>
      </c>
      <c r="E1969" t="s">
        <v>1447</v>
      </c>
      <c r="F1969" t="s">
        <v>2115</v>
      </c>
      <c r="G1969" t="s">
        <v>1791</v>
      </c>
      <c r="H1969" t="s">
        <v>2277</v>
      </c>
      <c r="I1969" t="s">
        <v>2277</v>
      </c>
      <c r="J1969" t="s">
        <v>2277</v>
      </c>
      <c r="K1969" t="s">
        <v>2314</v>
      </c>
      <c r="L1969" t="s">
        <v>2277</v>
      </c>
      <c r="M1969" t="s">
        <v>2277</v>
      </c>
      <c r="N1969" t="s">
        <v>2277</v>
      </c>
      <c r="O1969" s="190" t="str">
        <f t="shared" si="30"/>
        <v>[S10_InstallationsInfringementPenalties][1][OtherPenalty]</v>
      </c>
    </row>
    <row r="1970" spans="1:15" x14ac:dyDescent="0.3">
      <c r="A1970" t="s">
        <v>2278</v>
      </c>
      <c r="B1970" t="s">
        <v>2151</v>
      </c>
      <c r="C1970" t="s">
        <v>2152</v>
      </c>
      <c r="D1970">
        <v>8</v>
      </c>
      <c r="E1970" t="s">
        <v>1447</v>
      </c>
      <c r="F1970" t="s">
        <v>2115</v>
      </c>
      <c r="G1970" t="s">
        <v>1791</v>
      </c>
      <c r="H1970" t="s">
        <v>2277</v>
      </c>
      <c r="I1970" t="s">
        <v>2277</v>
      </c>
      <c r="J1970" t="s">
        <v>2277</v>
      </c>
      <c r="K1970" t="s">
        <v>2313</v>
      </c>
      <c r="L1970" t="s">
        <v>2277</v>
      </c>
      <c r="M1970" t="s">
        <v>2277</v>
      </c>
      <c r="N1970" t="s">
        <v>2277</v>
      </c>
      <c r="O1970" s="190" t="str">
        <f t="shared" si="30"/>
        <v>[S10_InstallationsInfringementPenalties][8][OtherPenalty]</v>
      </c>
    </row>
    <row r="1971" spans="1:15" x14ac:dyDescent="0.3">
      <c r="A1971" t="s">
        <v>2278</v>
      </c>
      <c r="B1971" t="s">
        <v>2151</v>
      </c>
      <c r="C1971" t="s">
        <v>2152</v>
      </c>
      <c r="D1971">
        <v>12</v>
      </c>
      <c r="E1971" t="s">
        <v>1419</v>
      </c>
      <c r="F1971" t="s">
        <v>2116</v>
      </c>
      <c r="G1971" t="s">
        <v>1791</v>
      </c>
      <c r="H1971" t="s">
        <v>2277</v>
      </c>
      <c r="I1971" t="s">
        <v>2277</v>
      </c>
      <c r="J1971" t="s">
        <v>2277</v>
      </c>
      <c r="K1971" t="s">
        <v>2310</v>
      </c>
      <c r="L1971" t="s">
        <v>2277</v>
      </c>
      <c r="M1971" t="s">
        <v>2277</v>
      </c>
      <c r="N1971" t="s">
        <v>2277</v>
      </c>
      <c r="O1971" s="190" t="str">
        <f t="shared" si="30"/>
        <v>[S10_InstallationsInfringementPenalties][12][InfringementOther]</v>
      </c>
    </row>
    <row r="1972" spans="1:15" x14ac:dyDescent="0.3">
      <c r="A1972" t="s">
        <v>2278</v>
      </c>
      <c r="B1972" t="s">
        <v>2151</v>
      </c>
      <c r="C1972" t="s">
        <v>2152</v>
      </c>
      <c r="D1972">
        <v>13</v>
      </c>
      <c r="E1972" t="s">
        <v>1419</v>
      </c>
      <c r="F1972" t="s">
        <v>2116</v>
      </c>
      <c r="G1972" t="s">
        <v>1791</v>
      </c>
      <c r="H1972" t="s">
        <v>2277</v>
      </c>
      <c r="I1972" t="s">
        <v>2277</v>
      </c>
      <c r="J1972" t="s">
        <v>2277</v>
      </c>
      <c r="K1972" t="s">
        <v>2312</v>
      </c>
      <c r="L1972" t="s">
        <v>2277</v>
      </c>
      <c r="M1972" t="s">
        <v>2277</v>
      </c>
      <c r="N1972" t="s">
        <v>2277</v>
      </c>
      <c r="O1972" s="190" t="str">
        <f t="shared" si="30"/>
        <v>[S10_InstallationsInfringementPenalties][13][InfringementOther]</v>
      </c>
    </row>
    <row r="1973" spans="1:15" x14ac:dyDescent="0.3">
      <c r="A1973" t="s">
        <v>2278</v>
      </c>
      <c r="B1973" t="s">
        <v>2151</v>
      </c>
      <c r="C1973" t="s">
        <v>2152</v>
      </c>
      <c r="D1973">
        <v>14</v>
      </c>
      <c r="E1973" t="s">
        <v>1419</v>
      </c>
      <c r="F1973" t="s">
        <v>2116</v>
      </c>
      <c r="G1973" t="s">
        <v>1791</v>
      </c>
      <c r="H1973" t="s">
        <v>2277</v>
      </c>
      <c r="I1973" t="s">
        <v>2277</v>
      </c>
      <c r="J1973" t="s">
        <v>2277</v>
      </c>
      <c r="K1973" t="s">
        <v>2311</v>
      </c>
      <c r="L1973" t="s">
        <v>2277</v>
      </c>
      <c r="M1973" t="s">
        <v>2277</v>
      </c>
      <c r="N1973" t="s">
        <v>2277</v>
      </c>
      <c r="O1973" s="190" t="str">
        <f t="shared" si="30"/>
        <v>[S10_InstallationsInfringementPenalties][14][InfringementOther]</v>
      </c>
    </row>
    <row r="1974" spans="1:15" x14ac:dyDescent="0.3">
      <c r="A1974" t="s">
        <v>2278</v>
      </c>
      <c r="B1974" t="s">
        <v>2151</v>
      </c>
      <c r="C1974" t="s">
        <v>2153</v>
      </c>
      <c r="D1974">
        <v>0</v>
      </c>
      <c r="E1974" t="s">
        <v>1447</v>
      </c>
      <c r="F1974" t="s">
        <v>2153</v>
      </c>
      <c r="G1974" t="s">
        <v>1741</v>
      </c>
      <c r="H1974" t="s">
        <v>2303</v>
      </c>
      <c r="I1974" t="s">
        <v>2277</v>
      </c>
      <c r="J1974" t="s">
        <v>2277</v>
      </c>
      <c r="K1974" t="s">
        <v>2277</v>
      </c>
      <c r="L1974" t="s">
        <v>2277</v>
      </c>
      <c r="M1974" t="s">
        <v>2277</v>
      </c>
      <c r="N1974" t="s">
        <v>2277</v>
      </c>
      <c r="O1974" s="190" t="str">
        <f t="shared" si="30"/>
        <v>[InstallationsNationalLaw][0][InstallationsNationalLaw]</v>
      </c>
    </row>
    <row r="1975" spans="1:15" x14ac:dyDescent="0.3">
      <c r="A1975" t="s">
        <v>2278</v>
      </c>
      <c r="B1975" t="s">
        <v>2154</v>
      </c>
      <c r="C1975" t="s">
        <v>2155</v>
      </c>
      <c r="D1975">
        <v>1</v>
      </c>
      <c r="E1975" t="s">
        <v>1447</v>
      </c>
      <c r="F1975" t="s">
        <v>2119</v>
      </c>
      <c r="G1975" t="s">
        <v>1737</v>
      </c>
      <c r="H1975" t="s">
        <v>2277</v>
      </c>
      <c r="I1975" t="s">
        <v>2277</v>
      </c>
      <c r="J1975" t="s">
        <v>2277</v>
      </c>
      <c r="K1975" t="s">
        <v>2277</v>
      </c>
      <c r="L1975" t="s">
        <v>1294</v>
      </c>
      <c r="M1975" t="s">
        <v>2277</v>
      </c>
      <c r="N1975" t="s">
        <v>2277</v>
      </c>
      <c r="O1975" s="190" t="str">
        <f t="shared" si="30"/>
        <v>[S10_InstallationsPenaltiesImposed][1][InfringementType]</v>
      </c>
    </row>
    <row r="1976" spans="1:15" x14ac:dyDescent="0.3">
      <c r="A1976" t="s">
        <v>2278</v>
      </c>
      <c r="B1976" t="s">
        <v>2154</v>
      </c>
      <c r="C1976" t="s">
        <v>2155</v>
      </c>
      <c r="D1976">
        <v>2</v>
      </c>
      <c r="E1976" t="s">
        <v>1447</v>
      </c>
      <c r="F1976" t="s">
        <v>2119</v>
      </c>
      <c r="G1976" t="s">
        <v>1737</v>
      </c>
      <c r="H1976" t="s">
        <v>2277</v>
      </c>
      <c r="I1976" t="s">
        <v>2277</v>
      </c>
      <c r="J1976" t="s">
        <v>2277</v>
      </c>
      <c r="K1976" t="s">
        <v>2277</v>
      </c>
      <c r="L1976" t="s">
        <v>1294</v>
      </c>
      <c r="M1976" t="s">
        <v>2277</v>
      </c>
      <c r="N1976" t="s">
        <v>2277</v>
      </c>
      <c r="O1976" s="190" t="str">
        <f t="shared" si="30"/>
        <v>[S10_InstallationsPenaltiesImposed][2][InfringementType]</v>
      </c>
    </row>
    <row r="1977" spans="1:15" x14ac:dyDescent="0.3">
      <c r="A1977" t="s">
        <v>2278</v>
      </c>
      <c r="B1977" t="s">
        <v>2154</v>
      </c>
      <c r="C1977" t="s">
        <v>2155</v>
      </c>
      <c r="D1977">
        <v>3</v>
      </c>
      <c r="E1977" t="s">
        <v>1447</v>
      </c>
      <c r="F1977" t="s">
        <v>2119</v>
      </c>
      <c r="G1977" t="s">
        <v>1737</v>
      </c>
      <c r="H1977" t="s">
        <v>2277</v>
      </c>
      <c r="I1977" t="s">
        <v>2277</v>
      </c>
      <c r="J1977" t="s">
        <v>2277</v>
      </c>
      <c r="K1977" t="s">
        <v>2277</v>
      </c>
      <c r="L1977" t="s">
        <v>1294</v>
      </c>
      <c r="M1977" t="s">
        <v>2277</v>
      </c>
      <c r="N1977" t="s">
        <v>2277</v>
      </c>
      <c r="O1977" s="190" t="str">
        <f t="shared" si="30"/>
        <v>[S10_InstallationsPenaltiesImposed][3][InfringementType]</v>
      </c>
    </row>
    <row r="1978" spans="1:15" x14ac:dyDescent="0.3">
      <c r="A1978" t="s">
        <v>2278</v>
      </c>
      <c r="B1978" t="s">
        <v>2154</v>
      </c>
      <c r="C1978" t="s">
        <v>2155</v>
      </c>
      <c r="D1978">
        <v>4</v>
      </c>
      <c r="E1978" t="s">
        <v>1447</v>
      </c>
      <c r="F1978" t="s">
        <v>2119</v>
      </c>
      <c r="G1978" t="s">
        <v>1737</v>
      </c>
      <c r="H1978" t="s">
        <v>2277</v>
      </c>
      <c r="I1978" t="s">
        <v>2277</v>
      </c>
      <c r="J1978" t="s">
        <v>2277</v>
      </c>
      <c r="K1978" t="s">
        <v>2277</v>
      </c>
      <c r="L1978" t="s">
        <v>1294</v>
      </c>
      <c r="M1978" t="s">
        <v>2277</v>
      </c>
      <c r="N1978" t="s">
        <v>2277</v>
      </c>
      <c r="O1978" s="190" t="str">
        <f t="shared" si="30"/>
        <v>[S10_InstallationsPenaltiesImposed][4][InfringementType]</v>
      </c>
    </row>
    <row r="1979" spans="1:15" x14ac:dyDescent="0.3">
      <c r="A1979" t="s">
        <v>2278</v>
      </c>
      <c r="B1979" t="s">
        <v>2154</v>
      </c>
      <c r="C1979" t="s">
        <v>2155</v>
      </c>
      <c r="D1979">
        <v>5</v>
      </c>
      <c r="E1979" t="s">
        <v>1447</v>
      </c>
      <c r="F1979" t="s">
        <v>2119</v>
      </c>
      <c r="G1979" t="s">
        <v>1737</v>
      </c>
      <c r="H1979" t="s">
        <v>2277</v>
      </c>
      <c r="I1979" t="s">
        <v>2277</v>
      </c>
      <c r="J1979" t="s">
        <v>2277</v>
      </c>
      <c r="K1979" t="s">
        <v>2277</v>
      </c>
      <c r="L1979" t="s">
        <v>1294</v>
      </c>
      <c r="M1979" t="s">
        <v>2277</v>
      </c>
      <c r="N1979" t="s">
        <v>2277</v>
      </c>
      <c r="O1979" s="190" t="str">
        <f t="shared" si="30"/>
        <v>[S10_InstallationsPenaltiesImposed][5][InfringementType]</v>
      </c>
    </row>
    <row r="1980" spans="1:15" x14ac:dyDescent="0.3">
      <c r="A1980" t="s">
        <v>2278</v>
      </c>
      <c r="B1980" t="s">
        <v>2154</v>
      </c>
      <c r="C1980" t="s">
        <v>2155</v>
      </c>
      <c r="D1980">
        <v>6</v>
      </c>
      <c r="E1980" t="s">
        <v>1447</v>
      </c>
      <c r="F1980" t="s">
        <v>2119</v>
      </c>
      <c r="G1980" t="s">
        <v>1737</v>
      </c>
      <c r="H1980" t="s">
        <v>2277</v>
      </c>
      <c r="I1980" t="s">
        <v>2277</v>
      </c>
      <c r="J1980" t="s">
        <v>2277</v>
      </c>
      <c r="K1980" t="s">
        <v>2277</v>
      </c>
      <c r="L1980" t="s">
        <v>2310</v>
      </c>
      <c r="M1980" t="s">
        <v>2277</v>
      </c>
      <c r="N1980" t="s">
        <v>2277</v>
      </c>
      <c r="O1980" s="190" t="str">
        <f t="shared" si="30"/>
        <v>[S10_InstallationsPenaltiesImposed][6][InfringementType]</v>
      </c>
    </row>
    <row r="1981" spans="1:15" x14ac:dyDescent="0.3">
      <c r="A1981" t="s">
        <v>2278</v>
      </c>
      <c r="B1981" t="s">
        <v>2154</v>
      </c>
      <c r="C1981" t="s">
        <v>2155</v>
      </c>
      <c r="D1981">
        <v>1</v>
      </c>
      <c r="E1981" t="s">
        <v>1447</v>
      </c>
      <c r="F1981" t="s">
        <v>2120</v>
      </c>
      <c r="G1981" t="s">
        <v>1806</v>
      </c>
      <c r="H1981" t="s">
        <v>2277</v>
      </c>
      <c r="I1981" t="s">
        <v>2277</v>
      </c>
      <c r="J1981">
        <v>1068.9000000000001</v>
      </c>
      <c r="K1981" t="s">
        <v>2277</v>
      </c>
      <c r="L1981" t="s">
        <v>2277</v>
      </c>
      <c r="M1981" t="s">
        <v>2277</v>
      </c>
      <c r="N1981" t="s">
        <v>2277</v>
      </c>
      <c r="O1981" s="190" t="str">
        <f t="shared" si="30"/>
        <v>[S10_InstallationsPenaltiesImposed][1][ActualFines]</v>
      </c>
    </row>
    <row r="1982" spans="1:15" x14ac:dyDescent="0.3">
      <c r="A1982" t="s">
        <v>2278</v>
      </c>
      <c r="B1982" t="s">
        <v>2154</v>
      </c>
      <c r="C1982" t="s">
        <v>2155</v>
      </c>
      <c r="D1982">
        <v>2</v>
      </c>
      <c r="E1982" t="s">
        <v>1447</v>
      </c>
      <c r="F1982" t="s">
        <v>2120</v>
      </c>
      <c r="G1982" t="s">
        <v>1806</v>
      </c>
      <c r="H1982" t="s">
        <v>2277</v>
      </c>
      <c r="I1982" t="s">
        <v>2277</v>
      </c>
      <c r="J1982">
        <v>1068.9000000000001</v>
      </c>
      <c r="K1982" t="s">
        <v>2277</v>
      </c>
      <c r="L1982" t="s">
        <v>2277</v>
      </c>
      <c r="M1982" t="s">
        <v>2277</v>
      </c>
      <c r="N1982" t="s">
        <v>2277</v>
      </c>
      <c r="O1982" s="190" t="str">
        <f t="shared" si="30"/>
        <v>[S10_InstallationsPenaltiesImposed][2][ActualFines]</v>
      </c>
    </row>
    <row r="1983" spans="1:15" x14ac:dyDescent="0.3">
      <c r="A1983" t="s">
        <v>2278</v>
      </c>
      <c r="B1983" t="s">
        <v>2154</v>
      </c>
      <c r="C1983" t="s">
        <v>2155</v>
      </c>
      <c r="D1983">
        <v>3</v>
      </c>
      <c r="E1983" t="s">
        <v>1447</v>
      </c>
      <c r="F1983" t="s">
        <v>2120</v>
      </c>
      <c r="G1983" t="s">
        <v>1806</v>
      </c>
      <c r="H1983" t="s">
        <v>2277</v>
      </c>
      <c r="I1983" t="s">
        <v>2277</v>
      </c>
      <c r="J1983">
        <v>1068.9000000000001</v>
      </c>
      <c r="K1983" t="s">
        <v>2277</v>
      </c>
      <c r="L1983" t="s">
        <v>2277</v>
      </c>
      <c r="M1983" t="s">
        <v>2277</v>
      </c>
      <c r="N1983" t="s">
        <v>2277</v>
      </c>
      <c r="O1983" s="190" t="str">
        <f t="shared" si="30"/>
        <v>[S10_InstallationsPenaltiesImposed][3][ActualFines]</v>
      </c>
    </row>
    <row r="1984" spans="1:15" x14ac:dyDescent="0.3">
      <c r="A1984" t="s">
        <v>2278</v>
      </c>
      <c r="B1984" t="s">
        <v>2154</v>
      </c>
      <c r="C1984" t="s">
        <v>2155</v>
      </c>
      <c r="D1984">
        <v>4</v>
      </c>
      <c r="E1984" t="s">
        <v>1447</v>
      </c>
      <c r="F1984" t="s">
        <v>2120</v>
      </c>
      <c r="G1984" t="s">
        <v>1806</v>
      </c>
      <c r="H1984" t="s">
        <v>2277</v>
      </c>
      <c r="I1984" t="s">
        <v>2277</v>
      </c>
      <c r="J1984">
        <v>1068.9000000000001</v>
      </c>
      <c r="K1984" t="s">
        <v>2277</v>
      </c>
      <c r="L1984" t="s">
        <v>2277</v>
      </c>
      <c r="M1984" t="s">
        <v>2277</v>
      </c>
      <c r="N1984" t="s">
        <v>2277</v>
      </c>
      <c r="O1984" s="190" t="str">
        <f t="shared" si="30"/>
        <v>[S10_InstallationsPenaltiesImposed][4][ActualFines]</v>
      </c>
    </row>
    <row r="1985" spans="1:15" x14ac:dyDescent="0.3">
      <c r="A1985" t="s">
        <v>2278</v>
      </c>
      <c r="B1985" t="s">
        <v>2154</v>
      </c>
      <c r="C1985" t="s">
        <v>2155</v>
      </c>
      <c r="D1985">
        <v>5</v>
      </c>
      <c r="E1985" t="s">
        <v>1447</v>
      </c>
      <c r="F1985" t="s">
        <v>2120</v>
      </c>
      <c r="G1985" t="s">
        <v>1806</v>
      </c>
      <c r="H1985" t="s">
        <v>2277</v>
      </c>
      <c r="I1985" t="s">
        <v>2277</v>
      </c>
      <c r="J1985">
        <v>1068.9000000000001</v>
      </c>
      <c r="K1985" t="s">
        <v>2277</v>
      </c>
      <c r="L1985" t="s">
        <v>2277</v>
      </c>
      <c r="M1985" t="s">
        <v>2277</v>
      </c>
      <c r="N1985" t="s">
        <v>2277</v>
      </c>
      <c r="O1985" s="190" t="str">
        <f t="shared" si="30"/>
        <v>[S10_InstallationsPenaltiesImposed][5][ActualFines]</v>
      </c>
    </row>
    <row r="1986" spans="1:15" x14ac:dyDescent="0.3">
      <c r="A1986" t="s">
        <v>2278</v>
      </c>
      <c r="B1986" t="s">
        <v>2154</v>
      </c>
      <c r="C1986" t="s">
        <v>2155</v>
      </c>
      <c r="D1986">
        <v>6</v>
      </c>
      <c r="E1986" t="s">
        <v>1447</v>
      </c>
      <c r="F1986" t="s">
        <v>2120</v>
      </c>
      <c r="G1986" t="s">
        <v>1806</v>
      </c>
      <c r="H1986" t="s">
        <v>2277</v>
      </c>
      <c r="I1986" t="s">
        <v>2277</v>
      </c>
      <c r="J1986">
        <v>3867889.56</v>
      </c>
      <c r="K1986" t="s">
        <v>2277</v>
      </c>
      <c r="L1986" t="s">
        <v>2277</v>
      </c>
      <c r="M1986" t="s">
        <v>2277</v>
      </c>
      <c r="N1986" t="s">
        <v>2277</v>
      </c>
      <c r="O1986" s="190" t="str">
        <f t="shared" ref="O1986:O2049" si="31">"["&amp;$C1986&amp;"]["&amp;$D1986&amp;"]["&amp;$F1986&amp;"]"</f>
        <v>[S10_InstallationsPenaltiesImposed][6][ActualFines]</v>
      </c>
    </row>
    <row r="1987" spans="1:15" x14ac:dyDescent="0.3">
      <c r="A1987" t="s">
        <v>2278</v>
      </c>
      <c r="B1987" t="s">
        <v>2154</v>
      </c>
      <c r="C1987" t="s">
        <v>2155</v>
      </c>
      <c r="D1987">
        <v>1</v>
      </c>
      <c r="E1987" t="s">
        <v>1447</v>
      </c>
      <c r="F1987" t="s">
        <v>2123</v>
      </c>
      <c r="G1987" t="s">
        <v>1759</v>
      </c>
      <c r="H1987" t="s">
        <v>2277</v>
      </c>
      <c r="I1987" t="s">
        <v>2277</v>
      </c>
      <c r="J1987" t="s">
        <v>2277</v>
      </c>
      <c r="K1987" t="s">
        <v>2277</v>
      </c>
      <c r="L1987" t="s">
        <v>1447</v>
      </c>
      <c r="M1987" t="s">
        <v>2277</v>
      </c>
      <c r="N1987" t="s">
        <v>2277</v>
      </c>
      <c r="O1987" s="190" t="str">
        <f t="shared" si="31"/>
        <v>[S10_InstallationsPenaltiesImposed][1][OngoingProceedings]</v>
      </c>
    </row>
    <row r="1988" spans="1:15" x14ac:dyDescent="0.3">
      <c r="A1988" t="s">
        <v>2278</v>
      </c>
      <c r="B1988" t="s">
        <v>2154</v>
      </c>
      <c r="C1988" t="s">
        <v>2155</v>
      </c>
      <c r="D1988">
        <v>2</v>
      </c>
      <c r="E1988" t="s">
        <v>1447</v>
      </c>
      <c r="F1988" t="s">
        <v>2123</v>
      </c>
      <c r="G1988" t="s">
        <v>1759</v>
      </c>
      <c r="H1988" t="s">
        <v>2277</v>
      </c>
      <c r="I1988" t="s">
        <v>2277</v>
      </c>
      <c r="J1988" t="s">
        <v>2277</v>
      </c>
      <c r="K1988" t="s">
        <v>2277</v>
      </c>
      <c r="L1988" t="s">
        <v>1447</v>
      </c>
      <c r="M1988" t="s">
        <v>2277</v>
      </c>
      <c r="N1988" t="s">
        <v>2277</v>
      </c>
      <c r="O1988" s="190" t="str">
        <f t="shared" si="31"/>
        <v>[S10_InstallationsPenaltiesImposed][2][OngoingProceedings]</v>
      </c>
    </row>
    <row r="1989" spans="1:15" x14ac:dyDescent="0.3">
      <c r="A1989" t="s">
        <v>2278</v>
      </c>
      <c r="B1989" t="s">
        <v>2154</v>
      </c>
      <c r="C1989" t="s">
        <v>2155</v>
      </c>
      <c r="D1989">
        <v>3</v>
      </c>
      <c r="E1989" t="s">
        <v>1447</v>
      </c>
      <c r="F1989" t="s">
        <v>2123</v>
      </c>
      <c r="G1989" t="s">
        <v>1759</v>
      </c>
      <c r="H1989" t="s">
        <v>2277</v>
      </c>
      <c r="I1989" t="s">
        <v>2277</v>
      </c>
      <c r="J1989" t="s">
        <v>2277</v>
      </c>
      <c r="K1989" t="s">
        <v>2277</v>
      </c>
      <c r="L1989" t="s">
        <v>1447</v>
      </c>
      <c r="M1989" t="s">
        <v>2277</v>
      </c>
      <c r="N1989" t="s">
        <v>2277</v>
      </c>
      <c r="O1989" s="190" t="str">
        <f t="shared" si="31"/>
        <v>[S10_InstallationsPenaltiesImposed][3][OngoingProceedings]</v>
      </c>
    </row>
    <row r="1990" spans="1:15" x14ac:dyDescent="0.3">
      <c r="A1990" t="s">
        <v>2278</v>
      </c>
      <c r="B1990" t="s">
        <v>2154</v>
      </c>
      <c r="C1990" t="s">
        <v>2155</v>
      </c>
      <c r="D1990">
        <v>4</v>
      </c>
      <c r="E1990" t="s">
        <v>1447</v>
      </c>
      <c r="F1990" t="s">
        <v>2123</v>
      </c>
      <c r="G1990" t="s">
        <v>1759</v>
      </c>
      <c r="H1990" t="s">
        <v>2277</v>
      </c>
      <c r="I1990" t="s">
        <v>2277</v>
      </c>
      <c r="J1990" t="s">
        <v>2277</v>
      </c>
      <c r="K1990" t="s">
        <v>2277</v>
      </c>
      <c r="L1990" t="s">
        <v>1419</v>
      </c>
      <c r="M1990" t="s">
        <v>2277</v>
      </c>
      <c r="N1990" t="s">
        <v>2277</v>
      </c>
      <c r="O1990" s="190" t="str">
        <f t="shared" si="31"/>
        <v>[S10_InstallationsPenaltiesImposed][4][OngoingProceedings]</v>
      </c>
    </row>
    <row r="1991" spans="1:15" x14ac:dyDescent="0.3">
      <c r="A1991" t="s">
        <v>2278</v>
      </c>
      <c r="B1991" t="s">
        <v>2154</v>
      </c>
      <c r="C1991" t="s">
        <v>2155</v>
      </c>
      <c r="D1991">
        <v>5</v>
      </c>
      <c r="E1991" t="s">
        <v>1447</v>
      </c>
      <c r="F1991" t="s">
        <v>2123</v>
      </c>
      <c r="G1991" t="s">
        <v>1759</v>
      </c>
      <c r="H1991" t="s">
        <v>2277</v>
      </c>
      <c r="I1991" t="s">
        <v>2277</v>
      </c>
      <c r="J1991" t="s">
        <v>2277</v>
      </c>
      <c r="K1991" t="s">
        <v>2277</v>
      </c>
      <c r="L1991" t="s">
        <v>1419</v>
      </c>
      <c r="M1991" t="s">
        <v>2277</v>
      </c>
      <c r="N1991" t="s">
        <v>2277</v>
      </c>
      <c r="O1991" s="190" t="str">
        <f t="shared" si="31"/>
        <v>[S10_InstallationsPenaltiesImposed][5][OngoingProceedings]</v>
      </c>
    </row>
    <row r="1992" spans="1:15" x14ac:dyDescent="0.3">
      <c r="A1992" t="s">
        <v>2278</v>
      </c>
      <c r="B1992" t="s">
        <v>2154</v>
      </c>
      <c r="C1992" t="s">
        <v>2155</v>
      </c>
      <c r="D1992">
        <v>6</v>
      </c>
      <c r="E1992" t="s">
        <v>1447</v>
      </c>
      <c r="F1992" t="s">
        <v>2123</v>
      </c>
      <c r="G1992" t="s">
        <v>1759</v>
      </c>
      <c r="H1992" t="s">
        <v>2277</v>
      </c>
      <c r="I1992" t="s">
        <v>2277</v>
      </c>
      <c r="J1992" t="s">
        <v>2277</v>
      </c>
      <c r="K1992" t="s">
        <v>2277</v>
      </c>
      <c r="L1992" t="s">
        <v>1419</v>
      </c>
      <c r="M1992" t="s">
        <v>2277</v>
      </c>
      <c r="N1992" t="s">
        <v>2277</v>
      </c>
      <c r="O1992" s="190" t="str">
        <f t="shared" si="31"/>
        <v>[S10_InstallationsPenaltiesImposed][6][OngoingProceedings]</v>
      </c>
    </row>
    <row r="1993" spans="1:15" x14ac:dyDescent="0.3">
      <c r="A1993" t="s">
        <v>2278</v>
      </c>
      <c r="B1993" t="s">
        <v>2154</v>
      </c>
      <c r="C1993" t="s">
        <v>2155</v>
      </c>
      <c r="D1993">
        <v>1</v>
      </c>
      <c r="E1993" t="s">
        <v>1447</v>
      </c>
      <c r="F1993" t="s">
        <v>2124</v>
      </c>
      <c r="G1993" t="s">
        <v>1759</v>
      </c>
      <c r="H1993" t="s">
        <v>2277</v>
      </c>
      <c r="I1993" t="s">
        <v>2277</v>
      </c>
      <c r="J1993" t="s">
        <v>2277</v>
      </c>
      <c r="K1993" t="s">
        <v>2277</v>
      </c>
      <c r="L1993" t="s">
        <v>1419</v>
      </c>
      <c r="M1993" t="s">
        <v>2277</v>
      </c>
      <c r="N1993" t="s">
        <v>2277</v>
      </c>
      <c r="O1993" s="190" t="str">
        <f t="shared" si="31"/>
        <v>[S10_InstallationsPenaltiesImposed][1][PenaltyEnforcedWithinPeriod]</v>
      </c>
    </row>
    <row r="1994" spans="1:15" x14ac:dyDescent="0.3">
      <c r="A1994" t="s">
        <v>2278</v>
      </c>
      <c r="B1994" t="s">
        <v>2154</v>
      </c>
      <c r="C1994" t="s">
        <v>2155</v>
      </c>
      <c r="D1994">
        <v>2</v>
      </c>
      <c r="E1994" t="s">
        <v>1447</v>
      </c>
      <c r="F1994" t="s">
        <v>2124</v>
      </c>
      <c r="G1994" t="s">
        <v>1759</v>
      </c>
      <c r="H1994" t="s">
        <v>2277</v>
      </c>
      <c r="I1994" t="s">
        <v>2277</v>
      </c>
      <c r="J1994" t="s">
        <v>2277</v>
      </c>
      <c r="K1994" t="s">
        <v>2277</v>
      </c>
      <c r="L1994" t="s">
        <v>1447</v>
      </c>
      <c r="M1994" t="s">
        <v>2277</v>
      </c>
      <c r="N1994" t="s">
        <v>2277</v>
      </c>
      <c r="O1994" s="190" t="str">
        <f t="shared" si="31"/>
        <v>[S10_InstallationsPenaltiesImposed][2][PenaltyEnforcedWithinPeriod]</v>
      </c>
    </row>
    <row r="1995" spans="1:15" x14ac:dyDescent="0.3">
      <c r="A1995" t="s">
        <v>2278</v>
      </c>
      <c r="B1995" t="s">
        <v>2154</v>
      </c>
      <c r="C1995" t="s">
        <v>2155</v>
      </c>
      <c r="D1995">
        <v>3</v>
      </c>
      <c r="E1995" t="s">
        <v>1447</v>
      </c>
      <c r="F1995" t="s">
        <v>2124</v>
      </c>
      <c r="G1995" t="s">
        <v>1759</v>
      </c>
      <c r="H1995" t="s">
        <v>2277</v>
      </c>
      <c r="I1995" t="s">
        <v>2277</v>
      </c>
      <c r="J1995" t="s">
        <v>2277</v>
      </c>
      <c r="K1995" t="s">
        <v>2277</v>
      </c>
      <c r="L1995" t="s">
        <v>1447</v>
      </c>
      <c r="M1995" t="s">
        <v>2277</v>
      </c>
      <c r="N1995" t="s">
        <v>2277</v>
      </c>
      <c r="O1995" s="190" t="str">
        <f t="shared" si="31"/>
        <v>[S10_InstallationsPenaltiesImposed][3][PenaltyEnforcedWithinPeriod]</v>
      </c>
    </row>
    <row r="1996" spans="1:15" x14ac:dyDescent="0.3">
      <c r="A1996" t="s">
        <v>2278</v>
      </c>
      <c r="B1996" t="s">
        <v>2154</v>
      </c>
      <c r="C1996" t="s">
        <v>2155</v>
      </c>
      <c r="D1996">
        <v>4</v>
      </c>
      <c r="E1996" t="s">
        <v>1447</v>
      </c>
      <c r="F1996" t="s">
        <v>2124</v>
      </c>
      <c r="G1996" t="s">
        <v>1759</v>
      </c>
      <c r="H1996" t="s">
        <v>2277</v>
      </c>
      <c r="I1996" t="s">
        <v>2277</v>
      </c>
      <c r="J1996" t="s">
        <v>2277</v>
      </c>
      <c r="K1996" t="s">
        <v>2277</v>
      </c>
      <c r="L1996" t="s">
        <v>1447</v>
      </c>
      <c r="M1996" t="s">
        <v>2277</v>
      </c>
      <c r="N1996" t="s">
        <v>2277</v>
      </c>
      <c r="O1996" s="190" t="str">
        <f t="shared" si="31"/>
        <v>[S10_InstallationsPenaltiesImposed][4][PenaltyEnforcedWithinPeriod]</v>
      </c>
    </row>
    <row r="1997" spans="1:15" x14ac:dyDescent="0.3">
      <c r="A1997" t="s">
        <v>2278</v>
      </c>
      <c r="B1997" t="s">
        <v>2154</v>
      </c>
      <c r="C1997" t="s">
        <v>2155</v>
      </c>
      <c r="D1997">
        <v>5</v>
      </c>
      <c r="E1997" t="s">
        <v>1447</v>
      </c>
      <c r="F1997" t="s">
        <v>2124</v>
      </c>
      <c r="G1997" t="s">
        <v>1759</v>
      </c>
      <c r="H1997" t="s">
        <v>2277</v>
      </c>
      <c r="I1997" t="s">
        <v>2277</v>
      </c>
      <c r="J1997" t="s">
        <v>2277</v>
      </c>
      <c r="K1997" t="s">
        <v>2277</v>
      </c>
      <c r="L1997" t="s">
        <v>1447</v>
      </c>
      <c r="M1997" t="s">
        <v>2277</v>
      </c>
      <c r="N1997" t="s">
        <v>2277</v>
      </c>
      <c r="O1997" s="190" t="str">
        <f t="shared" si="31"/>
        <v>[S10_InstallationsPenaltiesImposed][5][PenaltyEnforcedWithinPeriod]</v>
      </c>
    </row>
    <row r="1998" spans="1:15" x14ac:dyDescent="0.3">
      <c r="A1998" t="s">
        <v>2278</v>
      </c>
      <c r="B1998" t="s">
        <v>2154</v>
      </c>
      <c r="C1998" t="s">
        <v>2155</v>
      </c>
      <c r="D1998">
        <v>6</v>
      </c>
      <c r="E1998" t="s">
        <v>1447</v>
      </c>
      <c r="F1998" t="s">
        <v>2124</v>
      </c>
      <c r="G1998" t="s">
        <v>1759</v>
      </c>
      <c r="H1998" t="s">
        <v>2277</v>
      </c>
      <c r="I1998" t="s">
        <v>2277</v>
      </c>
      <c r="J1998" t="s">
        <v>2277</v>
      </c>
      <c r="K1998" t="s">
        <v>2277</v>
      </c>
      <c r="L1998" t="s">
        <v>1447</v>
      </c>
      <c r="M1998" t="s">
        <v>2277</v>
      </c>
      <c r="N1998" t="s">
        <v>2277</v>
      </c>
      <c r="O1998" s="190" t="str">
        <f t="shared" si="31"/>
        <v>[S10_InstallationsPenaltiesImposed][6][PenaltyEnforcedWithinPeriod]</v>
      </c>
    </row>
    <row r="1999" spans="1:15" x14ac:dyDescent="0.3">
      <c r="A1999" t="s">
        <v>2278</v>
      </c>
      <c r="B1999" t="s">
        <v>2154</v>
      </c>
      <c r="C1999" t="s">
        <v>2156</v>
      </c>
      <c r="D1999">
        <v>0</v>
      </c>
      <c r="E1999" t="s">
        <v>1447</v>
      </c>
      <c r="F1999" t="s">
        <v>2156</v>
      </c>
      <c r="G1999" t="s">
        <v>1759</v>
      </c>
      <c r="H1999" t="s">
        <v>2277</v>
      </c>
      <c r="I1999" t="s">
        <v>2277</v>
      </c>
      <c r="J1999" t="s">
        <v>2277</v>
      </c>
      <c r="K1999" t="s">
        <v>2277</v>
      </c>
      <c r="L1999" t="s">
        <v>1447</v>
      </c>
      <c r="M1999" t="s">
        <v>2277</v>
      </c>
      <c r="N1999" t="s">
        <v>2277</v>
      </c>
      <c r="O1999" s="190" t="str">
        <f t="shared" si="31"/>
        <v>[InstallationsPriorPenaltiesEnforced][0][InstallationsPriorPenaltiesEnforced]</v>
      </c>
    </row>
    <row r="2000" spans="1:15" x14ac:dyDescent="0.3">
      <c r="A2000" t="s">
        <v>2278</v>
      </c>
      <c r="B2000" t="s">
        <v>2158</v>
      </c>
      <c r="C2000" t="s">
        <v>2159</v>
      </c>
      <c r="D2000">
        <v>1</v>
      </c>
      <c r="E2000" t="s">
        <v>1447</v>
      </c>
      <c r="F2000" t="s">
        <v>1868</v>
      </c>
      <c r="G2000" t="s">
        <v>1741</v>
      </c>
      <c r="H2000" t="s">
        <v>2309</v>
      </c>
      <c r="I2000" t="s">
        <v>2277</v>
      </c>
      <c r="J2000" t="s">
        <v>2277</v>
      </c>
      <c r="K2000" t="s">
        <v>2277</v>
      </c>
      <c r="L2000" t="s">
        <v>2277</v>
      </c>
      <c r="M2000" t="s">
        <v>2277</v>
      </c>
      <c r="N2000" t="s">
        <v>2277</v>
      </c>
      <c r="O2000" s="190" t="str">
        <f t="shared" si="31"/>
        <v>[S10_InstallationPenalties][1][InstallationID]</v>
      </c>
    </row>
    <row r="2001" spans="1:15" x14ac:dyDescent="0.3">
      <c r="A2001" t="s">
        <v>2278</v>
      </c>
      <c r="B2001" t="s">
        <v>2158</v>
      </c>
      <c r="C2001" t="s">
        <v>2159</v>
      </c>
      <c r="D2001">
        <v>1</v>
      </c>
      <c r="E2001" t="s">
        <v>1447</v>
      </c>
      <c r="F2001" t="s">
        <v>2044</v>
      </c>
      <c r="G2001" t="s">
        <v>1741</v>
      </c>
      <c r="H2001" t="s">
        <v>2308</v>
      </c>
      <c r="I2001" t="s">
        <v>2277</v>
      </c>
      <c r="J2001" t="s">
        <v>2277</v>
      </c>
      <c r="K2001" t="s">
        <v>2277</v>
      </c>
      <c r="L2001" t="s">
        <v>2277</v>
      </c>
      <c r="M2001" t="s">
        <v>2277</v>
      </c>
      <c r="N2001" t="s">
        <v>2277</v>
      </c>
      <c r="O2001" s="190" t="str">
        <f t="shared" si="31"/>
        <v>[S10_InstallationPenalties][1][OperatorName]</v>
      </c>
    </row>
    <row r="2002" spans="1:15" x14ac:dyDescent="0.3">
      <c r="A2002" t="s">
        <v>2278</v>
      </c>
      <c r="B2002" t="s">
        <v>2160</v>
      </c>
      <c r="C2002" t="s">
        <v>2161</v>
      </c>
      <c r="D2002">
        <v>1</v>
      </c>
      <c r="E2002" t="s">
        <v>1447</v>
      </c>
      <c r="F2002" t="s">
        <v>2148</v>
      </c>
      <c r="G2002" t="s">
        <v>1759</v>
      </c>
      <c r="H2002" t="s">
        <v>2277</v>
      </c>
      <c r="I2002" t="s">
        <v>2277</v>
      </c>
      <c r="J2002" t="s">
        <v>2277</v>
      </c>
      <c r="K2002" t="s">
        <v>2277</v>
      </c>
      <c r="L2002" t="s">
        <v>1447</v>
      </c>
      <c r="M2002" t="s">
        <v>2277</v>
      </c>
      <c r="N2002" t="s">
        <v>2277</v>
      </c>
      <c r="O2002" s="190" t="str">
        <f t="shared" si="31"/>
        <v>[S10_AircraftComplianceMeasures][1][ComplianceMeasuresYesNo]</v>
      </c>
    </row>
    <row r="2003" spans="1:15" x14ac:dyDescent="0.3">
      <c r="A2003" t="s">
        <v>2278</v>
      </c>
      <c r="B2003" t="s">
        <v>2160</v>
      </c>
      <c r="C2003" t="s">
        <v>2161</v>
      </c>
      <c r="D2003">
        <v>2</v>
      </c>
      <c r="E2003" t="s">
        <v>1447</v>
      </c>
      <c r="F2003" t="s">
        <v>2148</v>
      </c>
      <c r="G2003" t="s">
        <v>1759</v>
      </c>
      <c r="H2003" t="s">
        <v>2277</v>
      </c>
      <c r="I2003" t="s">
        <v>2277</v>
      </c>
      <c r="J2003" t="s">
        <v>2277</v>
      </c>
      <c r="K2003" t="s">
        <v>2277</v>
      </c>
      <c r="L2003" t="s">
        <v>1447</v>
      </c>
      <c r="M2003" t="s">
        <v>2277</v>
      </c>
      <c r="N2003" t="s">
        <v>2277</v>
      </c>
      <c r="O2003" s="190" t="str">
        <f t="shared" si="31"/>
        <v>[S10_AircraftComplianceMeasures][2][ComplianceMeasuresYesNo]</v>
      </c>
    </row>
    <row r="2004" spans="1:15" x14ac:dyDescent="0.3">
      <c r="A2004" t="s">
        <v>2278</v>
      </c>
      <c r="B2004" t="s">
        <v>2160</v>
      </c>
      <c r="C2004" t="s">
        <v>2161</v>
      </c>
      <c r="D2004">
        <v>3</v>
      </c>
      <c r="E2004" t="s">
        <v>1447</v>
      </c>
      <c r="F2004" t="s">
        <v>2148</v>
      </c>
      <c r="G2004" t="s">
        <v>1759</v>
      </c>
      <c r="H2004" t="s">
        <v>2277</v>
      </c>
      <c r="I2004" t="s">
        <v>2277</v>
      </c>
      <c r="J2004" t="s">
        <v>2277</v>
      </c>
      <c r="K2004" t="s">
        <v>2277</v>
      </c>
      <c r="L2004" t="s">
        <v>1447</v>
      </c>
      <c r="M2004" t="s">
        <v>2277</v>
      </c>
      <c r="N2004" t="s">
        <v>2277</v>
      </c>
      <c r="O2004" s="190" t="str">
        <f t="shared" si="31"/>
        <v>[S10_AircraftComplianceMeasures][3][ComplianceMeasuresYesNo]</v>
      </c>
    </row>
    <row r="2005" spans="1:15" x14ac:dyDescent="0.3">
      <c r="A2005" t="s">
        <v>2278</v>
      </c>
      <c r="B2005" t="s">
        <v>2160</v>
      </c>
      <c r="C2005" t="s">
        <v>2161</v>
      </c>
      <c r="D2005">
        <v>4</v>
      </c>
      <c r="E2005" t="s">
        <v>1447</v>
      </c>
      <c r="F2005" t="s">
        <v>2148</v>
      </c>
      <c r="G2005" t="s">
        <v>1759</v>
      </c>
      <c r="H2005" t="s">
        <v>2277</v>
      </c>
      <c r="I2005" t="s">
        <v>2277</v>
      </c>
      <c r="J2005" t="s">
        <v>2277</v>
      </c>
      <c r="K2005" t="s">
        <v>2277</v>
      </c>
      <c r="L2005" t="s">
        <v>1447</v>
      </c>
      <c r="M2005" t="s">
        <v>2277</v>
      </c>
      <c r="N2005" t="s">
        <v>2277</v>
      </c>
      <c r="O2005" s="190" t="str">
        <f t="shared" si="31"/>
        <v>[S10_AircraftComplianceMeasures][4][ComplianceMeasuresYesNo]</v>
      </c>
    </row>
    <row r="2006" spans="1:15" x14ac:dyDescent="0.3">
      <c r="A2006" t="s">
        <v>2278</v>
      </c>
      <c r="B2006" t="s">
        <v>2162</v>
      </c>
      <c r="C2006" t="s">
        <v>2163</v>
      </c>
      <c r="D2006">
        <v>4</v>
      </c>
      <c r="E2006" t="s">
        <v>1447</v>
      </c>
      <c r="F2006" t="s">
        <v>2111</v>
      </c>
      <c r="G2006" t="s">
        <v>1806</v>
      </c>
      <c r="H2006" t="s">
        <v>2277</v>
      </c>
      <c r="I2006" t="s">
        <v>2277</v>
      </c>
      <c r="J2006">
        <v>2137.8000000000002</v>
      </c>
      <c r="K2006" t="s">
        <v>2277</v>
      </c>
      <c r="L2006" t="s">
        <v>2277</v>
      </c>
      <c r="M2006" t="s">
        <v>2277</v>
      </c>
      <c r="N2006" t="s">
        <v>2277</v>
      </c>
      <c r="O2006" s="190" t="str">
        <f t="shared" si="31"/>
        <v>[S10_AircraftInfringementPenalties][4][MinFine]</v>
      </c>
    </row>
    <row r="2007" spans="1:15" x14ac:dyDescent="0.3">
      <c r="A2007" t="s">
        <v>2278</v>
      </c>
      <c r="B2007" t="s">
        <v>2162</v>
      </c>
      <c r="C2007" t="s">
        <v>2163</v>
      </c>
      <c r="D2007">
        <v>6</v>
      </c>
      <c r="E2007" t="s">
        <v>1447</v>
      </c>
      <c r="F2007" t="s">
        <v>2111</v>
      </c>
      <c r="G2007" t="s">
        <v>1806</v>
      </c>
      <c r="H2007" t="s">
        <v>2277</v>
      </c>
      <c r="I2007" t="s">
        <v>2277</v>
      </c>
      <c r="J2007">
        <v>1068.9000000000001</v>
      </c>
      <c r="K2007" t="s">
        <v>2277</v>
      </c>
      <c r="L2007" t="s">
        <v>2277</v>
      </c>
      <c r="M2007" t="s">
        <v>2277</v>
      </c>
      <c r="N2007" t="s">
        <v>2277</v>
      </c>
      <c r="O2007" s="190" t="str">
        <f t="shared" si="31"/>
        <v>[S10_AircraftInfringementPenalties][6][MinFine]</v>
      </c>
    </row>
    <row r="2008" spans="1:15" x14ac:dyDescent="0.3">
      <c r="A2008" t="s">
        <v>2278</v>
      </c>
      <c r="B2008" t="s">
        <v>2162</v>
      </c>
      <c r="C2008" t="s">
        <v>2163</v>
      </c>
      <c r="D2008">
        <v>12</v>
      </c>
      <c r="E2008" t="s">
        <v>1447</v>
      </c>
      <c r="F2008" t="s">
        <v>2111</v>
      </c>
      <c r="G2008" t="s">
        <v>1806</v>
      </c>
      <c r="H2008" t="s">
        <v>2277</v>
      </c>
      <c r="I2008" t="s">
        <v>2277</v>
      </c>
      <c r="J2008">
        <v>10689.01</v>
      </c>
      <c r="K2008" t="s">
        <v>2277</v>
      </c>
      <c r="L2008" t="s">
        <v>2277</v>
      </c>
      <c r="M2008" t="s">
        <v>2277</v>
      </c>
      <c r="N2008" t="s">
        <v>2277</v>
      </c>
      <c r="O2008" s="190" t="str">
        <f t="shared" si="31"/>
        <v>[S10_AircraftInfringementPenalties][12][MinFine]</v>
      </c>
    </row>
    <row r="2009" spans="1:15" x14ac:dyDescent="0.3">
      <c r="A2009" t="s">
        <v>2278</v>
      </c>
      <c r="B2009" t="s">
        <v>2162</v>
      </c>
      <c r="C2009" t="s">
        <v>2163</v>
      </c>
      <c r="D2009">
        <v>13</v>
      </c>
      <c r="E2009" t="s">
        <v>1447</v>
      </c>
      <c r="F2009" t="s">
        <v>2111</v>
      </c>
      <c r="G2009" t="s">
        <v>1806</v>
      </c>
      <c r="H2009" t="s">
        <v>2277</v>
      </c>
      <c r="I2009" t="s">
        <v>2277</v>
      </c>
      <c r="J2009">
        <v>100</v>
      </c>
      <c r="K2009" t="s">
        <v>2277</v>
      </c>
      <c r="L2009" t="s">
        <v>2277</v>
      </c>
      <c r="M2009" t="s">
        <v>2277</v>
      </c>
      <c r="N2009" t="s">
        <v>2277</v>
      </c>
      <c r="O2009" s="190" t="str">
        <f t="shared" si="31"/>
        <v>[S10_AircraftInfringementPenalties][13][MinFine]</v>
      </c>
    </row>
    <row r="2010" spans="1:15" x14ac:dyDescent="0.3">
      <c r="A2010" t="s">
        <v>2278</v>
      </c>
      <c r="B2010" t="s">
        <v>2162</v>
      </c>
      <c r="C2010" t="s">
        <v>2163</v>
      </c>
      <c r="D2010">
        <v>4</v>
      </c>
      <c r="E2010" t="s">
        <v>1447</v>
      </c>
      <c r="F2010" t="s">
        <v>2112</v>
      </c>
      <c r="G2010" t="s">
        <v>1806</v>
      </c>
      <c r="H2010" t="s">
        <v>2277</v>
      </c>
      <c r="I2010" t="s">
        <v>2277</v>
      </c>
      <c r="J2010">
        <v>2137.8000000000002</v>
      </c>
      <c r="K2010" t="s">
        <v>2277</v>
      </c>
      <c r="L2010" t="s">
        <v>2277</v>
      </c>
      <c r="M2010" t="s">
        <v>2277</v>
      </c>
      <c r="N2010" t="s">
        <v>2277</v>
      </c>
      <c r="O2010" s="190" t="str">
        <f t="shared" si="31"/>
        <v>[S10_AircraftInfringementPenalties][4][MaxFine]</v>
      </c>
    </row>
    <row r="2011" spans="1:15" x14ac:dyDescent="0.3">
      <c r="A2011" t="s">
        <v>2278</v>
      </c>
      <c r="B2011" t="s">
        <v>2162</v>
      </c>
      <c r="C2011" t="s">
        <v>2163</v>
      </c>
      <c r="D2011">
        <v>6</v>
      </c>
      <c r="E2011" t="s">
        <v>1447</v>
      </c>
      <c r="F2011" t="s">
        <v>2112</v>
      </c>
      <c r="G2011" t="s">
        <v>1806</v>
      </c>
      <c r="H2011" t="s">
        <v>2277</v>
      </c>
      <c r="I2011" t="s">
        <v>2277</v>
      </c>
      <c r="J2011">
        <v>10689.01</v>
      </c>
      <c r="K2011" t="s">
        <v>2277</v>
      </c>
      <c r="L2011" t="s">
        <v>2277</v>
      </c>
      <c r="M2011" t="s">
        <v>2277</v>
      </c>
      <c r="N2011" t="s">
        <v>2277</v>
      </c>
      <c r="O2011" s="190" t="str">
        <f t="shared" si="31"/>
        <v>[S10_AircraftInfringementPenalties][6][MaxFine]</v>
      </c>
    </row>
    <row r="2012" spans="1:15" x14ac:dyDescent="0.3">
      <c r="A2012" t="s">
        <v>2278</v>
      </c>
      <c r="B2012" t="s">
        <v>2162</v>
      </c>
      <c r="C2012" t="s">
        <v>2163</v>
      </c>
      <c r="D2012">
        <v>12</v>
      </c>
      <c r="E2012" t="s">
        <v>1447</v>
      </c>
      <c r="F2012" t="s">
        <v>2112</v>
      </c>
      <c r="G2012" t="s">
        <v>1806</v>
      </c>
      <c r="H2012" t="s">
        <v>2277</v>
      </c>
      <c r="I2012" t="s">
        <v>2277</v>
      </c>
      <c r="J2012">
        <v>10689.01</v>
      </c>
      <c r="K2012" t="s">
        <v>2277</v>
      </c>
      <c r="L2012" t="s">
        <v>2277</v>
      </c>
      <c r="M2012" t="s">
        <v>2277</v>
      </c>
      <c r="N2012" t="s">
        <v>2277</v>
      </c>
      <c r="O2012" s="190" t="str">
        <f t="shared" si="31"/>
        <v>[S10_AircraftInfringementPenalties][12][MaxFine]</v>
      </c>
    </row>
    <row r="2013" spans="1:15" x14ac:dyDescent="0.3">
      <c r="A2013" t="s">
        <v>2278</v>
      </c>
      <c r="B2013" t="s">
        <v>2162</v>
      </c>
      <c r="C2013" t="s">
        <v>2163</v>
      </c>
      <c r="D2013">
        <v>13</v>
      </c>
      <c r="E2013" t="s">
        <v>1447</v>
      </c>
      <c r="F2013" t="s">
        <v>2112</v>
      </c>
      <c r="G2013" t="s">
        <v>1806</v>
      </c>
      <c r="H2013" t="s">
        <v>2277</v>
      </c>
      <c r="I2013" t="s">
        <v>2277</v>
      </c>
      <c r="J2013">
        <v>100</v>
      </c>
      <c r="K2013" t="s">
        <v>2277</v>
      </c>
      <c r="L2013" t="s">
        <v>2277</v>
      </c>
      <c r="M2013" t="s">
        <v>2277</v>
      </c>
      <c r="N2013" t="s">
        <v>2277</v>
      </c>
      <c r="O2013" s="190" t="str">
        <f t="shared" si="31"/>
        <v>[S10_AircraftInfringementPenalties][13][MaxFine]</v>
      </c>
    </row>
    <row r="2014" spans="1:15" x14ac:dyDescent="0.3">
      <c r="A2014" t="s">
        <v>2278</v>
      </c>
      <c r="B2014" t="s">
        <v>2162</v>
      </c>
      <c r="C2014" t="s">
        <v>2163</v>
      </c>
      <c r="D2014">
        <v>6</v>
      </c>
      <c r="E2014" t="s">
        <v>1447</v>
      </c>
      <c r="F2014" t="s">
        <v>2115</v>
      </c>
      <c r="G2014" t="s">
        <v>1791</v>
      </c>
      <c r="H2014" t="s">
        <v>2277</v>
      </c>
      <c r="I2014" t="s">
        <v>2277</v>
      </c>
      <c r="J2014" t="s">
        <v>2277</v>
      </c>
      <c r="K2014" t="s">
        <v>2307</v>
      </c>
      <c r="L2014" t="s">
        <v>2277</v>
      </c>
      <c r="M2014" t="s">
        <v>2277</v>
      </c>
      <c r="N2014" t="s">
        <v>2277</v>
      </c>
      <c r="O2014" s="190" t="str">
        <f t="shared" si="31"/>
        <v>[S10_AircraftInfringementPenalties][6][OtherPenalty]</v>
      </c>
    </row>
    <row r="2015" spans="1:15" x14ac:dyDescent="0.3">
      <c r="A2015" t="s">
        <v>2278</v>
      </c>
      <c r="B2015" t="s">
        <v>2162</v>
      </c>
      <c r="C2015" t="s">
        <v>2163</v>
      </c>
      <c r="D2015">
        <v>11</v>
      </c>
      <c r="E2015" t="s">
        <v>1447</v>
      </c>
      <c r="F2015" t="s">
        <v>2115</v>
      </c>
      <c r="G2015" t="s">
        <v>1791</v>
      </c>
      <c r="H2015" t="s">
        <v>2277</v>
      </c>
      <c r="I2015" t="s">
        <v>2277</v>
      </c>
      <c r="J2015" t="s">
        <v>2277</v>
      </c>
      <c r="K2015" t="s">
        <v>2306</v>
      </c>
      <c r="L2015" t="s">
        <v>2277</v>
      </c>
      <c r="M2015" t="s">
        <v>2277</v>
      </c>
      <c r="N2015" t="s">
        <v>2277</v>
      </c>
      <c r="O2015" s="190" t="str">
        <f t="shared" si="31"/>
        <v>[S10_AircraftInfringementPenalties][11][OtherPenalty]</v>
      </c>
    </row>
    <row r="2016" spans="1:15" x14ac:dyDescent="0.3">
      <c r="A2016" t="s">
        <v>2278</v>
      </c>
      <c r="B2016" t="s">
        <v>2162</v>
      </c>
      <c r="C2016" t="s">
        <v>2163</v>
      </c>
      <c r="D2016">
        <v>12</v>
      </c>
      <c r="E2016" t="s">
        <v>1419</v>
      </c>
      <c r="F2016" t="s">
        <v>2116</v>
      </c>
      <c r="G2016" t="s">
        <v>1791</v>
      </c>
      <c r="H2016" t="s">
        <v>2277</v>
      </c>
      <c r="I2016" t="s">
        <v>2277</v>
      </c>
      <c r="J2016" t="s">
        <v>2277</v>
      </c>
      <c r="K2016" t="s">
        <v>2305</v>
      </c>
      <c r="L2016" t="s">
        <v>2277</v>
      </c>
      <c r="M2016" t="s">
        <v>2277</v>
      </c>
      <c r="N2016" t="s">
        <v>2277</v>
      </c>
      <c r="O2016" s="190" t="str">
        <f t="shared" si="31"/>
        <v>[S10_AircraftInfringementPenalties][12][InfringementOther]</v>
      </c>
    </row>
    <row r="2017" spans="1:15" x14ac:dyDescent="0.3">
      <c r="A2017" t="s">
        <v>2278</v>
      </c>
      <c r="B2017" t="s">
        <v>2162</v>
      </c>
      <c r="C2017" t="s">
        <v>2163</v>
      </c>
      <c r="D2017">
        <v>13</v>
      </c>
      <c r="E2017" t="s">
        <v>1419</v>
      </c>
      <c r="F2017" t="s">
        <v>2116</v>
      </c>
      <c r="G2017" t="s">
        <v>1791</v>
      </c>
      <c r="H2017" t="s">
        <v>2277</v>
      </c>
      <c r="I2017" t="s">
        <v>2277</v>
      </c>
      <c r="J2017" t="s">
        <v>2277</v>
      </c>
      <c r="K2017" t="s">
        <v>2304</v>
      </c>
      <c r="L2017" t="s">
        <v>2277</v>
      </c>
      <c r="M2017" t="s">
        <v>2277</v>
      </c>
      <c r="N2017" t="s">
        <v>2277</v>
      </c>
      <c r="O2017" s="190" t="str">
        <f t="shared" si="31"/>
        <v>[S10_AircraftInfringementPenalties][13][InfringementOther]</v>
      </c>
    </row>
    <row r="2018" spans="1:15" x14ac:dyDescent="0.3">
      <c r="A2018" t="s">
        <v>2278</v>
      </c>
      <c r="B2018" t="s">
        <v>2162</v>
      </c>
      <c r="C2018" t="s">
        <v>2164</v>
      </c>
      <c r="D2018">
        <v>0</v>
      </c>
      <c r="E2018" t="s">
        <v>1447</v>
      </c>
      <c r="F2018" t="s">
        <v>2164</v>
      </c>
      <c r="G2018" t="s">
        <v>1741</v>
      </c>
      <c r="H2018" t="s">
        <v>2303</v>
      </c>
      <c r="I2018" t="s">
        <v>2277</v>
      </c>
      <c r="J2018" t="s">
        <v>2277</v>
      </c>
      <c r="K2018" t="s">
        <v>2277</v>
      </c>
      <c r="L2018" t="s">
        <v>2277</v>
      </c>
      <c r="M2018" t="s">
        <v>2277</v>
      </c>
      <c r="N2018" t="s">
        <v>2277</v>
      </c>
      <c r="O2018" s="190" t="str">
        <f t="shared" si="31"/>
        <v>[AircraftNationalLaw][0][AircraftNationalLaw]</v>
      </c>
    </row>
    <row r="2019" spans="1:15" x14ac:dyDescent="0.3">
      <c r="A2019" t="s">
        <v>2278</v>
      </c>
      <c r="B2019" t="s">
        <v>2165</v>
      </c>
      <c r="C2019" t="s">
        <v>2166</v>
      </c>
      <c r="D2019">
        <v>1</v>
      </c>
      <c r="E2019" t="s">
        <v>1447</v>
      </c>
      <c r="F2019" t="s">
        <v>2119</v>
      </c>
      <c r="G2019" t="s">
        <v>1737</v>
      </c>
      <c r="H2019" t="s">
        <v>2277</v>
      </c>
      <c r="I2019" t="s">
        <v>2277</v>
      </c>
      <c r="J2019" t="s">
        <v>2277</v>
      </c>
      <c r="K2019" t="s">
        <v>2277</v>
      </c>
      <c r="L2019" t="s">
        <v>1294</v>
      </c>
      <c r="M2019" t="s">
        <v>2277</v>
      </c>
      <c r="N2019" t="s">
        <v>2277</v>
      </c>
      <c r="O2019" s="190" t="str">
        <f t="shared" si="31"/>
        <v>[S10_AircraftPenaltiesImposed][1][InfringementType]</v>
      </c>
    </row>
    <row r="2020" spans="1:15" x14ac:dyDescent="0.3">
      <c r="A2020" t="s">
        <v>2278</v>
      </c>
      <c r="B2020" t="s">
        <v>2165</v>
      </c>
      <c r="C2020" t="s">
        <v>2166</v>
      </c>
      <c r="D2020">
        <v>1</v>
      </c>
      <c r="E2020" t="s">
        <v>1447</v>
      </c>
      <c r="F2020" t="s">
        <v>2120</v>
      </c>
      <c r="G2020" t="s">
        <v>1806</v>
      </c>
      <c r="H2020" t="s">
        <v>2277</v>
      </c>
      <c r="I2020" t="s">
        <v>2277</v>
      </c>
      <c r="J2020">
        <v>10689.01</v>
      </c>
      <c r="K2020" t="s">
        <v>2277</v>
      </c>
      <c r="L2020" t="s">
        <v>2277</v>
      </c>
      <c r="M2020" t="s">
        <v>2277</v>
      </c>
      <c r="N2020" t="s">
        <v>2277</v>
      </c>
      <c r="O2020" s="190" t="str">
        <f t="shared" si="31"/>
        <v>[S10_AircraftPenaltiesImposed][1][ActualFines]</v>
      </c>
    </row>
    <row r="2021" spans="1:15" x14ac:dyDescent="0.3">
      <c r="A2021" t="s">
        <v>2278</v>
      </c>
      <c r="B2021" t="s">
        <v>2165</v>
      </c>
      <c r="C2021" t="s">
        <v>2166</v>
      </c>
      <c r="D2021">
        <v>1</v>
      </c>
      <c r="E2021" t="s">
        <v>1447</v>
      </c>
      <c r="F2021" t="s">
        <v>2123</v>
      </c>
      <c r="G2021" t="s">
        <v>1759</v>
      </c>
      <c r="H2021" t="s">
        <v>2277</v>
      </c>
      <c r="I2021" t="s">
        <v>2277</v>
      </c>
      <c r="J2021" t="s">
        <v>2277</v>
      </c>
      <c r="K2021" t="s">
        <v>2277</v>
      </c>
      <c r="L2021" t="s">
        <v>1447</v>
      </c>
      <c r="M2021" t="s">
        <v>2277</v>
      </c>
      <c r="N2021" t="s">
        <v>2277</v>
      </c>
      <c r="O2021" s="190" t="str">
        <f t="shared" si="31"/>
        <v>[S10_AircraftPenaltiesImposed][1][OngoingProceedings]</v>
      </c>
    </row>
    <row r="2022" spans="1:15" x14ac:dyDescent="0.3">
      <c r="A2022" t="s">
        <v>2278</v>
      </c>
      <c r="B2022" t="s">
        <v>2165</v>
      </c>
      <c r="C2022" t="s">
        <v>2166</v>
      </c>
      <c r="D2022">
        <v>1</v>
      </c>
      <c r="E2022" t="s">
        <v>1447</v>
      </c>
      <c r="F2022" t="s">
        <v>2124</v>
      </c>
      <c r="G2022" t="s">
        <v>1759</v>
      </c>
      <c r="H2022" t="s">
        <v>2277</v>
      </c>
      <c r="I2022" t="s">
        <v>2277</v>
      </c>
      <c r="J2022" t="s">
        <v>2277</v>
      </c>
      <c r="K2022" t="s">
        <v>2277</v>
      </c>
      <c r="L2022" t="s">
        <v>1447</v>
      </c>
      <c r="M2022" t="s">
        <v>2277</v>
      </c>
      <c r="N2022" t="s">
        <v>2277</v>
      </c>
      <c r="O2022" s="190" t="str">
        <f t="shared" si="31"/>
        <v>[S10_AircraftPenaltiesImposed][1][PenaltyEnforcedWithinPeriod]</v>
      </c>
    </row>
    <row r="2023" spans="1:15" x14ac:dyDescent="0.3">
      <c r="A2023" t="s">
        <v>2278</v>
      </c>
      <c r="B2023" t="s">
        <v>2165</v>
      </c>
      <c r="C2023" t="s">
        <v>2167</v>
      </c>
      <c r="D2023">
        <v>0</v>
      </c>
      <c r="E2023" t="s">
        <v>1447</v>
      </c>
      <c r="F2023" t="s">
        <v>2167</v>
      </c>
      <c r="G2023" t="s">
        <v>1759</v>
      </c>
      <c r="H2023" t="s">
        <v>2277</v>
      </c>
      <c r="I2023" t="s">
        <v>2277</v>
      </c>
      <c r="J2023" t="s">
        <v>2277</v>
      </c>
      <c r="K2023" t="s">
        <v>2277</v>
      </c>
      <c r="L2023" t="s">
        <v>1447</v>
      </c>
      <c r="M2023" t="s">
        <v>2277</v>
      </c>
      <c r="N2023" t="s">
        <v>2277</v>
      </c>
      <c r="O2023" s="190" t="str">
        <f t="shared" si="31"/>
        <v>[AircraftPriorPenaltiesEnforced][0][AircraftPriorPenaltiesEnforced]</v>
      </c>
    </row>
    <row r="2024" spans="1:15" x14ac:dyDescent="0.3">
      <c r="A2024" t="s">
        <v>2278</v>
      </c>
      <c r="B2024" t="s">
        <v>2169</v>
      </c>
      <c r="C2024" t="s">
        <v>2170</v>
      </c>
      <c r="D2024">
        <v>1</v>
      </c>
      <c r="E2024" t="s">
        <v>1447</v>
      </c>
      <c r="F2024" t="s">
        <v>2171</v>
      </c>
      <c r="G2024" t="s">
        <v>1741</v>
      </c>
      <c r="H2024" t="s">
        <v>2302</v>
      </c>
      <c r="I2024" t="s">
        <v>2277</v>
      </c>
      <c r="J2024" t="s">
        <v>2277</v>
      </c>
      <c r="K2024" t="s">
        <v>2277</v>
      </c>
      <c r="L2024" t="s">
        <v>2277</v>
      </c>
      <c r="M2024" t="s">
        <v>2277</v>
      </c>
      <c r="N2024" t="s">
        <v>2277</v>
      </c>
      <c r="O2024" s="190" t="str">
        <f t="shared" si="31"/>
        <v>[S10_AircraftPenalties][1][AircraftID]</v>
      </c>
    </row>
    <row r="2025" spans="1:15" x14ac:dyDescent="0.3">
      <c r="A2025" t="s">
        <v>2278</v>
      </c>
      <c r="B2025" t="s">
        <v>2172</v>
      </c>
      <c r="C2025" t="s">
        <v>2173</v>
      </c>
      <c r="D2025">
        <v>0</v>
      </c>
      <c r="E2025" t="s">
        <v>1447</v>
      </c>
      <c r="F2025" t="s">
        <v>2173</v>
      </c>
      <c r="G2025" t="s">
        <v>1741</v>
      </c>
      <c r="H2025" t="s">
        <v>2301</v>
      </c>
      <c r="I2025" t="s">
        <v>2277</v>
      </c>
      <c r="J2025" t="s">
        <v>2277</v>
      </c>
      <c r="K2025" t="s">
        <v>2277</v>
      </c>
      <c r="L2025" t="s">
        <v>2277</v>
      </c>
      <c r="M2025" t="s">
        <v>2277</v>
      </c>
      <c r="N2025" t="s">
        <v>2277</v>
      </c>
      <c r="O2025" s="190" t="str">
        <f t="shared" si="31"/>
        <v>[OperatingBanRequestMeasures][0][OperatingBanRequestMeasures]</v>
      </c>
    </row>
    <row r="2026" spans="1:15" x14ac:dyDescent="0.3">
      <c r="A2026" t="s">
        <v>2278</v>
      </c>
      <c r="B2026" t="s">
        <v>2174</v>
      </c>
      <c r="C2026" t="s">
        <v>2175</v>
      </c>
      <c r="D2026">
        <v>0</v>
      </c>
      <c r="E2026" t="s">
        <v>1447</v>
      </c>
      <c r="F2026" t="s">
        <v>2175</v>
      </c>
      <c r="G2026" t="s">
        <v>1741</v>
      </c>
      <c r="H2026" t="s">
        <v>2300</v>
      </c>
      <c r="I2026" t="s">
        <v>2277</v>
      </c>
      <c r="J2026" t="s">
        <v>2277</v>
      </c>
      <c r="K2026" t="s">
        <v>2277</v>
      </c>
      <c r="L2026" t="s">
        <v>2277</v>
      </c>
      <c r="M2026" t="s">
        <v>2277</v>
      </c>
      <c r="N2026" t="s">
        <v>2277</v>
      </c>
      <c r="O2026" s="190" t="str">
        <f t="shared" si="31"/>
        <v>[LegalNatureOfEmissionAllowance][0][LegalNatureOfEmissionAllowance]</v>
      </c>
    </row>
    <row r="2027" spans="1:15" x14ac:dyDescent="0.3">
      <c r="A2027" t="s">
        <v>2278</v>
      </c>
      <c r="B2027" t="s">
        <v>2176</v>
      </c>
      <c r="C2027" t="s">
        <v>2177</v>
      </c>
      <c r="D2027">
        <v>0</v>
      </c>
      <c r="E2027" t="s">
        <v>1447</v>
      </c>
      <c r="F2027" t="s">
        <v>2177</v>
      </c>
      <c r="G2027" t="s">
        <v>1741</v>
      </c>
      <c r="H2027" t="s">
        <v>2299</v>
      </c>
      <c r="I2027" t="s">
        <v>2277</v>
      </c>
      <c r="J2027" t="s">
        <v>2277</v>
      </c>
      <c r="K2027" t="s">
        <v>2277</v>
      </c>
      <c r="L2027" t="s">
        <v>2277</v>
      </c>
      <c r="M2027" t="s">
        <v>2277</v>
      </c>
      <c r="N2027" t="s">
        <v>2277</v>
      </c>
      <c r="O2027" s="190" t="str">
        <f t="shared" si="31"/>
        <v>[AccountingTreatmentOfEmissionAllowances][0][AccountingTreatmentOfEmissionAllowances]</v>
      </c>
    </row>
    <row r="2028" spans="1:15" x14ac:dyDescent="0.3">
      <c r="A2028" t="s">
        <v>2278</v>
      </c>
      <c r="B2028" t="s">
        <v>2178</v>
      </c>
      <c r="C2028" t="s">
        <v>2179</v>
      </c>
      <c r="D2028">
        <v>0</v>
      </c>
      <c r="E2028" t="s">
        <v>1447</v>
      </c>
      <c r="F2028" t="s">
        <v>2179</v>
      </c>
      <c r="G2028" t="s">
        <v>1759</v>
      </c>
      <c r="H2028" t="s">
        <v>2277</v>
      </c>
      <c r="I2028" t="s">
        <v>2277</v>
      </c>
      <c r="J2028" t="s">
        <v>2277</v>
      </c>
      <c r="K2028" t="s">
        <v>2277</v>
      </c>
      <c r="L2028" t="s">
        <v>1419</v>
      </c>
      <c r="M2028" t="s">
        <v>2277</v>
      </c>
      <c r="N2028" t="s">
        <v>2277</v>
      </c>
      <c r="O2028" s="190" t="str">
        <f t="shared" si="31"/>
        <v>[VATdueEmissionAllowancesIssuance][0][VATdueEmissionAllowancesIssuance]</v>
      </c>
    </row>
    <row r="2029" spans="1:15" x14ac:dyDescent="0.3">
      <c r="A2029" t="s">
        <v>2278</v>
      </c>
      <c r="B2029" t="s">
        <v>2178</v>
      </c>
      <c r="C2029" t="s">
        <v>2180</v>
      </c>
      <c r="D2029">
        <v>0</v>
      </c>
      <c r="E2029" t="s">
        <v>1447</v>
      </c>
      <c r="F2029" t="s">
        <v>2180</v>
      </c>
      <c r="G2029" t="s">
        <v>1759</v>
      </c>
      <c r="H2029" t="s">
        <v>2277</v>
      </c>
      <c r="I2029" t="s">
        <v>2277</v>
      </c>
      <c r="J2029" t="s">
        <v>2277</v>
      </c>
      <c r="K2029" t="s">
        <v>2277</v>
      </c>
      <c r="L2029" t="s">
        <v>1447</v>
      </c>
      <c r="M2029" t="s">
        <v>2277</v>
      </c>
      <c r="N2029" t="s">
        <v>2277</v>
      </c>
      <c r="O2029" s="190" t="str">
        <f t="shared" si="31"/>
        <v>[ReverseChargeMechanismEmissionAllowances][0][ReverseChargeMechanismEmissionAllowances]</v>
      </c>
    </row>
    <row r="2030" spans="1:15" x14ac:dyDescent="0.3">
      <c r="A2030" t="s">
        <v>2278</v>
      </c>
      <c r="B2030" t="s">
        <v>2181</v>
      </c>
      <c r="C2030" t="s">
        <v>2182</v>
      </c>
      <c r="D2030">
        <v>0</v>
      </c>
      <c r="E2030" t="s">
        <v>1447</v>
      </c>
      <c r="F2030" t="s">
        <v>2182</v>
      </c>
      <c r="G2030" t="s">
        <v>1759</v>
      </c>
      <c r="H2030" t="s">
        <v>2277</v>
      </c>
      <c r="I2030" t="s">
        <v>2277</v>
      </c>
      <c r="J2030" t="s">
        <v>2277</v>
      </c>
      <c r="K2030" t="s">
        <v>2277</v>
      </c>
      <c r="L2030" t="s">
        <v>1419</v>
      </c>
      <c r="M2030" t="s">
        <v>2277</v>
      </c>
      <c r="N2030" t="s">
        <v>2277</v>
      </c>
      <c r="O2030" s="190" t="str">
        <f t="shared" si="31"/>
        <v>[EmissionAllowancesTaxed][0][EmissionAllowancesTaxed]</v>
      </c>
    </row>
    <row r="2031" spans="1:15" x14ac:dyDescent="0.3">
      <c r="A2031" t="s">
        <v>2278</v>
      </c>
      <c r="B2031" t="s">
        <v>2181</v>
      </c>
      <c r="C2031" t="s">
        <v>2183</v>
      </c>
      <c r="D2031">
        <v>1</v>
      </c>
      <c r="E2031" t="s">
        <v>1447</v>
      </c>
      <c r="F2031" t="s">
        <v>2184</v>
      </c>
      <c r="G2031" t="s">
        <v>1741</v>
      </c>
      <c r="H2031" t="s">
        <v>2298</v>
      </c>
      <c r="I2031" t="s">
        <v>2277</v>
      </c>
      <c r="J2031" t="s">
        <v>2277</v>
      </c>
      <c r="K2031" t="s">
        <v>2277</v>
      </c>
      <c r="L2031" t="s">
        <v>2277</v>
      </c>
      <c r="M2031" t="s">
        <v>2277</v>
      </c>
      <c r="N2031" t="s">
        <v>2277</v>
      </c>
      <c r="O2031" s="190" t="str">
        <f t="shared" si="31"/>
        <v>[S11_TypeOfTaxRatesApplied][1][TypeOfTax]</v>
      </c>
    </row>
    <row r="2032" spans="1:15" x14ac:dyDescent="0.3">
      <c r="A2032" t="s">
        <v>2278</v>
      </c>
      <c r="B2032" t="s">
        <v>2181</v>
      </c>
      <c r="C2032" t="s">
        <v>2183</v>
      </c>
      <c r="D2032">
        <v>1</v>
      </c>
      <c r="E2032" t="s">
        <v>1447</v>
      </c>
      <c r="F2032" t="s">
        <v>2185</v>
      </c>
      <c r="G2032" t="s">
        <v>1741</v>
      </c>
      <c r="H2032" t="s">
        <v>2297</v>
      </c>
      <c r="I2032" t="s">
        <v>2277</v>
      </c>
      <c r="J2032" t="s">
        <v>2277</v>
      </c>
      <c r="K2032" t="s">
        <v>2277</v>
      </c>
      <c r="L2032" t="s">
        <v>2277</v>
      </c>
      <c r="M2032" t="s">
        <v>2277</v>
      </c>
      <c r="N2032" t="s">
        <v>2277</v>
      </c>
      <c r="O2032" s="190" t="str">
        <f t="shared" si="31"/>
        <v>[S11_TypeOfTaxRatesApplied][1][TaxRateApplied]</v>
      </c>
    </row>
    <row r="2033" spans="1:15" x14ac:dyDescent="0.3">
      <c r="A2033" t="s">
        <v>2278</v>
      </c>
      <c r="B2033" t="s">
        <v>2186</v>
      </c>
      <c r="C2033" t="s">
        <v>2187</v>
      </c>
      <c r="D2033">
        <v>1</v>
      </c>
      <c r="E2033" t="s">
        <v>1447</v>
      </c>
      <c r="F2033" t="s">
        <v>2188</v>
      </c>
      <c r="G2033" t="s">
        <v>1741</v>
      </c>
      <c r="H2033" t="s">
        <v>2296</v>
      </c>
      <c r="I2033" t="s">
        <v>2277</v>
      </c>
      <c r="J2033" t="s">
        <v>2277</v>
      </c>
      <c r="K2033" t="s">
        <v>2277</v>
      </c>
      <c r="L2033" t="s">
        <v>2277</v>
      </c>
      <c r="M2033" t="s">
        <v>2277</v>
      </c>
      <c r="N2033" t="s">
        <v>2277</v>
      </c>
      <c r="O2033" s="190" t="str">
        <f t="shared" si="31"/>
        <v>[S12_FraudFreeAllocationOfAllowances][1][DetailsOfProceduresInNationalLaw]</v>
      </c>
    </row>
    <row r="2034" spans="1:15" x14ac:dyDescent="0.3">
      <c r="A2034" t="s">
        <v>2278</v>
      </c>
      <c r="B2034" t="s">
        <v>2186</v>
      </c>
      <c r="C2034" t="s">
        <v>2187</v>
      </c>
      <c r="D2034">
        <v>2</v>
      </c>
      <c r="E2034" t="s">
        <v>1447</v>
      </c>
      <c r="F2034" t="s">
        <v>2188</v>
      </c>
      <c r="G2034" t="s">
        <v>1741</v>
      </c>
      <c r="H2034" t="s">
        <v>2294</v>
      </c>
      <c r="I2034" t="s">
        <v>2277</v>
      </c>
      <c r="J2034" t="s">
        <v>2277</v>
      </c>
      <c r="K2034" t="s">
        <v>2277</v>
      </c>
      <c r="L2034" t="s">
        <v>2277</v>
      </c>
      <c r="M2034" t="s">
        <v>2277</v>
      </c>
      <c r="N2034" t="s">
        <v>2277</v>
      </c>
      <c r="O2034" s="190" t="str">
        <f t="shared" si="31"/>
        <v>[S12_FraudFreeAllocationOfAllowances][2][DetailsOfProceduresInNationalLaw]</v>
      </c>
    </row>
    <row r="2035" spans="1:15" x14ac:dyDescent="0.3">
      <c r="A2035" t="s">
        <v>2278</v>
      </c>
      <c r="B2035" t="s">
        <v>2186</v>
      </c>
      <c r="C2035" t="s">
        <v>2187</v>
      </c>
      <c r="D2035">
        <v>3</v>
      </c>
      <c r="E2035" t="s">
        <v>1447</v>
      </c>
      <c r="F2035" t="s">
        <v>2188</v>
      </c>
      <c r="G2035" t="s">
        <v>1741</v>
      </c>
      <c r="H2035" t="s">
        <v>2295</v>
      </c>
      <c r="I2035" t="s">
        <v>2277</v>
      </c>
      <c r="J2035" t="s">
        <v>2277</v>
      </c>
      <c r="K2035" t="s">
        <v>2277</v>
      </c>
      <c r="L2035" t="s">
        <v>2277</v>
      </c>
      <c r="M2035" t="s">
        <v>2277</v>
      </c>
      <c r="N2035" t="s">
        <v>2277</v>
      </c>
      <c r="O2035" s="190" t="str">
        <f t="shared" si="31"/>
        <v>[S12_FraudFreeAllocationOfAllowances][3][DetailsOfProceduresInNationalLaw]</v>
      </c>
    </row>
    <row r="2036" spans="1:15" x14ac:dyDescent="0.3">
      <c r="A2036" t="s">
        <v>2278</v>
      </c>
      <c r="B2036" t="s">
        <v>2186</v>
      </c>
      <c r="C2036" t="s">
        <v>2187</v>
      </c>
      <c r="D2036">
        <v>4</v>
      </c>
      <c r="E2036" t="s">
        <v>1447</v>
      </c>
      <c r="F2036" t="s">
        <v>2188</v>
      </c>
      <c r="G2036" t="s">
        <v>1741</v>
      </c>
      <c r="H2036" t="s">
        <v>2294</v>
      </c>
      <c r="I2036" t="s">
        <v>2277</v>
      </c>
      <c r="J2036" t="s">
        <v>2277</v>
      </c>
      <c r="K2036" t="s">
        <v>2277</v>
      </c>
      <c r="L2036" t="s">
        <v>2277</v>
      </c>
      <c r="M2036" t="s">
        <v>2277</v>
      </c>
      <c r="N2036" t="s">
        <v>2277</v>
      </c>
      <c r="O2036" s="190" t="str">
        <f t="shared" si="31"/>
        <v>[S12_FraudFreeAllocationOfAllowances][4][DetailsOfProceduresInNationalLaw]</v>
      </c>
    </row>
    <row r="2037" spans="1:15" x14ac:dyDescent="0.3">
      <c r="A2037" t="s">
        <v>2278</v>
      </c>
      <c r="B2037" t="s">
        <v>2186</v>
      </c>
      <c r="C2037" t="s">
        <v>2187</v>
      </c>
      <c r="D2037">
        <v>5</v>
      </c>
      <c r="E2037" t="s">
        <v>1447</v>
      </c>
      <c r="F2037" t="s">
        <v>2188</v>
      </c>
      <c r="G2037" t="s">
        <v>1741</v>
      </c>
      <c r="H2037" t="s">
        <v>2294</v>
      </c>
      <c r="I2037" t="s">
        <v>2277</v>
      </c>
      <c r="J2037" t="s">
        <v>2277</v>
      </c>
      <c r="K2037" t="s">
        <v>2277</v>
      </c>
      <c r="L2037" t="s">
        <v>2277</v>
      </c>
      <c r="M2037" t="s">
        <v>2277</v>
      </c>
      <c r="N2037" t="s">
        <v>2277</v>
      </c>
      <c r="O2037" s="190" t="str">
        <f t="shared" si="31"/>
        <v>[S12_FraudFreeAllocationOfAllowances][5][DetailsOfProceduresInNationalLaw]</v>
      </c>
    </row>
    <row r="2038" spans="1:15" x14ac:dyDescent="0.3">
      <c r="A2038" t="s">
        <v>2278</v>
      </c>
      <c r="B2038" t="s">
        <v>2186</v>
      </c>
      <c r="C2038" t="s">
        <v>2187</v>
      </c>
      <c r="D2038">
        <v>6</v>
      </c>
      <c r="E2038" t="s">
        <v>1447</v>
      </c>
      <c r="F2038" t="s">
        <v>2188</v>
      </c>
      <c r="G2038" t="s">
        <v>1741</v>
      </c>
      <c r="H2038" t="s">
        <v>2293</v>
      </c>
      <c r="I2038" t="s">
        <v>2277</v>
      </c>
      <c r="J2038" t="s">
        <v>2277</v>
      </c>
      <c r="K2038" t="s">
        <v>2277</v>
      </c>
      <c r="L2038" t="s">
        <v>2277</v>
      </c>
      <c r="M2038" t="s">
        <v>2277</v>
      </c>
      <c r="N2038" t="s">
        <v>2277</v>
      </c>
      <c r="O2038" s="190" t="str">
        <f t="shared" si="31"/>
        <v>[S12_FraudFreeAllocationOfAllowances][6][DetailsOfProceduresInNationalLaw]</v>
      </c>
    </row>
    <row r="2039" spans="1:15" x14ac:dyDescent="0.3">
      <c r="A2039" t="s">
        <v>2278</v>
      </c>
      <c r="B2039" t="s">
        <v>2189</v>
      </c>
      <c r="C2039" t="s">
        <v>2190</v>
      </c>
      <c r="D2039">
        <v>1</v>
      </c>
      <c r="E2039" t="s">
        <v>1447</v>
      </c>
      <c r="F2039" t="s">
        <v>2191</v>
      </c>
      <c r="G2039" t="s">
        <v>1741</v>
      </c>
      <c r="H2039" t="s">
        <v>2292</v>
      </c>
      <c r="I2039" t="s">
        <v>2277</v>
      </c>
      <c r="J2039" t="s">
        <v>2277</v>
      </c>
      <c r="K2039" t="s">
        <v>2277</v>
      </c>
      <c r="L2039" t="s">
        <v>2277</v>
      </c>
      <c r="M2039" t="s">
        <v>2277</v>
      </c>
      <c r="N2039" t="s">
        <v>2277</v>
      </c>
      <c r="O2039" s="190" t="str">
        <f t="shared" si="31"/>
        <v>[S12_CompetentAuthoritiesAwareOfFraud][1][DetailsOfArrangementsAndProcedures]</v>
      </c>
    </row>
    <row r="2040" spans="1:15" x14ac:dyDescent="0.3">
      <c r="A2040" t="s">
        <v>2278</v>
      </c>
      <c r="B2040" t="s">
        <v>2189</v>
      </c>
      <c r="C2040" t="s">
        <v>2190</v>
      </c>
      <c r="D2040">
        <v>2</v>
      </c>
      <c r="E2040" t="s">
        <v>1447</v>
      </c>
      <c r="F2040" t="s">
        <v>2191</v>
      </c>
      <c r="G2040" t="s">
        <v>1741</v>
      </c>
      <c r="H2040" t="s">
        <v>2292</v>
      </c>
      <c r="I2040" t="s">
        <v>2277</v>
      </c>
      <c r="J2040" t="s">
        <v>2277</v>
      </c>
      <c r="K2040" t="s">
        <v>2277</v>
      </c>
      <c r="L2040" t="s">
        <v>2277</v>
      </c>
      <c r="M2040" t="s">
        <v>2277</v>
      </c>
      <c r="N2040" t="s">
        <v>2277</v>
      </c>
      <c r="O2040" s="190" t="str">
        <f t="shared" si="31"/>
        <v>[S12_CompetentAuthoritiesAwareOfFraud][2][DetailsOfArrangementsAndProcedures]</v>
      </c>
    </row>
    <row r="2041" spans="1:15" x14ac:dyDescent="0.3">
      <c r="A2041" t="s">
        <v>2278</v>
      </c>
      <c r="B2041" t="s">
        <v>2189</v>
      </c>
      <c r="C2041" t="s">
        <v>2190</v>
      </c>
      <c r="D2041">
        <v>3</v>
      </c>
      <c r="E2041" t="s">
        <v>1447</v>
      </c>
      <c r="F2041" t="s">
        <v>2191</v>
      </c>
      <c r="G2041" t="s">
        <v>1741</v>
      </c>
      <c r="H2041" t="s">
        <v>2292</v>
      </c>
      <c r="I2041" t="s">
        <v>2277</v>
      </c>
      <c r="J2041" t="s">
        <v>2277</v>
      </c>
      <c r="K2041" t="s">
        <v>2277</v>
      </c>
      <c r="L2041" t="s">
        <v>2277</v>
      </c>
      <c r="M2041" t="s">
        <v>2277</v>
      </c>
      <c r="N2041" t="s">
        <v>2277</v>
      </c>
      <c r="O2041" s="190" t="str">
        <f t="shared" si="31"/>
        <v>[S12_CompetentAuthoritiesAwareOfFraud][3][DetailsOfArrangementsAndProcedures]</v>
      </c>
    </row>
    <row r="2042" spans="1:15" x14ac:dyDescent="0.3">
      <c r="A2042" t="s">
        <v>2278</v>
      </c>
      <c r="B2042" t="s">
        <v>2189</v>
      </c>
      <c r="C2042" t="s">
        <v>2190</v>
      </c>
      <c r="D2042">
        <v>4</v>
      </c>
      <c r="E2042" t="s">
        <v>1447</v>
      </c>
      <c r="F2042" t="s">
        <v>2191</v>
      </c>
      <c r="G2042" t="s">
        <v>1741</v>
      </c>
      <c r="H2042" t="s">
        <v>2292</v>
      </c>
      <c r="I2042" t="s">
        <v>2277</v>
      </c>
      <c r="J2042" t="s">
        <v>2277</v>
      </c>
      <c r="K2042" t="s">
        <v>2277</v>
      </c>
      <c r="L2042" t="s">
        <v>2277</v>
      </c>
      <c r="M2042" t="s">
        <v>2277</v>
      </c>
      <c r="N2042" t="s">
        <v>2277</v>
      </c>
      <c r="O2042" s="190" t="str">
        <f t="shared" si="31"/>
        <v>[S12_CompetentAuthoritiesAwareOfFraud][4][DetailsOfArrangementsAndProcedures]</v>
      </c>
    </row>
    <row r="2043" spans="1:15" x14ac:dyDescent="0.3">
      <c r="A2043" t="s">
        <v>2278</v>
      </c>
      <c r="B2043" t="s">
        <v>2195</v>
      </c>
      <c r="C2043" t="s">
        <v>2196</v>
      </c>
      <c r="D2043">
        <v>12</v>
      </c>
      <c r="E2043" t="s">
        <v>1447</v>
      </c>
      <c r="F2043" t="s">
        <v>2197</v>
      </c>
      <c r="G2043" t="s">
        <v>1791</v>
      </c>
      <c r="H2043" t="s">
        <v>2277</v>
      </c>
      <c r="I2043" t="s">
        <v>2277</v>
      </c>
      <c r="J2043" t="s">
        <v>2277</v>
      </c>
      <c r="K2043" t="s">
        <v>2291</v>
      </c>
      <c r="L2043" t="s">
        <v>2277</v>
      </c>
      <c r="M2043" t="s">
        <v>2277</v>
      </c>
      <c r="N2043" t="s">
        <v>2277</v>
      </c>
      <c r="O2043" s="190" t="str">
        <f t="shared" si="31"/>
        <v>[S13_AnyOtherIssues][12][OtherInformationOrIssues]</v>
      </c>
    </row>
    <row r="2044" spans="1:15" x14ac:dyDescent="0.3">
      <c r="A2044" t="s">
        <v>2278</v>
      </c>
      <c r="B2044" t="s">
        <v>2195</v>
      </c>
      <c r="C2044" t="s">
        <v>2196</v>
      </c>
      <c r="D2044">
        <v>13</v>
      </c>
      <c r="E2044" t="s">
        <v>1447</v>
      </c>
      <c r="F2044" t="s">
        <v>2197</v>
      </c>
      <c r="G2044" t="s">
        <v>1791</v>
      </c>
      <c r="H2044" t="s">
        <v>2277</v>
      </c>
      <c r="I2044" t="s">
        <v>2277</v>
      </c>
      <c r="J2044" t="s">
        <v>2277</v>
      </c>
      <c r="K2044" t="s">
        <v>2290</v>
      </c>
      <c r="L2044" t="s">
        <v>2277</v>
      </c>
      <c r="M2044" t="s">
        <v>2277</v>
      </c>
      <c r="N2044" t="s">
        <v>2277</v>
      </c>
      <c r="O2044" s="190" t="str">
        <f t="shared" si="31"/>
        <v>[S13_AnyOtherIssues][13][OtherInformationOrIssues]</v>
      </c>
    </row>
    <row r="2045" spans="1:15" x14ac:dyDescent="0.3">
      <c r="A2045" t="s">
        <v>2278</v>
      </c>
      <c r="B2045" t="s">
        <v>2195</v>
      </c>
      <c r="C2045" t="s">
        <v>2196</v>
      </c>
      <c r="D2045">
        <v>14</v>
      </c>
      <c r="E2045" t="s">
        <v>1447</v>
      </c>
      <c r="F2045" t="s">
        <v>2197</v>
      </c>
      <c r="G2045" t="s">
        <v>1791</v>
      </c>
      <c r="H2045" t="s">
        <v>2277</v>
      </c>
      <c r="I2045" t="s">
        <v>2277</v>
      </c>
      <c r="J2045" t="s">
        <v>2277</v>
      </c>
      <c r="K2045" t="s">
        <v>2289</v>
      </c>
      <c r="L2045" t="s">
        <v>2277</v>
      </c>
      <c r="M2045" t="s">
        <v>2277</v>
      </c>
      <c r="N2045" t="s">
        <v>2277</v>
      </c>
      <c r="O2045" s="190" t="str">
        <f t="shared" si="31"/>
        <v>[S13_AnyOtherIssues][14][OtherInformationOrIssues]</v>
      </c>
    </row>
    <row r="2046" spans="1:15" x14ac:dyDescent="0.3">
      <c r="A2046" t="s">
        <v>2278</v>
      </c>
      <c r="B2046" t="s">
        <v>2195</v>
      </c>
      <c r="C2046" t="s">
        <v>2196</v>
      </c>
      <c r="D2046">
        <v>15</v>
      </c>
      <c r="E2046" t="s">
        <v>1447</v>
      </c>
      <c r="F2046" t="s">
        <v>2197</v>
      </c>
      <c r="G2046" t="s">
        <v>1791</v>
      </c>
      <c r="H2046" t="s">
        <v>2277</v>
      </c>
      <c r="I2046" t="s">
        <v>2277</v>
      </c>
      <c r="J2046" t="s">
        <v>2277</v>
      </c>
      <c r="K2046" t="s">
        <v>2288</v>
      </c>
      <c r="L2046" t="s">
        <v>2277</v>
      </c>
      <c r="M2046" t="s">
        <v>2277</v>
      </c>
      <c r="N2046" t="s">
        <v>2277</v>
      </c>
      <c r="O2046" s="190" t="str">
        <f t="shared" si="31"/>
        <v>[S13_AnyOtherIssues][15][OtherInformationOrIssues]</v>
      </c>
    </row>
    <row r="2047" spans="1:15" x14ac:dyDescent="0.3">
      <c r="A2047" t="s">
        <v>2278</v>
      </c>
      <c r="B2047" t="s">
        <v>2195</v>
      </c>
      <c r="C2047" t="s">
        <v>2196</v>
      </c>
      <c r="D2047">
        <v>50</v>
      </c>
      <c r="E2047" t="s">
        <v>1447</v>
      </c>
      <c r="F2047" t="s">
        <v>2197</v>
      </c>
      <c r="G2047" t="s">
        <v>1791</v>
      </c>
      <c r="H2047" t="s">
        <v>2277</v>
      </c>
      <c r="I2047" t="s">
        <v>2277</v>
      </c>
      <c r="J2047" t="s">
        <v>2277</v>
      </c>
      <c r="K2047" t="s">
        <v>2287</v>
      </c>
      <c r="L2047" t="s">
        <v>2277</v>
      </c>
      <c r="M2047" t="s">
        <v>2277</v>
      </c>
      <c r="N2047" t="s">
        <v>2277</v>
      </c>
      <c r="O2047" s="190" t="str">
        <f t="shared" si="31"/>
        <v>[S13_AnyOtherIssues][50][OtherInformationOrIssues]</v>
      </c>
    </row>
    <row r="2048" spans="1:15" x14ac:dyDescent="0.3">
      <c r="A2048" t="s">
        <v>2278</v>
      </c>
      <c r="B2048" t="s">
        <v>2195</v>
      </c>
      <c r="C2048" t="s">
        <v>2196</v>
      </c>
      <c r="D2048">
        <v>51</v>
      </c>
      <c r="E2048" t="s">
        <v>1447</v>
      </c>
      <c r="F2048" t="s">
        <v>2197</v>
      </c>
      <c r="G2048" t="s">
        <v>1791</v>
      </c>
      <c r="H2048" t="s">
        <v>2277</v>
      </c>
      <c r="I2048" t="s">
        <v>2277</v>
      </c>
      <c r="J2048" t="s">
        <v>2277</v>
      </c>
      <c r="K2048" t="s">
        <v>2287</v>
      </c>
      <c r="L2048" t="s">
        <v>2277</v>
      </c>
      <c r="M2048" t="s">
        <v>2277</v>
      </c>
      <c r="N2048" t="s">
        <v>2277</v>
      </c>
      <c r="O2048" s="190" t="str">
        <f t="shared" si="31"/>
        <v>[S13_AnyOtherIssues][51][OtherInformationOrIssues]</v>
      </c>
    </row>
    <row r="2049" spans="1:15" x14ac:dyDescent="0.3">
      <c r="A2049" t="s">
        <v>2278</v>
      </c>
      <c r="B2049" t="s">
        <v>2195</v>
      </c>
      <c r="C2049" t="s">
        <v>2196</v>
      </c>
      <c r="D2049">
        <v>68</v>
      </c>
      <c r="E2049" t="s">
        <v>1447</v>
      </c>
      <c r="F2049" t="s">
        <v>2197</v>
      </c>
      <c r="G2049" t="s">
        <v>1791</v>
      </c>
      <c r="H2049" t="s">
        <v>2277</v>
      </c>
      <c r="I2049" t="s">
        <v>2277</v>
      </c>
      <c r="J2049" t="s">
        <v>2277</v>
      </c>
      <c r="K2049" t="s">
        <v>2286</v>
      </c>
      <c r="L2049" t="s">
        <v>2277</v>
      </c>
      <c r="M2049" t="s">
        <v>2277</v>
      </c>
      <c r="N2049" t="s">
        <v>2277</v>
      </c>
      <c r="O2049" s="190" t="str">
        <f t="shared" si="31"/>
        <v>[S13_AnyOtherIssues][68][OtherInformationOrIssues]</v>
      </c>
    </row>
    <row r="2050" spans="1:15" x14ac:dyDescent="0.3">
      <c r="A2050" t="s">
        <v>2278</v>
      </c>
      <c r="B2050" t="s">
        <v>2195</v>
      </c>
      <c r="C2050" t="s">
        <v>2196</v>
      </c>
      <c r="D2050">
        <v>69</v>
      </c>
      <c r="E2050" t="s">
        <v>1447</v>
      </c>
      <c r="F2050" t="s">
        <v>2197</v>
      </c>
      <c r="G2050" t="s">
        <v>1791</v>
      </c>
      <c r="H2050" t="s">
        <v>2277</v>
      </c>
      <c r="I2050" t="s">
        <v>2277</v>
      </c>
      <c r="J2050" t="s">
        <v>2277</v>
      </c>
      <c r="K2050" t="s">
        <v>2285</v>
      </c>
      <c r="L2050" t="s">
        <v>2277</v>
      </c>
      <c r="M2050" t="s">
        <v>2277</v>
      </c>
      <c r="N2050" t="s">
        <v>2277</v>
      </c>
      <c r="O2050" s="190" t="str">
        <f t="shared" ref="O2050:O2073" si="32">"["&amp;$C2050&amp;"]["&amp;$D2050&amp;"]["&amp;$F2050&amp;"]"</f>
        <v>[S13_AnyOtherIssues][69][OtherInformationOrIssues]</v>
      </c>
    </row>
    <row r="2051" spans="1:15" x14ac:dyDescent="0.3">
      <c r="A2051" t="s">
        <v>2278</v>
      </c>
      <c r="B2051" t="s">
        <v>2195</v>
      </c>
      <c r="C2051" t="s">
        <v>2196</v>
      </c>
      <c r="D2051">
        <v>70</v>
      </c>
      <c r="E2051" t="s">
        <v>1447</v>
      </c>
      <c r="F2051" t="s">
        <v>2197</v>
      </c>
      <c r="G2051" t="s">
        <v>1791</v>
      </c>
      <c r="H2051" t="s">
        <v>2277</v>
      </c>
      <c r="I2051" t="s">
        <v>2277</v>
      </c>
      <c r="J2051" t="s">
        <v>2277</v>
      </c>
      <c r="K2051" t="s">
        <v>2285</v>
      </c>
      <c r="L2051" t="s">
        <v>2277</v>
      </c>
      <c r="M2051" t="s">
        <v>2277</v>
      </c>
      <c r="N2051" t="s">
        <v>2277</v>
      </c>
      <c r="O2051" s="190" t="str">
        <f t="shared" si="32"/>
        <v>[S13_AnyOtherIssues][70][OtherInformationOrIssues]</v>
      </c>
    </row>
    <row r="2052" spans="1:15" x14ac:dyDescent="0.3">
      <c r="A2052" t="s">
        <v>2278</v>
      </c>
      <c r="B2052" t="s">
        <v>2195</v>
      </c>
      <c r="C2052" t="s">
        <v>2196</v>
      </c>
      <c r="D2052">
        <v>71</v>
      </c>
      <c r="E2052" t="s">
        <v>1447</v>
      </c>
      <c r="F2052" t="s">
        <v>2197</v>
      </c>
      <c r="G2052" t="s">
        <v>1791</v>
      </c>
      <c r="H2052" t="s">
        <v>2277</v>
      </c>
      <c r="I2052" t="s">
        <v>2277</v>
      </c>
      <c r="J2052" t="s">
        <v>2277</v>
      </c>
      <c r="K2052" t="s">
        <v>2284</v>
      </c>
      <c r="L2052" t="s">
        <v>2277</v>
      </c>
      <c r="M2052" t="s">
        <v>2277</v>
      </c>
      <c r="N2052" t="s">
        <v>2277</v>
      </c>
      <c r="O2052" s="190" t="str">
        <f t="shared" si="32"/>
        <v>[S13_AnyOtherIssues][71][OtherInformationOrIssues]</v>
      </c>
    </row>
    <row r="2053" spans="1:15" x14ac:dyDescent="0.3">
      <c r="A2053" t="s">
        <v>2278</v>
      </c>
      <c r="B2053" t="s">
        <v>2195</v>
      </c>
      <c r="C2053" t="s">
        <v>2196</v>
      </c>
      <c r="D2053">
        <v>72</v>
      </c>
      <c r="E2053" t="s">
        <v>1447</v>
      </c>
      <c r="F2053" t="s">
        <v>2197</v>
      </c>
      <c r="G2053" t="s">
        <v>1791</v>
      </c>
      <c r="H2053" t="s">
        <v>2277</v>
      </c>
      <c r="I2053" t="s">
        <v>2277</v>
      </c>
      <c r="J2053" t="s">
        <v>2277</v>
      </c>
      <c r="K2053" t="s">
        <v>2283</v>
      </c>
      <c r="L2053" t="s">
        <v>2277</v>
      </c>
      <c r="M2053" t="s">
        <v>2277</v>
      </c>
      <c r="N2053" t="s">
        <v>2277</v>
      </c>
      <c r="O2053" s="190" t="str">
        <f t="shared" si="32"/>
        <v>[S13_AnyOtherIssues][72][OtherInformationOrIssues]</v>
      </c>
    </row>
    <row r="2054" spans="1:15" x14ac:dyDescent="0.3">
      <c r="A2054" t="s">
        <v>2278</v>
      </c>
      <c r="B2054" t="s">
        <v>2195</v>
      </c>
      <c r="C2054" t="s">
        <v>2196</v>
      </c>
      <c r="D2054">
        <v>73</v>
      </c>
      <c r="E2054" t="s">
        <v>1447</v>
      </c>
      <c r="F2054" t="s">
        <v>2197</v>
      </c>
      <c r="G2054" t="s">
        <v>1791</v>
      </c>
      <c r="H2054" t="s">
        <v>2277</v>
      </c>
      <c r="I2054" t="s">
        <v>2277</v>
      </c>
      <c r="J2054" t="s">
        <v>2277</v>
      </c>
      <c r="K2054" t="s">
        <v>2282</v>
      </c>
      <c r="L2054" t="s">
        <v>2277</v>
      </c>
      <c r="M2054" t="s">
        <v>2277</v>
      </c>
      <c r="N2054" t="s">
        <v>2277</v>
      </c>
      <c r="O2054" s="190" t="str">
        <f t="shared" si="32"/>
        <v>[S13_AnyOtherIssues][73][OtherInformationOrIssues]</v>
      </c>
    </row>
    <row r="2055" spans="1:15" x14ac:dyDescent="0.3">
      <c r="A2055" t="s">
        <v>2278</v>
      </c>
      <c r="B2055" t="s">
        <v>2195</v>
      </c>
      <c r="C2055" t="s">
        <v>2196</v>
      </c>
      <c r="D2055">
        <v>74</v>
      </c>
      <c r="E2055" t="s">
        <v>1447</v>
      </c>
      <c r="F2055" t="s">
        <v>2197</v>
      </c>
      <c r="G2055" t="s">
        <v>1791</v>
      </c>
      <c r="H2055" t="s">
        <v>2277</v>
      </c>
      <c r="I2055" t="s">
        <v>2277</v>
      </c>
      <c r="J2055" t="s">
        <v>2277</v>
      </c>
      <c r="K2055" t="s">
        <v>2281</v>
      </c>
      <c r="L2055" t="s">
        <v>2277</v>
      </c>
      <c r="M2055" t="s">
        <v>2277</v>
      </c>
      <c r="N2055" t="s">
        <v>2277</v>
      </c>
      <c r="O2055" s="190" t="str">
        <f t="shared" si="32"/>
        <v>[S13_AnyOtherIssues][74][OtherInformationOrIssues]</v>
      </c>
    </row>
    <row r="2056" spans="1:15" x14ac:dyDescent="0.3">
      <c r="A2056" t="s">
        <v>2278</v>
      </c>
      <c r="B2056" t="s">
        <v>2195</v>
      </c>
      <c r="C2056" t="s">
        <v>2196</v>
      </c>
      <c r="D2056">
        <v>80</v>
      </c>
      <c r="E2056" t="s">
        <v>1447</v>
      </c>
      <c r="F2056" t="s">
        <v>2197</v>
      </c>
      <c r="G2056" t="s">
        <v>1791</v>
      </c>
      <c r="H2056" t="s">
        <v>2277</v>
      </c>
      <c r="I2056" t="s">
        <v>2277</v>
      </c>
      <c r="J2056" t="s">
        <v>2277</v>
      </c>
      <c r="K2056" t="s">
        <v>2280</v>
      </c>
      <c r="L2056" t="s">
        <v>2277</v>
      </c>
      <c r="M2056" t="s">
        <v>2277</v>
      </c>
      <c r="N2056" t="s">
        <v>2277</v>
      </c>
      <c r="O2056" s="190" t="str">
        <f t="shared" si="32"/>
        <v>[S13_AnyOtherIssues][80][OtherInformationOrIssues]</v>
      </c>
    </row>
    <row r="2057" spans="1:15" x14ac:dyDescent="0.3">
      <c r="A2057" t="s">
        <v>2278</v>
      </c>
      <c r="B2057" t="s">
        <v>2195</v>
      </c>
      <c r="C2057" t="s">
        <v>2196</v>
      </c>
      <c r="D2057">
        <v>84</v>
      </c>
      <c r="E2057" t="s">
        <v>1447</v>
      </c>
      <c r="F2057" t="s">
        <v>2197</v>
      </c>
      <c r="G2057" t="s">
        <v>1791</v>
      </c>
      <c r="H2057" t="s">
        <v>2277</v>
      </c>
      <c r="I2057" t="s">
        <v>2277</v>
      </c>
      <c r="J2057" t="s">
        <v>2277</v>
      </c>
      <c r="K2057" t="s">
        <v>2279</v>
      </c>
      <c r="L2057" t="s">
        <v>2277</v>
      </c>
      <c r="M2057" t="s">
        <v>2277</v>
      </c>
      <c r="N2057" t="s">
        <v>2277</v>
      </c>
      <c r="O2057" s="190" t="str">
        <f t="shared" si="32"/>
        <v>[S13_AnyOtherIssues][84][OtherInformationOrIssues]</v>
      </c>
    </row>
    <row r="2058" spans="1:15" x14ac:dyDescent="0.3">
      <c r="A2058" t="s">
        <v>2278</v>
      </c>
      <c r="B2058" t="s">
        <v>2195</v>
      </c>
      <c r="C2058" t="s">
        <v>2196</v>
      </c>
      <c r="D2058">
        <v>12</v>
      </c>
      <c r="E2058" t="s">
        <v>1447</v>
      </c>
      <c r="F2058" t="s">
        <v>2198</v>
      </c>
      <c r="G2058" t="s">
        <v>1737</v>
      </c>
      <c r="H2058" t="s">
        <v>2277</v>
      </c>
      <c r="I2058" t="s">
        <v>2277</v>
      </c>
      <c r="J2058" t="s">
        <v>2277</v>
      </c>
      <c r="K2058" t="s">
        <v>2277</v>
      </c>
      <c r="L2058" t="s">
        <v>1606</v>
      </c>
      <c r="M2058" t="s">
        <v>2277</v>
      </c>
      <c r="N2058" t="s">
        <v>2277</v>
      </c>
      <c r="O2058" s="190" t="str">
        <f t="shared" si="32"/>
        <v>[S13_AnyOtherIssues][12][QuestionnaireSubQuestion]</v>
      </c>
    </row>
    <row r="2059" spans="1:15" x14ac:dyDescent="0.3">
      <c r="A2059" t="s">
        <v>2278</v>
      </c>
      <c r="B2059" t="s">
        <v>2195</v>
      </c>
      <c r="C2059" t="s">
        <v>2196</v>
      </c>
      <c r="D2059">
        <v>13</v>
      </c>
      <c r="E2059" t="s">
        <v>1447</v>
      </c>
      <c r="F2059" t="s">
        <v>2198</v>
      </c>
      <c r="G2059" t="s">
        <v>1737</v>
      </c>
      <c r="H2059" t="s">
        <v>2277</v>
      </c>
      <c r="I2059" t="s">
        <v>2277</v>
      </c>
      <c r="J2059" t="s">
        <v>2277</v>
      </c>
      <c r="K2059" t="s">
        <v>2277</v>
      </c>
      <c r="L2059" t="s">
        <v>1616</v>
      </c>
      <c r="M2059" t="s">
        <v>2277</v>
      </c>
      <c r="N2059" t="s">
        <v>2277</v>
      </c>
      <c r="O2059" s="190" t="str">
        <f t="shared" si="32"/>
        <v>[S13_AnyOtherIssues][13][QuestionnaireSubQuestion]</v>
      </c>
    </row>
    <row r="2060" spans="1:15" x14ac:dyDescent="0.3">
      <c r="A2060" t="s">
        <v>2278</v>
      </c>
      <c r="B2060" t="s">
        <v>2195</v>
      </c>
      <c r="C2060" t="s">
        <v>2196</v>
      </c>
      <c r="D2060">
        <v>14</v>
      </c>
      <c r="E2060" t="s">
        <v>1447</v>
      </c>
      <c r="F2060" t="s">
        <v>2198</v>
      </c>
      <c r="G2060" t="s">
        <v>1737</v>
      </c>
      <c r="H2060" t="s">
        <v>2277</v>
      </c>
      <c r="I2060" t="s">
        <v>2277</v>
      </c>
      <c r="J2060" t="s">
        <v>2277</v>
      </c>
      <c r="K2060" t="s">
        <v>2277</v>
      </c>
      <c r="L2060" t="s">
        <v>1635</v>
      </c>
      <c r="M2060" t="s">
        <v>2277</v>
      </c>
      <c r="N2060" t="s">
        <v>2277</v>
      </c>
      <c r="O2060" s="190" t="str">
        <f t="shared" si="32"/>
        <v>[S13_AnyOtherIssues][14][QuestionnaireSubQuestion]</v>
      </c>
    </row>
    <row r="2061" spans="1:15" x14ac:dyDescent="0.3">
      <c r="A2061" t="s">
        <v>2278</v>
      </c>
      <c r="B2061" t="s">
        <v>2195</v>
      </c>
      <c r="C2061" t="s">
        <v>2196</v>
      </c>
      <c r="D2061">
        <v>15</v>
      </c>
      <c r="E2061" t="s">
        <v>1447</v>
      </c>
      <c r="F2061" t="s">
        <v>2198</v>
      </c>
      <c r="G2061" t="s">
        <v>1737</v>
      </c>
      <c r="H2061" t="s">
        <v>2277</v>
      </c>
      <c r="I2061" t="s">
        <v>2277</v>
      </c>
      <c r="J2061" t="s">
        <v>2277</v>
      </c>
      <c r="K2061" t="s">
        <v>2277</v>
      </c>
      <c r="L2061" t="s">
        <v>1650</v>
      </c>
      <c r="M2061" t="s">
        <v>2277</v>
      </c>
      <c r="N2061" t="s">
        <v>2277</v>
      </c>
      <c r="O2061" s="190" t="str">
        <f t="shared" si="32"/>
        <v>[S13_AnyOtherIssues][15][QuestionnaireSubQuestion]</v>
      </c>
    </row>
    <row r="2062" spans="1:15" x14ac:dyDescent="0.3">
      <c r="A2062" t="s">
        <v>2278</v>
      </c>
      <c r="B2062" t="s">
        <v>2195</v>
      </c>
      <c r="C2062" t="s">
        <v>2196</v>
      </c>
      <c r="D2062">
        <v>50</v>
      </c>
      <c r="E2062" t="s">
        <v>1447</v>
      </c>
      <c r="F2062" t="s">
        <v>2198</v>
      </c>
      <c r="G2062" t="s">
        <v>1737</v>
      </c>
      <c r="H2062" t="s">
        <v>2277</v>
      </c>
      <c r="I2062" t="s">
        <v>2277</v>
      </c>
      <c r="J2062" t="s">
        <v>2277</v>
      </c>
      <c r="K2062" t="s">
        <v>2277</v>
      </c>
      <c r="L2062" t="s">
        <v>1706</v>
      </c>
      <c r="M2062" t="s">
        <v>2277</v>
      </c>
      <c r="N2062" t="s">
        <v>2277</v>
      </c>
      <c r="O2062" s="190" t="str">
        <f t="shared" si="32"/>
        <v>[S13_AnyOtherIssues][50][QuestionnaireSubQuestion]</v>
      </c>
    </row>
    <row r="2063" spans="1:15" x14ac:dyDescent="0.3">
      <c r="A2063" t="s">
        <v>2278</v>
      </c>
      <c r="B2063" t="s">
        <v>2195</v>
      </c>
      <c r="C2063" t="s">
        <v>2196</v>
      </c>
      <c r="D2063">
        <v>51</v>
      </c>
      <c r="E2063" t="s">
        <v>1447</v>
      </c>
      <c r="F2063" t="s">
        <v>2198</v>
      </c>
      <c r="G2063" t="s">
        <v>1737</v>
      </c>
      <c r="H2063" t="s">
        <v>2277</v>
      </c>
      <c r="I2063" t="s">
        <v>2277</v>
      </c>
      <c r="J2063" t="s">
        <v>2277</v>
      </c>
      <c r="K2063" t="s">
        <v>2277</v>
      </c>
      <c r="L2063" t="s">
        <v>1707</v>
      </c>
      <c r="M2063" t="s">
        <v>2277</v>
      </c>
      <c r="N2063" t="s">
        <v>2277</v>
      </c>
      <c r="O2063" s="190" t="str">
        <f t="shared" si="32"/>
        <v>[S13_AnyOtherIssues][51][QuestionnaireSubQuestion]</v>
      </c>
    </row>
    <row r="2064" spans="1:15" x14ac:dyDescent="0.3">
      <c r="A2064" t="s">
        <v>2278</v>
      </c>
      <c r="B2064" t="s">
        <v>2195</v>
      </c>
      <c r="C2064" t="s">
        <v>2196</v>
      </c>
      <c r="D2064">
        <v>68</v>
      </c>
      <c r="E2064" t="s">
        <v>1447</v>
      </c>
      <c r="F2064" t="s">
        <v>2198</v>
      </c>
      <c r="G2064" t="s">
        <v>1737</v>
      </c>
      <c r="H2064" t="s">
        <v>2277</v>
      </c>
      <c r="I2064" t="s">
        <v>2277</v>
      </c>
      <c r="J2064" t="s">
        <v>2277</v>
      </c>
      <c r="K2064" t="s">
        <v>2277</v>
      </c>
      <c r="L2064" t="s">
        <v>1708</v>
      </c>
      <c r="M2064" t="s">
        <v>2277</v>
      </c>
      <c r="N2064" t="s">
        <v>2277</v>
      </c>
      <c r="O2064" s="190" t="str">
        <f t="shared" si="32"/>
        <v>[S13_AnyOtherIssues][68][QuestionnaireSubQuestion]</v>
      </c>
    </row>
    <row r="2065" spans="1:15" x14ac:dyDescent="0.3">
      <c r="A2065" t="s">
        <v>2278</v>
      </c>
      <c r="B2065" t="s">
        <v>2195</v>
      </c>
      <c r="C2065" t="s">
        <v>2196</v>
      </c>
      <c r="D2065">
        <v>69</v>
      </c>
      <c r="E2065" t="s">
        <v>1447</v>
      </c>
      <c r="F2065" t="s">
        <v>2198</v>
      </c>
      <c r="G2065" t="s">
        <v>1737</v>
      </c>
      <c r="H2065" t="s">
        <v>2277</v>
      </c>
      <c r="I2065" t="s">
        <v>2277</v>
      </c>
      <c r="J2065" t="s">
        <v>2277</v>
      </c>
      <c r="K2065" t="s">
        <v>2277</v>
      </c>
      <c r="L2065" t="s">
        <v>1709</v>
      </c>
      <c r="M2065" t="s">
        <v>2277</v>
      </c>
      <c r="N2065" t="s">
        <v>2277</v>
      </c>
      <c r="O2065" s="190" t="str">
        <f t="shared" si="32"/>
        <v>[S13_AnyOtherIssues][69][QuestionnaireSubQuestion]</v>
      </c>
    </row>
    <row r="2066" spans="1:15" x14ac:dyDescent="0.3">
      <c r="A2066" t="s">
        <v>2278</v>
      </c>
      <c r="B2066" t="s">
        <v>2195</v>
      </c>
      <c r="C2066" t="s">
        <v>2196</v>
      </c>
      <c r="D2066">
        <v>70</v>
      </c>
      <c r="E2066" t="s">
        <v>1447</v>
      </c>
      <c r="F2066" t="s">
        <v>2198</v>
      </c>
      <c r="G2066" t="s">
        <v>1737</v>
      </c>
      <c r="H2066" t="s">
        <v>2277</v>
      </c>
      <c r="I2066" t="s">
        <v>2277</v>
      </c>
      <c r="J2066" t="s">
        <v>2277</v>
      </c>
      <c r="K2066" t="s">
        <v>2277</v>
      </c>
      <c r="L2066" t="s">
        <v>1710</v>
      </c>
      <c r="M2066" t="s">
        <v>2277</v>
      </c>
      <c r="N2066" t="s">
        <v>2277</v>
      </c>
      <c r="O2066" s="190" t="str">
        <f t="shared" si="32"/>
        <v>[S13_AnyOtherIssues][70][QuestionnaireSubQuestion]</v>
      </c>
    </row>
    <row r="2067" spans="1:15" x14ac:dyDescent="0.3">
      <c r="A2067" t="s">
        <v>2278</v>
      </c>
      <c r="B2067" t="s">
        <v>2195</v>
      </c>
      <c r="C2067" t="s">
        <v>2196</v>
      </c>
      <c r="D2067">
        <v>71</v>
      </c>
      <c r="E2067" t="s">
        <v>1447</v>
      </c>
      <c r="F2067" t="s">
        <v>2198</v>
      </c>
      <c r="G2067" t="s">
        <v>1737</v>
      </c>
      <c r="H2067" t="s">
        <v>2277</v>
      </c>
      <c r="I2067" t="s">
        <v>2277</v>
      </c>
      <c r="J2067" t="s">
        <v>2277</v>
      </c>
      <c r="K2067" t="s">
        <v>2277</v>
      </c>
      <c r="L2067" t="s">
        <v>1712</v>
      </c>
      <c r="M2067" t="s">
        <v>2277</v>
      </c>
      <c r="N2067" t="s">
        <v>2277</v>
      </c>
      <c r="O2067" s="190" t="str">
        <f t="shared" si="32"/>
        <v>[S13_AnyOtherIssues][71][QuestionnaireSubQuestion]</v>
      </c>
    </row>
    <row r="2068" spans="1:15" x14ac:dyDescent="0.3">
      <c r="A2068" t="s">
        <v>2278</v>
      </c>
      <c r="B2068" t="s">
        <v>2195</v>
      </c>
      <c r="C2068" t="s">
        <v>2196</v>
      </c>
      <c r="D2068">
        <v>72</v>
      </c>
      <c r="E2068" t="s">
        <v>1447</v>
      </c>
      <c r="F2068" t="s">
        <v>2198</v>
      </c>
      <c r="G2068" t="s">
        <v>1737</v>
      </c>
      <c r="H2068" t="s">
        <v>2277</v>
      </c>
      <c r="I2068" t="s">
        <v>2277</v>
      </c>
      <c r="J2068" t="s">
        <v>2277</v>
      </c>
      <c r="K2068" t="s">
        <v>2277</v>
      </c>
      <c r="L2068" t="s">
        <v>1713</v>
      </c>
      <c r="M2068" t="s">
        <v>2277</v>
      </c>
      <c r="N2068" t="s">
        <v>2277</v>
      </c>
      <c r="O2068" s="190" t="str">
        <f t="shared" si="32"/>
        <v>[S13_AnyOtherIssues][72][QuestionnaireSubQuestion]</v>
      </c>
    </row>
    <row r="2069" spans="1:15" x14ac:dyDescent="0.3">
      <c r="A2069" t="s">
        <v>2278</v>
      </c>
      <c r="B2069" t="s">
        <v>2195</v>
      </c>
      <c r="C2069" t="s">
        <v>2196</v>
      </c>
      <c r="D2069">
        <v>73</v>
      </c>
      <c r="E2069" t="s">
        <v>1447</v>
      </c>
      <c r="F2069" t="s">
        <v>2198</v>
      </c>
      <c r="G2069" t="s">
        <v>1737</v>
      </c>
      <c r="H2069" t="s">
        <v>2277</v>
      </c>
      <c r="I2069" t="s">
        <v>2277</v>
      </c>
      <c r="J2069" t="s">
        <v>2277</v>
      </c>
      <c r="K2069" t="s">
        <v>2277</v>
      </c>
      <c r="L2069" t="s">
        <v>1716</v>
      </c>
      <c r="M2069" t="s">
        <v>2277</v>
      </c>
      <c r="N2069" t="s">
        <v>2277</v>
      </c>
      <c r="O2069" s="190" t="str">
        <f t="shared" si="32"/>
        <v>[S13_AnyOtherIssues][73][QuestionnaireSubQuestion]</v>
      </c>
    </row>
    <row r="2070" spans="1:15" x14ac:dyDescent="0.3">
      <c r="A2070" t="s">
        <v>2278</v>
      </c>
      <c r="B2070" t="s">
        <v>2195</v>
      </c>
      <c r="C2070" t="s">
        <v>2196</v>
      </c>
      <c r="D2070">
        <v>74</v>
      </c>
      <c r="E2070" t="s">
        <v>1447</v>
      </c>
      <c r="F2070" t="s">
        <v>2198</v>
      </c>
      <c r="G2070" t="s">
        <v>1737</v>
      </c>
      <c r="H2070" t="s">
        <v>2277</v>
      </c>
      <c r="I2070" t="s">
        <v>2277</v>
      </c>
      <c r="J2070" t="s">
        <v>2277</v>
      </c>
      <c r="K2070" t="s">
        <v>2277</v>
      </c>
      <c r="L2070" t="s">
        <v>1717</v>
      </c>
      <c r="M2070" t="s">
        <v>2277</v>
      </c>
      <c r="N2070" t="s">
        <v>2277</v>
      </c>
      <c r="O2070" s="190" t="str">
        <f t="shared" si="32"/>
        <v>[S13_AnyOtherIssues][74][QuestionnaireSubQuestion]</v>
      </c>
    </row>
    <row r="2071" spans="1:15" x14ac:dyDescent="0.3">
      <c r="A2071" t="s">
        <v>2278</v>
      </c>
      <c r="B2071" t="s">
        <v>2195</v>
      </c>
      <c r="C2071" t="s">
        <v>2196</v>
      </c>
      <c r="D2071">
        <v>80</v>
      </c>
      <c r="E2071" t="s">
        <v>1447</v>
      </c>
      <c r="F2071" t="s">
        <v>2198</v>
      </c>
      <c r="G2071" t="s">
        <v>1737</v>
      </c>
      <c r="H2071" t="s">
        <v>2277</v>
      </c>
      <c r="I2071" t="s">
        <v>2277</v>
      </c>
      <c r="J2071" t="s">
        <v>2277</v>
      </c>
      <c r="K2071" t="s">
        <v>2277</v>
      </c>
      <c r="L2071" t="s">
        <v>1722</v>
      </c>
      <c r="M2071" t="s">
        <v>2277</v>
      </c>
      <c r="N2071" t="s">
        <v>2277</v>
      </c>
      <c r="O2071" s="190" t="str">
        <f t="shared" si="32"/>
        <v>[S13_AnyOtherIssues][80][QuestionnaireSubQuestion]</v>
      </c>
    </row>
    <row r="2072" spans="1:15" x14ac:dyDescent="0.3">
      <c r="A2072" t="s">
        <v>2278</v>
      </c>
      <c r="B2072" t="s">
        <v>2195</v>
      </c>
      <c r="C2072" t="s">
        <v>2196</v>
      </c>
      <c r="D2072">
        <v>84</v>
      </c>
      <c r="E2072" t="s">
        <v>1447</v>
      </c>
      <c r="F2072" t="s">
        <v>2198</v>
      </c>
      <c r="G2072" t="s">
        <v>1737</v>
      </c>
      <c r="H2072" t="s">
        <v>2277</v>
      </c>
      <c r="I2072" t="s">
        <v>2277</v>
      </c>
      <c r="J2072" t="s">
        <v>2277</v>
      </c>
      <c r="K2072" t="s">
        <v>2277</v>
      </c>
      <c r="L2072" t="s">
        <v>1726</v>
      </c>
      <c r="M2072" t="s">
        <v>2277</v>
      </c>
      <c r="N2072" t="s">
        <v>2277</v>
      </c>
      <c r="O2072" s="190" t="str">
        <f t="shared" si="32"/>
        <v>[S13_AnyOtherIssues][84][QuestionnaireSubQuestion]</v>
      </c>
    </row>
    <row r="2073" spans="1:15" x14ac:dyDescent="0.3">
      <c r="A2073" t="s">
        <v>2278</v>
      </c>
      <c r="B2073" t="s">
        <v>2199</v>
      </c>
      <c r="C2073" t="s">
        <v>2200</v>
      </c>
      <c r="D2073">
        <v>0</v>
      </c>
      <c r="E2073" t="s">
        <v>1447</v>
      </c>
      <c r="F2073" t="s">
        <v>2200</v>
      </c>
      <c r="G2073" t="s">
        <v>1759</v>
      </c>
      <c r="H2073" t="s">
        <v>2277</v>
      </c>
      <c r="I2073" t="s">
        <v>2277</v>
      </c>
      <c r="J2073" t="s">
        <v>2277</v>
      </c>
      <c r="K2073" t="s">
        <v>2277</v>
      </c>
      <c r="L2073" t="s">
        <v>1419</v>
      </c>
      <c r="M2073" t="s">
        <v>2277</v>
      </c>
      <c r="N2073" t="s">
        <v>2277</v>
      </c>
      <c r="O2073" s="190" t="str">
        <f t="shared" si="32"/>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12" t="s">
        <v>436</v>
      </c>
      <c r="C3" s="312"/>
      <c r="D3" s="312"/>
      <c r="E3" s="312"/>
      <c r="F3" s="312"/>
      <c r="G3" s="312"/>
      <c r="H3" s="312"/>
      <c r="I3" s="312"/>
    </row>
    <row r="4" spans="1:9" ht="39" customHeight="1" x14ac:dyDescent="0.3">
      <c r="A4" s="12" t="s">
        <v>437</v>
      </c>
      <c r="B4" s="460" t="s">
        <v>1119</v>
      </c>
      <c r="C4" s="460"/>
      <c r="D4" s="460"/>
      <c r="E4" s="460"/>
      <c r="F4" s="460"/>
      <c r="G4" s="460"/>
      <c r="H4" s="460"/>
      <c r="I4" s="460"/>
    </row>
    <row r="5" spans="1:9" ht="27" customHeight="1" x14ac:dyDescent="0.3"/>
    <row r="6" spans="1:9" ht="32.1" customHeight="1" x14ac:dyDescent="0.3">
      <c r="A6" s="12" t="s">
        <v>441</v>
      </c>
      <c r="B6" s="341" t="s">
        <v>1120</v>
      </c>
      <c r="C6" s="311"/>
      <c r="D6" s="311"/>
      <c r="E6" s="311"/>
      <c r="F6" s="311"/>
      <c r="G6" s="311"/>
      <c r="H6" s="311"/>
      <c r="I6" s="311"/>
    </row>
    <row r="7" spans="1:9" ht="26.1" customHeight="1" x14ac:dyDescent="0.3">
      <c r="A7" s="13"/>
      <c r="B7" s="10"/>
      <c r="C7" s="46" t="s">
        <v>1121</v>
      </c>
      <c r="D7" s="317" t="s">
        <v>1122</v>
      </c>
      <c r="E7" s="319"/>
      <c r="F7" s="320" t="s">
        <v>1123</v>
      </c>
      <c r="G7" s="321"/>
      <c r="H7" s="104" t="s">
        <v>1124</v>
      </c>
      <c r="I7" s="46" t="s">
        <v>1125</v>
      </c>
    </row>
    <row r="8" spans="1:9" ht="15.9" customHeight="1" x14ac:dyDescent="0.3">
      <c r="A8" s="13"/>
      <c r="B8" s="10"/>
      <c r="C8" s="72" t="str">
        <f>_xlfn.CONCAT(_xlfn.XLOOKUP("[S07_NoFurtherAllowancesSurrendered][1][InstallationIDCode]",Submission!$O:$O,Submission!$H:$N,""))</f>
        <v>Brak danych</v>
      </c>
      <c r="D8" s="261" t="str">
        <f>_xlfn.CONCAT(_xlfn.XLOOKUP("[S07_NoFurtherAllowancesSurrendered][1][OperatorName]",Submission!$O:$O,Submission!$H:$N,""))</f>
        <v/>
      </c>
      <c r="E8" s="263"/>
      <c r="F8" s="261" t="str">
        <f>_xlfn.CONCAT(_xlfn.XLOOKUP("[S07_NoFurtherAllowancesSurrendered][1][InstallationName]",Submission!$O:$O,Submission!$H:$N,""))</f>
        <v/>
      </c>
      <c r="G8" s="263"/>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61" t="str">
        <f>_xlfn.CONCAT(_xlfn.XLOOKUP("[S07_NoFurtherAllowancesSurrendered][2][OperatorName]",Submission!$O:$O,Submission!$H:$N,""))</f>
        <v/>
      </c>
      <c r="E9" s="263"/>
      <c r="F9" s="261" t="str">
        <f>_xlfn.CONCAT(_xlfn.XLOOKUP("[S07_NoFurtherAllowancesSurrendered][2][InstallationName]",Submission!$O:$O,Submission!$H:$N,""))</f>
        <v/>
      </c>
      <c r="G9" s="263"/>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61" t="str">
        <f>_xlfn.CONCAT(_xlfn.XLOOKUP("[S07_NoFurtherAllowancesSurrendered][3][OperatorName]",Submission!$O:$O,Submission!$H:$N,""))</f>
        <v/>
      </c>
      <c r="E10" s="263"/>
      <c r="F10" s="261" t="str">
        <f>_xlfn.CONCAT(_xlfn.XLOOKUP("[S07_NoFurtherAllowancesSurrendered][3][InstallationName]",Submission!$O:$O,Submission!$H:$N,""))</f>
        <v/>
      </c>
      <c r="G10" s="263"/>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61" t="str">
        <f>_xlfn.CONCAT(_xlfn.XLOOKUP("[S07_NoFurtherAllowancesSurrendered][4][OperatorName]",Submission!$O:$O,Submission!$H:$N,""))</f>
        <v/>
      </c>
      <c r="E11" s="263"/>
      <c r="F11" s="261" t="str">
        <f>_xlfn.CONCAT(_xlfn.XLOOKUP("[S07_NoFurtherAllowancesSurrendered][4][InstallationName]",Submission!$O:$O,Submission!$H:$N,""))</f>
        <v/>
      </c>
      <c r="G11" s="263"/>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61" t="str">
        <f>_xlfn.CONCAT(_xlfn.XLOOKUP("[S07_NoFurtherAllowancesSurrendered][5][OperatorName]",Submission!$O:$O,Submission!$H:$N,""))</f>
        <v/>
      </c>
      <c r="E12" s="263"/>
      <c r="F12" s="261" t="str">
        <f>_xlfn.CONCAT(_xlfn.XLOOKUP("[S07_NoFurtherAllowancesSurrendered][5][InstallationName]",Submission!$O:$O,Submission!$H:$N,""))</f>
        <v/>
      </c>
      <c r="G12" s="263"/>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61" t="str">
        <f>_xlfn.CONCAT(_xlfn.XLOOKUP("[S07_NoFurtherAllowancesSurrendered][6][OperatorName]",Submission!$O:$O,Submission!$H:$N,""))</f>
        <v/>
      </c>
      <c r="E13" s="263"/>
      <c r="F13" s="261" t="str">
        <f>_xlfn.CONCAT(_xlfn.XLOOKUP("[S07_NoFurtherAllowancesSurrendered][6][InstallationName]",Submission!$O:$O,Submission!$H:$N,""))</f>
        <v/>
      </c>
      <c r="G13" s="263"/>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61" t="str">
        <f>_xlfn.CONCAT(_xlfn.XLOOKUP("[S07_NoFurtherAllowancesSurrendered][7][OperatorName]",Submission!$O:$O,Submission!$H:$N,""))</f>
        <v/>
      </c>
      <c r="E14" s="263"/>
      <c r="F14" s="261" t="str">
        <f>_xlfn.CONCAT(_xlfn.XLOOKUP("[S07_NoFurtherAllowancesSurrendered][7][InstallationName]",Submission!$O:$O,Submission!$H:$N,""))</f>
        <v/>
      </c>
      <c r="G14" s="263"/>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61" t="str">
        <f>_xlfn.CONCAT(_xlfn.XLOOKUP("[S07_NoFurtherAllowancesSurrendered][8][OperatorName]",Submission!$O:$O,Submission!$H:$N,""))</f>
        <v/>
      </c>
      <c r="E15" s="263"/>
      <c r="F15" s="261" t="str">
        <f>_xlfn.CONCAT(_xlfn.XLOOKUP("[S07_NoFurtherAllowancesSurrendered][8][InstallationName]",Submission!$O:$O,Submission!$H:$N,""))</f>
        <v/>
      </c>
      <c r="G15" s="263"/>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61" t="str">
        <f>_xlfn.CONCAT(_xlfn.XLOOKUP("[S07_NoFurtherAllowancesSurrendered][9][OperatorName]",Submission!$O:$O,Submission!$H:$N,""))</f>
        <v/>
      </c>
      <c r="E16" s="263"/>
      <c r="F16" s="261" t="str">
        <f>_xlfn.CONCAT(_xlfn.XLOOKUP("[S07_NoFurtherAllowancesSurrendered][9][InstallationName]",Submission!$O:$O,Submission!$H:$N,""))</f>
        <v/>
      </c>
      <c r="G16" s="263"/>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61" t="str">
        <f>_xlfn.CONCAT(_xlfn.XLOOKUP("[S07_NoFurtherAllowancesSurrendered][10][OperatorName]",Submission!$O:$O,Submission!$H:$N,""))</f>
        <v/>
      </c>
      <c r="E17" s="263"/>
      <c r="F17" s="261" t="str">
        <f>_xlfn.CONCAT(_xlfn.XLOOKUP("[S07_NoFurtherAllowancesSurrendered][10][InstallationName]",Submission!$O:$O,Submission!$H:$N,""))</f>
        <v/>
      </c>
      <c r="G17" s="263"/>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82" t="s">
        <v>1033</v>
      </c>
      <c r="D19" s="283"/>
      <c r="E19" s="283"/>
      <c r="F19" s="283"/>
      <c r="G19" s="283"/>
      <c r="H19" s="283"/>
      <c r="I19" s="283"/>
    </row>
    <row r="20" spans="1:9" s="11" customFormat="1" ht="14.4" x14ac:dyDescent="0.3"/>
    <row r="21" spans="1:9" ht="32.1" customHeight="1" x14ac:dyDescent="0.3">
      <c r="A21" s="12" t="s">
        <v>445</v>
      </c>
      <c r="B21" s="341" t="s">
        <v>1126</v>
      </c>
      <c r="C21" s="311"/>
      <c r="D21" s="311"/>
      <c r="E21" s="311"/>
      <c r="F21" s="311"/>
      <c r="G21" s="311"/>
      <c r="H21" s="311"/>
      <c r="I21" s="311"/>
    </row>
    <row r="22" spans="1:9" ht="15.9" customHeight="1" x14ac:dyDescent="0.3">
      <c r="B22" s="11"/>
      <c r="C22" s="320" t="s">
        <v>1127</v>
      </c>
      <c r="D22" s="373"/>
      <c r="E22" s="373"/>
      <c r="F22" s="373"/>
      <c r="G22" s="321"/>
      <c r="H22" s="338" t="str">
        <f>_xlfn.CONCAT(_xlfn.XLOOKUP("[AircraftOperatorsMandateArt15UseNumber][0][AircraftOperatorsMandateArt15UseNumber]",Submission!$O:$O,Submission!$H:$N,""))</f>
        <v>0</v>
      </c>
      <c r="I22" s="459"/>
    </row>
    <row r="23" spans="1:9" ht="26.4" customHeight="1" x14ac:dyDescent="0.3">
      <c r="B23" s="11"/>
      <c r="C23" s="400" t="s">
        <v>1128</v>
      </c>
      <c r="D23" s="400"/>
      <c r="E23" s="400"/>
      <c r="F23" s="400"/>
      <c r="G23" s="400"/>
      <c r="H23" s="400"/>
      <c r="I23" s="400"/>
    </row>
    <row r="24" spans="1:9" s="27" customFormat="1" ht="15.9" customHeight="1" x14ac:dyDescent="0.3">
      <c r="B24" s="21"/>
      <c r="D24" s="21"/>
      <c r="E24" s="21"/>
      <c r="F24" s="21"/>
      <c r="G24" s="21"/>
      <c r="H24" s="21"/>
    </row>
    <row r="25" spans="1:9" ht="32.1" customHeight="1" x14ac:dyDescent="0.3">
      <c r="A25" s="12"/>
      <c r="B25" s="278" t="s">
        <v>1129</v>
      </c>
      <c r="C25" s="279"/>
      <c r="D25" s="279"/>
      <c r="E25" s="279"/>
      <c r="F25" s="279"/>
      <c r="G25" s="279"/>
      <c r="H25" s="279"/>
      <c r="I25" s="279"/>
    </row>
    <row r="26" spans="1:9" x14ac:dyDescent="0.3">
      <c r="A26" s="12"/>
      <c r="B26" s="10"/>
      <c r="C26" s="320" t="s">
        <v>1082</v>
      </c>
      <c r="D26" s="373"/>
      <c r="E26" s="373"/>
      <c r="F26" s="321"/>
      <c r="G26" s="360" t="s">
        <v>1130</v>
      </c>
      <c r="H26" s="360"/>
      <c r="I26" s="360"/>
    </row>
    <row r="27" spans="1:9" s="27" customFormat="1" ht="15.9" customHeight="1" x14ac:dyDescent="0.3">
      <c r="B27" s="10"/>
      <c r="C27" s="257" t="str">
        <f>_xlfn.CONCAT(_xlfn.XLOOKUP("[S07_AircraftOperatorsUseArt15MandateDetail][1][AircraftOperatorID]",Submission!$O:$O,Submission!$H:$N,""))</f>
        <v/>
      </c>
      <c r="D27" s="257"/>
      <c r="E27" s="257"/>
      <c r="F27" s="257"/>
      <c r="G27" s="257" t="str">
        <f>_xlfn.CONCAT(_xlfn.XLOOKUP("[S07_AircraftOperatorsUseArt15MandateDetail][1][AircraftOperatorName]",Submission!$O:$O,Submission!$H:$N,""))</f>
        <v/>
      </c>
      <c r="H27" s="257"/>
      <c r="I27" s="257"/>
    </row>
    <row r="28" spans="1:9" s="27" customFormat="1" ht="15.9" customHeight="1" x14ac:dyDescent="0.3">
      <c r="B28" s="10"/>
      <c r="C28" s="257" t="str">
        <f>_xlfn.CONCAT(_xlfn.XLOOKUP("[S07_AircraftOperatorsUseArt15MandateDetail][2][AircraftOperatorID]",Submission!$O:$O,Submission!$H:$N,""))</f>
        <v/>
      </c>
      <c r="D28" s="257"/>
      <c r="E28" s="257"/>
      <c r="F28" s="257"/>
      <c r="G28" s="257" t="str">
        <f>_xlfn.CONCAT(_xlfn.XLOOKUP("[S07_AircraftOperatorsUseArt15MandateDetail][2][AircraftOperatorName]",Submission!$O:$O,Submission!$H:$N,""))</f>
        <v/>
      </c>
      <c r="H28" s="257"/>
      <c r="I28" s="257"/>
    </row>
    <row r="29" spans="1:9" s="27" customFormat="1" ht="15.9" hidden="1" customHeight="1" outlineLevel="1" x14ac:dyDescent="0.3">
      <c r="B29" s="10"/>
      <c r="C29" s="257" t="str">
        <f>_xlfn.CONCAT(_xlfn.XLOOKUP("[S07_AircraftOperatorsUseArt15MandateDetail][3][AircraftOperatorID]",Submission!$O:$O,Submission!$H:$N,""))</f>
        <v/>
      </c>
      <c r="D29" s="257"/>
      <c r="E29" s="257"/>
      <c r="F29" s="257"/>
      <c r="G29" s="257" t="str">
        <f>_xlfn.CONCAT(_xlfn.XLOOKUP("[S07_AircraftOperatorsUseArt15MandateDetail][3][AircraftOperatorName]",Submission!$O:$O,Submission!$H:$N,""))</f>
        <v/>
      </c>
      <c r="H29" s="257"/>
      <c r="I29" s="257"/>
    </row>
    <row r="30" spans="1:9" s="27" customFormat="1" ht="15.9" hidden="1" customHeight="1" outlineLevel="1" x14ac:dyDescent="0.3">
      <c r="B30" s="10"/>
      <c r="C30" s="257" t="str">
        <f>_xlfn.CONCAT(_xlfn.XLOOKUP("[S07_AircraftOperatorsUseArt15MandateDetail][4][AircraftOperatorID]",Submission!$O:$O,Submission!$H:$N,""))</f>
        <v/>
      </c>
      <c r="D30" s="257"/>
      <c r="E30" s="257"/>
      <c r="F30" s="257"/>
      <c r="G30" s="257" t="str">
        <f>_xlfn.CONCAT(_xlfn.XLOOKUP("[S07_AircraftOperatorsUseArt15MandateDetail][4][AircraftOperatorName]",Submission!$O:$O,Submission!$H:$N,""))</f>
        <v/>
      </c>
      <c r="H30" s="257"/>
      <c r="I30" s="257"/>
    </row>
    <row r="31" spans="1:9" s="27" customFormat="1" ht="15.9" hidden="1" customHeight="1" outlineLevel="1" x14ac:dyDescent="0.3">
      <c r="B31" s="10"/>
      <c r="C31" s="257" t="str">
        <f>_xlfn.CONCAT(_xlfn.XLOOKUP("[S07_AircraftOperatorsUseArt15MandateDetail][5][AircraftOperatorID]",Submission!$O:$O,Submission!$H:$N,""))</f>
        <v/>
      </c>
      <c r="D31" s="257"/>
      <c r="E31" s="257"/>
      <c r="F31" s="257"/>
      <c r="G31" s="257" t="str">
        <f>_xlfn.CONCAT(_xlfn.XLOOKUP("[S07_AircraftOperatorsUseArt15MandateDetail][5][AircraftOperatorName]",Submission!$O:$O,Submission!$H:$N,""))</f>
        <v/>
      </c>
      <c r="H31" s="257"/>
      <c r="I31" s="257"/>
    </row>
    <row r="32" spans="1:9" s="27" customFormat="1" ht="15.9" hidden="1" customHeight="1" outlineLevel="1" x14ac:dyDescent="0.3">
      <c r="B32" s="10"/>
      <c r="C32" s="257" t="str">
        <f>_xlfn.CONCAT(_xlfn.XLOOKUP("[S07_AircraftOperatorsUseArt15MandateDetail][6][AircraftOperatorID]",Submission!$O:$O,Submission!$H:$N,""))</f>
        <v/>
      </c>
      <c r="D32" s="257"/>
      <c r="E32" s="257"/>
      <c r="F32" s="257"/>
      <c r="G32" s="257" t="str">
        <f>_xlfn.CONCAT(_xlfn.XLOOKUP("[S07_AircraftOperatorsUseArt15MandateDetail][6][AircraftOperatorName]",Submission!$O:$O,Submission!$H:$N,""))</f>
        <v/>
      </c>
      <c r="H32" s="257"/>
      <c r="I32" s="257"/>
    </row>
    <row r="33" spans="2:9" s="27" customFormat="1" ht="15.9" hidden="1" customHeight="1" outlineLevel="1" x14ac:dyDescent="0.3">
      <c r="B33" s="10"/>
      <c r="C33" s="257" t="str">
        <f>_xlfn.CONCAT(_xlfn.XLOOKUP("[S07_AircraftOperatorsUseArt15MandateDetail][7][AircraftOperatorID]",Submission!$O:$O,Submission!$H:$N,""))</f>
        <v/>
      </c>
      <c r="D33" s="257"/>
      <c r="E33" s="257"/>
      <c r="F33" s="257"/>
      <c r="G33" s="257" t="str">
        <f>_xlfn.CONCAT(_xlfn.XLOOKUP("[S07_AircraftOperatorsUseArt15MandateDetail][7][AircraftOperatorName]",Submission!$O:$O,Submission!$H:$N,""))</f>
        <v/>
      </c>
      <c r="H33" s="257"/>
      <c r="I33" s="257"/>
    </row>
    <row r="34" spans="2:9" s="27" customFormat="1" ht="15.9" hidden="1" customHeight="1" outlineLevel="1" x14ac:dyDescent="0.3">
      <c r="B34" s="10"/>
      <c r="C34" s="257" t="str">
        <f>_xlfn.CONCAT(_xlfn.XLOOKUP("[S07_AircraftOperatorsUseArt15MandateDetail][8][AircraftOperatorID]",Submission!$O:$O,Submission!$H:$N,""))</f>
        <v/>
      </c>
      <c r="D34" s="257"/>
      <c r="E34" s="257"/>
      <c r="F34" s="257"/>
      <c r="G34" s="257" t="str">
        <f>_xlfn.CONCAT(_xlfn.XLOOKUP("[S07_AircraftOperatorsUseArt15MandateDetail][8][AircraftOperatorName]",Submission!$O:$O,Submission!$H:$N,""))</f>
        <v/>
      </c>
      <c r="H34" s="257"/>
      <c r="I34" s="257"/>
    </row>
    <row r="35" spans="2:9" s="27" customFormat="1" ht="15.9" hidden="1" customHeight="1" outlineLevel="1" x14ac:dyDescent="0.3">
      <c r="B35" s="10"/>
      <c r="C35" s="257" t="str">
        <f>_xlfn.CONCAT(_xlfn.XLOOKUP("[S07_AircraftOperatorsUseArt15MandateDetail][9][AircraftOperatorID]",Submission!$O:$O,Submission!$H:$N,""))</f>
        <v/>
      </c>
      <c r="D35" s="257"/>
      <c r="E35" s="257"/>
      <c r="F35" s="257"/>
      <c r="G35" s="257" t="str">
        <f>_xlfn.CONCAT(_xlfn.XLOOKUP("[S07_AircraftOperatorsUseArt15MandateDetail][9][AircraftOperatorName]",Submission!$O:$O,Submission!$H:$N,""))</f>
        <v/>
      </c>
      <c r="H35" s="257"/>
      <c r="I35" s="257"/>
    </row>
    <row r="36" spans="2:9" s="27" customFormat="1" ht="15.9" hidden="1" customHeight="1" outlineLevel="1" x14ac:dyDescent="0.3">
      <c r="B36" s="10"/>
      <c r="C36" s="257" t="str">
        <f>_xlfn.CONCAT(_xlfn.XLOOKUP("[S07_AircraftOperatorsUseArt15MandateDetail][10][AircraftOperatorID]",Submission!$O:$O,Submission!$H:$N,""))</f>
        <v/>
      </c>
      <c r="D36" s="257"/>
      <c r="E36" s="257"/>
      <c r="F36" s="257"/>
      <c r="G36" s="257" t="str">
        <f>_xlfn.CONCAT(_xlfn.XLOOKUP("[S07_AircraftOperatorsUseArt15MandateDetail][10][AircraftOperatorName]",Submission!$O:$O,Submission!$H:$N,""))</f>
        <v/>
      </c>
      <c r="H36" s="257"/>
      <c r="I36" s="257"/>
    </row>
    <row r="37" spans="2:9" s="27" customFormat="1" ht="15.9" hidden="1" customHeight="1" outlineLevel="1" x14ac:dyDescent="0.3">
      <c r="B37" s="10"/>
      <c r="C37" s="257" t="str">
        <f>_xlfn.CONCAT(_xlfn.XLOOKUP("[S07_AircraftOperatorsUseArt15MandateDetail][11][AircraftOperatorID]",Submission!$O:$O,Submission!$H:$N,""))</f>
        <v/>
      </c>
      <c r="D37" s="257"/>
      <c r="E37" s="257"/>
      <c r="F37" s="257"/>
      <c r="G37" s="257" t="str">
        <f>_xlfn.CONCAT(_xlfn.XLOOKUP("[S07_AircraftOperatorsUseArt15MandateDetail][11][AircraftOperatorName]",Submission!$O:$O,Submission!$H:$N,""))</f>
        <v/>
      </c>
      <c r="H37" s="257"/>
      <c r="I37" s="257"/>
    </row>
    <row r="38" spans="2:9" s="27" customFormat="1" ht="15.9" hidden="1" customHeight="1" outlineLevel="1" x14ac:dyDescent="0.3">
      <c r="B38" s="10"/>
      <c r="C38" s="257" t="str">
        <f>_xlfn.CONCAT(_xlfn.XLOOKUP("[S07_AircraftOperatorsUseArt15MandateDetail][12][AircraftOperatorID]",Submission!$O:$O,Submission!$H:$N,""))</f>
        <v/>
      </c>
      <c r="D38" s="257"/>
      <c r="E38" s="257"/>
      <c r="F38" s="257"/>
      <c r="G38" s="257" t="str">
        <f>_xlfn.CONCAT(_xlfn.XLOOKUP("[S07_AircraftOperatorsUseArt15MandateDetail][12][AircraftOperatorName]",Submission!$O:$O,Submission!$H:$N,""))</f>
        <v/>
      </c>
      <c r="H38" s="257"/>
      <c r="I38" s="257"/>
    </row>
    <row r="39" spans="2:9" s="27" customFormat="1" ht="15.9" hidden="1" customHeight="1" outlineLevel="1" x14ac:dyDescent="0.3">
      <c r="B39" s="10"/>
      <c r="C39" s="257" t="str">
        <f>_xlfn.CONCAT(_xlfn.XLOOKUP("[S07_AircraftOperatorsUseArt15MandateDetail][13][AircraftOperatorID]",Submission!$O:$O,Submission!$H:$N,""))</f>
        <v/>
      </c>
      <c r="D39" s="257"/>
      <c r="E39" s="257"/>
      <c r="F39" s="257"/>
      <c r="G39" s="257" t="str">
        <f>_xlfn.CONCAT(_xlfn.XLOOKUP("[S07_AircraftOperatorsUseArt15MandateDetail][13][AircraftOperatorName]",Submission!$O:$O,Submission!$H:$N,""))</f>
        <v/>
      </c>
      <c r="H39" s="257"/>
      <c r="I39" s="257"/>
    </row>
    <row r="40" spans="2:9" s="27" customFormat="1" ht="15.9" hidden="1" customHeight="1" outlineLevel="1" x14ac:dyDescent="0.3">
      <c r="B40" s="10"/>
      <c r="C40" s="257" t="str">
        <f>_xlfn.CONCAT(_xlfn.XLOOKUP("[S07_AircraftOperatorsUseArt15MandateDetail][14][AircraftOperatorID]",Submission!$O:$O,Submission!$H:$N,""))</f>
        <v/>
      </c>
      <c r="D40" s="257"/>
      <c r="E40" s="257"/>
      <c r="F40" s="257"/>
      <c r="G40" s="257" t="str">
        <f>_xlfn.CONCAT(_xlfn.XLOOKUP("[S07_AircraftOperatorsUseArt15MandateDetail][14][AircraftOperatorName]",Submission!$O:$O,Submission!$H:$N,""))</f>
        <v/>
      </c>
      <c r="H40" s="257"/>
      <c r="I40" s="257"/>
    </row>
    <row r="41" spans="2:9" s="27" customFormat="1" ht="15.9" hidden="1" customHeight="1" outlineLevel="1" x14ac:dyDescent="0.3">
      <c r="B41" s="10"/>
      <c r="C41" s="257" t="str">
        <f>_xlfn.CONCAT(_xlfn.XLOOKUP("[S07_AircraftOperatorsUseArt15MandateDetail][15][AircraftOperatorID]",Submission!$O:$O,Submission!$H:$N,""))</f>
        <v/>
      </c>
      <c r="D41" s="257"/>
      <c r="E41" s="257"/>
      <c r="F41" s="257"/>
      <c r="G41" s="257" t="str">
        <f>_xlfn.CONCAT(_xlfn.XLOOKUP("[S07_AircraftOperatorsUseArt15MandateDetail][15][AircraftOperatorName]",Submission!$O:$O,Submission!$H:$N,""))</f>
        <v/>
      </c>
      <c r="H41" s="257"/>
      <c r="I41" s="257"/>
    </row>
    <row r="42" spans="2:9" s="27" customFormat="1" ht="15.9" hidden="1" customHeight="1" outlineLevel="1" x14ac:dyDescent="0.3">
      <c r="B42" s="10"/>
      <c r="C42" s="257" t="str">
        <f>_xlfn.CONCAT(_xlfn.XLOOKUP("[S07_AircraftOperatorsUseArt15MandateDetail][16][AircraftOperatorID]",Submission!$O:$O,Submission!$H:$N,""))</f>
        <v/>
      </c>
      <c r="D42" s="257"/>
      <c r="E42" s="257"/>
      <c r="F42" s="257"/>
      <c r="G42" s="257" t="str">
        <f>_xlfn.CONCAT(_xlfn.XLOOKUP("[S07_AircraftOperatorsUseArt15MandateDetail][16][AircraftOperatorName]",Submission!$O:$O,Submission!$H:$N,""))</f>
        <v/>
      </c>
      <c r="H42" s="257"/>
      <c r="I42" s="257"/>
    </row>
    <row r="43" spans="2:9" s="27" customFormat="1" ht="15.9" hidden="1" customHeight="1" outlineLevel="1" x14ac:dyDescent="0.3">
      <c r="B43" s="10"/>
      <c r="C43" s="257" t="str">
        <f>_xlfn.CONCAT(_xlfn.XLOOKUP("[S07_AircraftOperatorsUseArt15MandateDetail][17][AircraftOperatorID]",Submission!$O:$O,Submission!$H:$N,""))</f>
        <v/>
      </c>
      <c r="D43" s="257"/>
      <c r="E43" s="257"/>
      <c r="F43" s="257"/>
      <c r="G43" s="257" t="str">
        <f>_xlfn.CONCAT(_xlfn.XLOOKUP("[S07_AircraftOperatorsUseArt15MandateDetail][17][AircraftOperatorName]",Submission!$O:$O,Submission!$H:$N,""))</f>
        <v/>
      </c>
      <c r="H43" s="257"/>
      <c r="I43" s="257"/>
    </row>
    <row r="44" spans="2:9" s="27" customFormat="1" ht="15.9" hidden="1" customHeight="1" outlineLevel="1" x14ac:dyDescent="0.3">
      <c r="B44" s="10"/>
      <c r="C44" s="257" t="str">
        <f>_xlfn.CONCAT(_xlfn.XLOOKUP("[S07_AircraftOperatorsUseArt15MandateDetail][18][AircraftOperatorID]",Submission!$O:$O,Submission!$H:$N,""))</f>
        <v/>
      </c>
      <c r="D44" s="257"/>
      <c r="E44" s="257"/>
      <c r="F44" s="257"/>
      <c r="G44" s="257" t="str">
        <f>_xlfn.CONCAT(_xlfn.XLOOKUP("[S07_AircraftOperatorsUseArt15MandateDetail][18][AircraftOperatorName]",Submission!$O:$O,Submission!$H:$N,""))</f>
        <v/>
      </c>
      <c r="H44" s="257"/>
      <c r="I44" s="257"/>
    </row>
    <row r="45" spans="2:9" s="27" customFormat="1" ht="15.9" hidden="1" customHeight="1" outlineLevel="1" x14ac:dyDescent="0.3">
      <c r="B45" s="10"/>
      <c r="C45" s="257" t="str">
        <f>_xlfn.CONCAT(_xlfn.XLOOKUP("[S07_AircraftOperatorsUseArt15MandateDetail][19][AircraftOperatorID]",Submission!$O:$O,Submission!$H:$N,""))</f>
        <v/>
      </c>
      <c r="D45" s="257"/>
      <c r="E45" s="257"/>
      <c r="F45" s="257"/>
      <c r="G45" s="257" t="str">
        <f>_xlfn.CONCAT(_xlfn.XLOOKUP("[S07_AircraftOperatorsUseArt15MandateDetail][19][AircraftOperatorName]",Submission!$O:$O,Submission!$H:$N,""))</f>
        <v/>
      </c>
      <c r="H45" s="257"/>
      <c r="I45" s="257"/>
    </row>
    <row r="46" spans="2:9" s="27" customFormat="1" ht="15.9" hidden="1" customHeight="1" outlineLevel="1" x14ac:dyDescent="0.3">
      <c r="B46" s="10"/>
      <c r="C46" s="257" t="str">
        <f>_xlfn.CONCAT(_xlfn.XLOOKUP("[S07_AircraftOperatorsUseArt15MandateDetail][20][AircraftOperatorID]",Submission!$O:$O,Submission!$H:$N,""))</f>
        <v/>
      </c>
      <c r="D46" s="257"/>
      <c r="E46" s="257"/>
      <c r="F46" s="257"/>
      <c r="G46" s="257" t="str">
        <f>_xlfn.CONCAT(_xlfn.XLOOKUP("[S07_AircraftOperatorsUseArt15MandateDetail][20][AircraftOperatorName]",Submission!$O:$O,Submission!$H:$N,""))</f>
        <v/>
      </c>
      <c r="H46" s="257"/>
      <c r="I46" s="257"/>
    </row>
    <row r="47" spans="2:9" s="27" customFormat="1" ht="15.9" hidden="1" customHeight="1" outlineLevel="1" x14ac:dyDescent="0.3">
      <c r="B47" s="10"/>
      <c r="C47" s="257" t="str">
        <f>_xlfn.CONCAT(_xlfn.XLOOKUP("[S07_AircraftOperatorsUseArt15MandateDetail][21][AircraftOperatorID]",Submission!$O:$O,Submission!$H:$N,""))</f>
        <v/>
      </c>
      <c r="D47" s="257"/>
      <c r="E47" s="257"/>
      <c r="F47" s="257"/>
      <c r="G47" s="257" t="str">
        <f>_xlfn.CONCAT(_xlfn.XLOOKUP("[S07_AircraftOperatorsUseArt15MandateDetail][21][AircraftOperatorName]",Submission!$O:$O,Submission!$H:$N,""))</f>
        <v/>
      </c>
      <c r="H47" s="257"/>
      <c r="I47" s="257"/>
    </row>
    <row r="48" spans="2:9" s="27" customFormat="1" ht="15.9" hidden="1" customHeight="1" outlineLevel="1" x14ac:dyDescent="0.3">
      <c r="B48" s="10"/>
      <c r="C48" s="257" t="str">
        <f>_xlfn.CONCAT(_xlfn.XLOOKUP("[S07_AircraftOperatorsUseArt15MandateDetail][22][AircraftOperatorID]",Submission!$O:$O,Submission!$H:$N,""))</f>
        <v/>
      </c>
      <c r="D48" s="257"/>
      <c r="E48" s="257"/>
      <c r="F48" s="257"/>
      <c r="G48" s="257" t="str">
        <f>_xlfn.CONCAT(_xlfn.XLOOKUP("[S07_AircraftOperatorsUseArt15MandateDetail][22][AircraftOperatorName]",Submission!$O:$O,Submission!$H:$N,""))</f>
        <v/>
      </c>
      <c r="H48" s="257"/>
      <c r="I48" s="257"/>
    </row>
    <row r="49" spans="2:9" s="27" customFormat="1" ht="15.9" hidden="1" customHeight="1" outlineLevel="1" x14ac:dyDescent="0.3">
      <c r="B49" s="10"/>
      <c r="C49" s="257" t="str">
        <f>_xlfn.CONCAT(_xlfn.XLOOKUP("[S07_AircraftOperatorsUseArt15MandateDetail][23][AircraftOperatorID]",Submission!$O:$O,Submission!$H:$N,""))</f>
        <v/>
      </c>
      <c r="D49" s="257"/>
      <c r="E49" s="257"/>
      <c r="F49" s="257"/>
      <c r="G49" s="257" t="str">
        <f>_xlfn.CONCAT(_xlfn.XLOOKUP("[S07_AircraftOperatorsUseArt15MandateDetail][23][AircraftOperatorName]",Submission!$O:$O,Submission!$H:$N,""))</f>
        <v/>
      </c>
      <c r="H49" s="257"/>
      <c r="I49" s="257"/>
    </row>
    <row r="50" spans="2:9" s="27" customFormat="1" ht="15.9" hidden="1" customHeight="1" outlineLevel="1" x14ac:dyDescent="0.3">
      <c r="B50" s="10"/>
      <c r="C50" s="257" t="str">
        <f>_xlfn.CONCAT(_xlfn.XLOOKUP("[S07_AircraftOperatorsUseArt15MandateDetail][24][AircraftOperatorID]",Submission!$O:$O,Submission!$H:$N,""))</f>
        <v/>
      </c>
      <c r="D50" s="257"/>
      <c r="E50" s="257"/>
      <c r="F50" s="257"/>
      <c r="G50" s="257" t="str">
        <f>_xlfn.CONCAT(_xlfn.XLOOKUP("[S07_AircraftOperatorsUseArt15MandateDetail][24][AircraftOperatorName]",Submission!$O:$O,Submission!$H:$N,""))</f>
        <v/>
      </c>
      <c r="H50" s="257"/>
      <c r="I50" s="257"/>
    </row>
    <row r="51" spans="2:9" s="27" customFormat="1" ht="15.9" hidden="1" customHeight="1" outlineLevel="1" x14ac:dyDescent="0.3">
      <c r="B51" s="10"/>
      <c r="C51" s="257" t="str">
        <f>_xlfn.CONCAT(_xlfn.XLOOKUP("[S07_AircraftOperatorsUseArt15MandateDetail][25][AircraftOperatorID]",Submission!$O:$O,Submission!$H:$N,""))</f>
        <v/>
      </c>
      <c r="D51" s="257"/>
      <c r="E51" s="257"/>
      <c r="F51" s="257"/>
      <c r="G51" s="257" t="str">
        <f>_xlfn.CONCAT(_xlfn.XLOOKUP("[S07_AircraftOperatorsUseArt15MandateDetail][25][AircraftOperatorName]",Submission!$O:$O,Submission!$H:$N,""))</f>
        <v/>
      </c>
      <c r="H51" s="257"/>
      <c r="I51" s="257"/>
    </row>
    <row r="52" spans="2:9" s="27" customFormat="1" ht="15.9" hidden="1" customHeight="1" outlineLevel="1" x14ac:dyDescent="0.3">
      <c r="B52" s="10"/>
      <c r="C52" s="257" t="str">
        <f>_xlfn.CONCAT(_xlfn.XLOOKUP("[S07_AircraftOperatorsUseArt15MandateDetail][26][AircraftOperatorID]",Submission!$O:$O,Submission!$H:$N,""))</f>
        <v/>
      </c>
      <c r="D52" s="257"/>
      <c r="E52" s="257"/>
      <c r="F52" s="257"/>
      <c r="G52" s="257" t="str">
        <f>_xlfn.CONCAT(_xlfn.XLOOKUP("[S07_AircraftOperatorsUseArt15MandateDetail][26][AircraftOperatorName]",Submission!$O:$O,Submission!$H:$N,""))</f>
        <v/>
      </c>
      <c r="H52" s="257"/>
      <c r="I52" s="257"/>
    </row>
    <row r="53" spans="2:9" s="27" customFormat="1" ht="15.9" hidden="1" customHeight="1" outlineLevel="1" x14ac:dyDescent="0.3">
      <c r="B53" s="10"/>
      <c r="C53" s="257" t="str">
        <f>_xlfn.CONCAT(_xlfn.XLOOKUP("[S07_AircraftOperatorsUseArt15MandateDetail][27][AircraftOperatorID]",Submission!$O:$O,Submission!$H:$N,""))</f>
        <v/>
      </c>
      <c r="D53" s="257"/>
      <c r="E53" s="257"/>
      <c r="F53" s="257"/>
      <c r="G53" s="257" t="str">
        <f>_xlfn.CONCAT(_xlfn.XLOOKUP("[S07_AircraftOperatorsUseArt15MandateDetail][27][AircraftOperatorName]",Submission!$O:$O,Submission!$H:$N,""))</f>
        <v/>
      </c>
      <c r="H53" s="257"/>
      <c r="I53" s="257"/>
    </row>
    <row r="54" spans="2:9" s="27" customFormat="1" ht="15.9" hidden="1" customHeight="1" outlineLevel="1" x14ac:dyDescent="0.3">
      <c r="B54" s="10"/>
      <c r="C54" s="257" t="str">
        <f>_xlfn.CONCAT(_xlfn.XLOOKUP("[S07_AircraftOperatorsUseArt15MandateDetail][28][AircraftOperatorID]",Submission!$O:$O,Submission!$H:$N,""))</f>
        <v/>
      </c>
      <c r="D54" s="257"/>
      <c r="E54" s="257"/>
      <c r="F54" s="257"/>
      <c r="G54" s="257" t="str">
        <f>_xlfn.CONCAT(_xlfn.XLOOKUP("[S07_AircraftOperatorsUseArt15MandateDetail][28][AircraftOperatorName]",Submission!$O:$O,Submission!$H:$N,""))</f>
        <v/>
      </c>
      <c r="H54" s="257"/>
      <c r="I54" s="257"/>
    </row>
    <row r="55" spans="2:9" s="27" customFormat="1" ht="15.9" hidden="1" customHeight="1" outlineLevel="1" x14ac:dyDescent="0.3">
      <c r="B55" s="10"/>
      <c r="C55" s="257" t="str">
        <f>_xlfn.CONCAT(_xlfn.XLOOKUP("[S07_AircraftOperatorsUseArt15MandateDetail][29][AircraftOperatorID]",Submission!$O:$O,Submission!$H:$N,""))</f>
        <v/>
      </c>
      <c r="D55" s="257"/>
      <c r="E55" s="257"/>
      <c r="F55" s="257"/>
      <c r="G55" s="257" t="str">
        <f>_xlfn.CONCAT(_xlfn.XLOOKUP("[S07_AircraftOperatorsUseArt15MandateDetail][29][AircraftOperatorName]",Submission!$O:$O,Submission!$H:$N,""))</f>
        <v/>
      </c>
      <c r="H55" s="257"/>
      <c r="I55" s="257"/>
    </row>
    <row r="56" spans="2:9" s="27" customFormat="1" ht="15.9" hidden="1" customHeight="1" outlineLevel="1" x14ac:dyDescent="0.3">
      <c r="B56" s="10"/>
      <c r="C56" s="257" t="str">
        <f>_xlfn.CONCAT(_xlfn.XLOOKUP("[S07_AircraftOperatorsUseArt15MandateDetail][30][AircraftOperatorID]",Submission!$O:$O,Submission!$H:$N,""))</f>
        <v/>
      </c>
      <c r="D56" s="257"/>
      <c r="E56" s="257"/>
      <c r="F56" s="257"/>
      <c r="G56" s="257" t="str">
        <f>_xlfn.CONCAT(_xlfn.XLOOKUP("[S07_AircraftOperatorsUseArt15MandateDetail][30][AircraftOperatorName]",Submission!$O:$O,Submission!$H:$N,""))</f>
        <v/>
      </c>
      <c r="H56" s="257"/>
      <c r="I56" s="257"/>
    </row>
    <row r="57" spans="2:9" s="27" customFormat="1" ht="15.9" hidden="1" customHeight="1" outlineLevel="1" x14ac:dyDescent="0.3">
      <c r="B57" s="10"/>
      <c r="C57" s="257" t="str">
        <f>_xlfn.CONCAT(_xlfn.XLOOKUP("[S07_AircraftOperatorsUseArt15MandateDetail][31][AircraftOperatorID]",Submission!$O:$O,Submission!$H:$N,""))</f>
        <v/>
      </c>
      <c r="D57" s="257"/>
      <c r="E57" s="257"/>
      <c r="F57" s="257"/>
      <c r="G57" s="257" t="str">
        <f>_xlfn.CONCAT(_xlfn.XLOOKUP("[S07_AircraftOperatorsUseArt15MandateDetail][31][AircraftOperatorName]",Submission!$O:$O,Submission!$H:$N,""))</f>
        <v/>
      </c>
      <c r="H57" s="257"/>
      <c r="I57" s="257"/>
    </row>
    <row r="58" spans="2:9" s="27" customFormat="1" ht="15.9" hidden="1" customHeight="1" outlineLevel="1" x14ac:dyDescent="0.3">
      <c r="B58" s="10"/>
      <c r="C58" s="257" t="str">
        <f>_xlfn.CONCAT(_xlfn.XLOOKUP("[S07_AircraftOperatorsUseArt15MandateDetail][32][AircraftOperatorID]",Submission!$O:$O,Submission!$H:$N,""))</f>
        <v/>
      </c>
      <c r="D58" s="257"/>
      <c r="E58" s="257"/>
      <c r="F58" s="257"/>
      <c r="G58" s="257" t="str">
        <f>_xlfn.CONCAT(_xlfn.XLOOKUP("[S07_AircraftOperatorsUseArt15MandateDetail][32][AircraftOperatorName]",Submission!$O:$O,Submission!$H:$N,""))</f>
        <v/>
      </c>
      <c r="H58" s="257"/>
      <c r="I58" s="257"/>
    </row>
    <row r="59" spans="2:9" s="27" customFormat="1" ht="15.9" hidden="1" customHeight="1" outlineLevel="1" x14ac:dyDescent="0.3">
      <c r="B59" s="10"/>
      <c r="C59" s="257" t="str">
        <f>_xlfn.CONCAT(_xlfn.XLOOKUP("[S07_AircraftOperatorsUseArt15MandateDetail][33][AircraftOperatorID]",Submission!$O:$O,Submission!$H:$N,""))</f>
        <v/>
      </c>
      <c r="D59" s="257"/>
      <c r="E59" s="257"/>
      <c r="F59" s="257"/>
      <c r="G59" s="257" t="str">
        <f>_xlfn.CONCAT(_xlfn.XLOOKUP("[S07_AircraftOperatorsUseArt15MandateDetail][33][AircraftOperatorName]",Submission!$O:$O,Submission!$H:$N,""))</f>
        <v/>
      </c>
      <c r="H59" s="257"/>
      <c r="I59" s="257"/>
    </row>
    <row r="60" spans="2:9" s="27" customFormat="1" ht="15.9" hidden="1" customHeight="1" outlineLevel="1" x14ac:dyDescent="0.3">
      <c r="B60" s="10"/>
      <c r="C60" s="257" t="str">
        <f>_xlfn.CONCAT(_xlfn.XLOOKUP("[S07_AircraftOperatorsUseArt15MandateDetail][34][AircraftOperatorID]",Submission!$O:$O,Submission!$H:$N,""))</f>
        <v/>
      </c>
      <c r="D60" s="257"/>
      <c r="E60" s="257"/>
      <c r="F60" s="257"/>
      <c r="G60" s="257" t="str">
        <f>_xlfn.CONCAT(_xlfn.XLOOKUP("[S07_AircraftOperatorsUseArt15MandateDetail][34][AircraftOperatorName]",Submission!$O:$O,Submission!$H:$N,""))</f>
        <v/>
      </c>
      <c r="H60" s="257"/>
      <c r="I60" s="257"/>
    </row>
    <row r="61" spans="2:9" s="27" customFormat="1" ht="15.9" hidden="1" customHeight="1" outlineLevel="1" x14ac:dyDescent="0.3">
      <c r="B61" s="10"/>
      <c r="C61" s="257" t="str">
        <f>_xlfn.CONCAT(_xlfn.XLOOKUP("[S07_AircraftOperatorsUseArt15MandateDetail][35][AircraftOperatorID]",Submission!$O:$O,Submission!$H:$N,""))</f>
        <v/>
      </c>
      <c r="D61" s="257"/>
      <c r="E61" s="257"/>
      <c r="F61" s="257"/>
      <c r="G61" s="257" t="str">
        <f>_xlfn.CONCAT(_xlfn.XLOOKUP("[S07_AircraftOperatorsUseArt15MandateDetail][35][AircraftOperatorName]",Submission!$O:$O,Submission!$H:$N,""))</f>
        <v/>
      </c>
      <c r="H61" s="257"/>
      <c r="I61" s="257"/>
    </row>
    <row r="62" spans="2:9" s="27" customFormat="1" ht="15.9" hidden="1" customHeight="1" outlineLevel="1" x14ac:dyDescent="0.3">
      <c r="B62" s="10"/>
      <c r="C62" s="257" t="str">
        <f>_xlfn.CONCAT(_xlfn.XLOOKUP("[S07_AircraftOperatorsUseArt15MandateDetail][36][AircraftOperatorID]",Submission!$O:$O,Submission!$H:$N,""))</f>
        <v/>
      </c>
      <c r="D62" s="257"/>
      <c r="E62" s="257"/>
      <c r="F62" s="257"/>
      <c r="G62" s="257" t="str">
        <f>_xlfn.CONCAT(_xlfn.XLOOKUP("[S07_AircraftOperatorsUseArt15MandateDetail][36][AircraftOperatorName]",Submission!$O:$O,Submission!$H:$N,""))</f>
        <v/>
      </c>
      <c r="H62" s="257"/>
      <c r="I62" s="257"/>
    </row>
    <row r="63" spans="2:9" s="27" customFormat="1" ht="15.9" hidden="1" customHeight="1" outlineLevel="1" x14ac:dyDescent="0.3">
      <c r="B63" s="10"/>
      <c r="C63" s="257" t="str">
        <f>_xlfn.CONCAT(_xlfn.XLOOKUP("[S07_AircraftOperatorsUseArt15MandateDetail][37][AircraftOperatorID]",Submission!$O:$O,Submission!$H:$N,""))</f>
        <v/>
      </c>
      <c r="D63" s="257"/>
      <c r="E63" s="257"/>
      <c r="F63" s="257"/>
      <c r="G63" s="257" t="str">
        <f>_xlfn.CONCAT(_xlfn.XLOOKUP("[S07_AircraftOperatorsUseArt15MandateDetail][37][AircraftOperatorName]",Submission!$O:$O,Submission!$H:$N,""))</f>
        <v/>
      </c>
      <c r="H63" s="257"/>
      <c r="I63" s="257"/>
    </row>
    <row r="64" spans="2:9" s="27" customFormat="1" ht="15.9" hidden="1" customHeight="1" outlineLevel="1" x14ac:dyDescent="0.3">
      <c r="B64" s="10"/>
      <c r="C64" s="257" t="str">
        <f>_xlfn.CONCAT(_xlfn.XLOOKUP("[S07_AircraftOperatorsUseArt15MandateDetail][38][AircraftOperatorID]",Submission!$O:$O,Submission!$H:$N,""))</f>
        <v/>
      </c>
      <c r="D64" s="257"/>
      <c r="E64" s="257"/>
      <c r="F64" s="257"/>
      <c r="G64" s="257" t="str">
        <f>_xlfn.CONCAT(_xlfn.XLOOKUP("[S07_AircraftOperatorsUseArt15MandateDetail][38][AircraftOperatorName]",Submission!$O:$O,Submission!$H:$N,""))</f>
        <v/>
      </c>
      <c r="H64" s="257"/>
      <c r="I64" s="257"/>
    </row>
    <row r="65" spans="1:9" s="27" customFormat="1" ht="15.9" hidden="1" customHeight="1" outlineLevel="1" x14ac:dyDescent="0.3">
      <c r="B65" s="10"/>
      <c r="C65" s="257" t="str">
        <f>_xlfn.CONCAT(_xlfn.XLOOKUP("[S07_AircraftOperatorsUseArt15MandateDetail][39][AircraftOperatorID]",Submission!$O:$O,Submission!$H:$N,""))</f>
        <v/>
      </c>
      <c r="D65" s="257"/>
      <c r="E65" s="257"/>
      <c r="F65" s="257"/>
      <c r="G65" s="257" t="str">
        <f>_xlfn.CONCAT(_xlfn.XLOOKUP("[S07_AircraftOperatorsUseArt15MandateDetail][39][AircraftOperatorName]",Submission!$O:$O,Submission!$H:$N,""))</f>
        <v/>
      </c>
      <c r="H65" s="257"/>
      <c r="I65" s="257"/>
    </row>
    <row r="66" spans="1:9" s="27" customFormat="1" ht="15.9" hidden="1" customHeight="1" outlineLevel="1" x14ac:dyDescent="0.3">
      <c r="B66" s="10"/>
      <c r="C66" s="257" t="str">
        <f>_xlfn.CONCAT(_xlfn.XLOOKUP("[S07_AircraftOperatorsUseArt15MandateDetail][40][AircraftOperatorID]",Submission!$O:$O,Submission!$H:$N,""))</f>
        <v/>
      </c>
      <c r="D66" s="257"/>
      <c r="E66" s="257"/>
      <c r="F66" s="257"/>
      <c r="G66" s="257" t="str">
        <f>_xlfn.CONCAT(_xlfn.XLOOKUP("[S07_AircraftOperatorsUseArt15MandateDetail][40][AircraftOperatorName]",Submission!$O:$O,Submission!$H:$N,""))</f>
        <v/>
      </c>
      <c r="H66" s="257"/>
      <c r="I66" s="257"/>
    </row>
    <row r="67" spans="1:9" ht="15.9" customHeight="1" collapsed="1" x14ac:dyDescent="0.3">
      <c r="A67" s="13"/>
      <c r="B67" s="26" t="s">
        <v>2</v>
      </c>
      <c r="C67" s="19"/>
      <c r="D67" s="20"/>
      <c r="E67" s="20"/>
      <c r="F67" s="20"/>
      <c r="G67" s="20"/>
      <c r="H67" s="20"/>
      <c r="I67" s="20"/>
    </row>
    <row r="68" spans="1:9" ht="15.9" customHeight="1" x14ac:dyDescent="0.3">
      <c r="C68" s="282" t="s">
        <v>1131</v>
      </c>
      <c r="D68" s="283"/>
      <c r="E68" s="283"/>
      <c r="F68" s="283"/>
      <c r="G68" s="283"/>
      <c r="H68" s="283"/>
      <c r="I68" s="283"/>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136"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12" t="s">
        <v>450</v>
      </c>
      <c r="C3" s="312"/>
      <c r="D3" s="312"/>
      <c r="E3" s="312"/>
      <c r="F3" s="312"/>
      <c r="G3" s="312"/>
      <c r="H3" s="312"/>
      <c r="I3" s="312"/>
    </row>
    <row r="4" spans="1:9" s="7" customFormat="1" ht="18.899999999999999" customHeight="1" x14ac:dyDescent="0.35">
      <c r="A4" s="85" t="s">
        <v>451</v>
      </c>
      <c r="B4" s="313" t="s">
        <v>145</v>
      </c>
      <c r="C4" s="313"/>
      <c r="D4" s="313"/>
      <c r="E4" s="313"/>
      <c r="F4" s="313"/>
      <c r="G4" s="313"/>
      <c r="H4" s="313"/>
      <c r="I4" s="314"/>
    </row>
    <row r="5" spans="1:9" s="7" customFormat="1" ht="15.6" customHeight="1" x14ac:dyDescent="0.3">
      <c r="A5" s="12" t="s">
        <v>452</v>
      </c>
      <c r="B5" s="483" t="s">
        <v>1132</v>
      </c>
      <c r="C5" s="483"/>
      <c r="D5" s="483"/>
      <c r="E5" s="483"/>
      <c r="F5" s="483"/>
      <c r="G5" s="483"/>
      <c r="H5" s="483"/>
      <c r="I5" s="483"/>
    </row>
    <row r="6" spans="1:9" s="11" customFormat="1" ht="33" customHeight="1" x14ac:dyDescent="0.3">
      <c r="A6" s="12"/>
      <c r="B6" s="341" t="s">
        <v>1133</v>
      </c>
      <c r="C6" s="311"/>
      <c r="D6" s="311"/>
      <c r="E6" s="311"/>
      <c r="F6" s="311"/>
      <c r="G6" s="311"/>
      <c r="H6" s="348"/>
      <c r="I6" s="41" t="str">
        <f>_xlfn.CONCAT(_xlfn.XLOOKUP("[CommissionTemplatesAllocation][0][CommissionTemplatesAllocation]",Submission!$O:$O,Submission!$H:$N,""))</f>
        <v>Yes</v>
      </c>
    </row>
    <row r="7" spans="1:9" ht="49.95" customHeight="1" x14ac:dyDescent="0.3">
      <c r="A7" s="13"/>
      <c r="B7" s="341" t="s">
        <v>1134</v>
      </c>
      <c r="C7" s="311"/>
      <c r="D7" s="311"/>
      <c r="E7" s="311"/>
      <c r="F7" s="311"/>
      <c r="G7" s="311"/>
      <c r="H7" s="311"/>
      <c r="I7" s="311"/>
    </row>
    <row r="8" spans="1:9" x14ac:dyDescent="0.3">
      <c r="C8" s="517"/>
      <c r="D8" s="518"/>
      <c r="E8" s="322" t="s">
        <v>1135</v>
      </c>
      <c r="F8" s="324"/>
      <c r="G8" s="322" t="s">
        <v>1136</v>
      </c>
      <c r="H8" s="323"/>
      <c r="I8" s="324"/>
    </row>
    <row r="9" spans="1:9" ht="27.6" customHeight="1" x14ac:dyDescent="0.3">
      <c r="C9" s="322" t="s">
        <v>1137</v>
      </c>
      <c r="D9" s="324"/>
      <c r="E9" s="277" t="str">
        <f>_xlfn.CONCAT(_xlfn.XLOOKUP("[S08_MSCustomisedTemplatesAllocation][1][SpecificTemplateOrFileFormat]",Submission!$O:$O,Submission!$H:$N,""))</f>
        <v/>
      </c>
      <c r="F9" s="367"/>
      <c r="G9" s="513" t="str">
        <f>_xlfn.CONCAT(_xlfn.XLOOKUP("[S08_MSCustomisedTemplatesAllocation][1][HowTemplateSpecific]",Submission!$O:$O,Submission!$H:$N,""))</f>
        <v/>
      </c>
      <c r="H9" s="514"/>
      <c r="I9" s="515"/>
    </row>
    <row r="10" spans="1:9" ht="27.6" customHeight="1" x14ac:dyDescent="0.3">
      <c r="C10" s="360" t="s">
        <v>1138</v>
      </c>
      <c r="D10" s="360"/>
      <c r="E10" s="277" t="str">
        <f>_xlfn.CONCAT(_xlfn.XLOOKUP("[S08_MSCustomisedTemplatesAllocation][2][SpecificTemplateOrFileFormat]",Submission!$O:$O,Submission!$H:$N,""))</f>
        <v/>
      </c>
      <c r="F10" s="367"/>
      <c r="G10" s="516" t="str">
        <f>_xlfn.CONCAT(_xlfn.XLOOKUP("[S08_MSCustomisedTemplatesAllocation][2][HowTemplateSpecific]",Submission!$O:$O,Submission!$H:$N,""))</f>
        <v/>
      </c>
      <c r="H10" s="516"/>
      <c r="I10" s="516"/>
    </row>
    <row r="11" spans="1:9" ht="27.6" customHeight="1" x14ac:dyDescent="0.3">
      <c r="C11" s="322" t="s">
        <v>1139</v>
      </c>
      <c r="D11" s="324"/>
      <c r="E11" s="277" t="str">
        <f>_xlfn.CONCAT(_xlfn.XLOOKUP("[S08_MSCustomisedTemplatesAllocation][3][SpecificTemplateOrFileFormat]",Submission!$O:$O,Submission!$H:$N,""))</f>
        <v/>
      </c>
      <c r="F11" s="367"/>
      <c r="G11" s="520" t="str">
        <f>_xlfn.CONCAT(_xlfn.XLOOKUP("[S08_MSCustomisedTemplatesAllocation][3][HowTemplateSpecific]",Submission!$O:$O,Submission!$H:$N,""))</f>
        <v/>
      </c>
      <c r="H11" s="514"/>
      <c r="I11" s="515"/>
    </row>
    <row r="12" spans="1:9" ht="27.6" customHeight="1" x14ac:dyDescent="0.3">
      <c r="C12" s="322" t="s">
        <v>1140</v>
      </c>
      <c r="D12" s="324"/>
      <c r="E12" s="277" t="str">
        <f>_xlfn.CONCAT(_xlfn.XLOOKUP("[S08_MSCustomisedTemplatesAllocation][4][SpecificTemplateOrFileFormat]",Submission!$O:$O,Submission!$H:$N,""))</f>
        <v/>
      </c>
      <c r="F12" s="367"/>
      <c r="G12" s="520" t="str">
        <f>_xlfn.CONCAT(_xlfn.XLOOKUP("[S08_MSCustomisedTemplatesAllocation][4][HowTemplateSpecific]",Submission!$O:$O,Submission!$H:$N,""))</f>
        <v/>
      </c>
      <c r="H12" s="514"/>
      <c r="I12" s="515"/>
    </row>
    <row r="13" spans="1:9" x14ac:dyDescent="0.3">
      <c r="C13" s="282" t="s">
        <v>831</v>
      </c>
      <c r="D13" s="282"/>
      <c r="E13" s="282"/>
      <c r="F13" s="282"/>
      <c r="G13" s="282"/>
      <c r="H13" s="282"/>
      <c r="I13" s="282"/>
    </row>
    <row r="14" spans="1:9" x14ac:dyDescent="0.3">
      <c r="C14" s="469" t="s">
        <v>1141</v>
      </c>
      <c r="D14" s="469"/>
      <c r="E14" s="469"/>
      <c r="F14" s="469"/>
      <c r="G14" s="469"/>
      <c r="H14" s="469"/>
      <c r="I14" s="469"/>
    </row>
    <row r="15" spans="1:9" x14ac:dyDescent="0.3">
      <c r="C15" s="10"/>
      <c r="D15" s="10"/>
      <c r="E15" s="10"/>
      <c r="F15" s="10"/>
      <c r="G15" s="10"/>
      <c r="H15" s="10"/>
      <c r="I15" s="10"/>
    </row>
    <row r="16" spans="1:9" x14ac:dyDescent="0.3">
      <c r="A16" s="12" t="s">
        <v>459</v>
      </c>
      <c r="B16" s="484" t="s">
        <v>1142</v>
      </c>
      <c r="C16" s="484"/>
      <c r="D16" s="484"/>
      <c r="E16" s="484"/>
      <c r="F16" s="484"/>
      <c r="G16" s="484"/>
      <c r="H16" s="484"/>
      <c r="I16" s="484"/>
    </row>
    <row r="17" spans="1:9" ht="30.6" customHeight="1" x14ac:dyDescent="0.3">
      <c r="A17" s="12"/>
      <c r="B17" s="341" t="s">
        <v>1143</v>
      </c>
      <c r="C17" s="311"/>
      <c r="D17" s="311"/>
      <c r="E17" s="311"/>
      <c r="F17" s="311"/>
      <c r="G17" s="311"/>
      <c r="H17" s="348"/>
      <c r="I17" s="41" t="str">
        <f>_xlfn.CONCAT(_xlfn.XLOOKUP("[FeesAllocation][0][FeesAllocation]",Submission!$O:$O,Submission!$H:$N,""))</f>
        <v>Yes</v>
      </c>
    </row>
    <row r="18" spans="1:9" x14ac:dyDescent="0.3">
      <c r="B18" s="470" t="s">
        <v>1144</v>
      </c>
      <c r="C18" s="470"/>
      <c r="D18" s="470"/>
      <c r="E18" s="470"/>
      <c r="F18" s="470"/>
      <c r="G18" s="470"/>
      <c r="H18" s="470"/>
      <c r="I18" s="470"/>
    </row>
    <row r="19" spans="1:9" x14ac:dyDescent="0.3">
      <c r="C19" s="438" t="s">
        <v>1145</v>
      </c>
      <c r="D19" s="439"/>
      <c r="E19" s="439"/>
      <c r="F19" s="440"/>
      <c r="G19" s="438" t="s">
        <v>1146</v>
      </c>
      <c r="H19" s="439"/>
      <c r="I19" s="440"/>
    </row>
    <row r="20" spans="1:9" x14ac:dyDescent="0.3">
      <c r="C20" s="471" t="s">
        <v>1147</v>
      </c>
      <c r="D20" s="472"/>
      <c r="E20" s="472"/>
      <c r="F20" s="473"/>
      <c r="G20" s="510" t="str">
        <f>_xlfn.CONCAT(_xlfn.XLOOKUP("[S08_FeesAllocationDetail][1][FeeAmount]",Submission!$O:$O,Submission!$H:$N,""))</f>
        <v>2.13</v>
      </c>
      <c r="H20" s="511"/>
      <c r="I20" s="512"/>
    </row>
    <row r="21" spans="1:9" x14ac:dyDescent="0.3">
      <c r="C21" s="471" t="s">
        <v>1148</v>
      </c>
      <c r="D21" s="472"/>
      <c r="E21" s="472"/>
      <c r="F21" s="473"/>
      <c r="G21" s="510" t="str">
        <f>_xlfn.CONCAT(_xlfn.XLOOKUP("[S08_FeesAllocationDetail][2][FeeAmount]",Submission!$O:$O,Submission!$H:$N,""))</f>
        <v>1.07</v>
      </c>
      <c r="H21" s="511"/>
      <c r="I21" s="512"/>
    </row>
    <row r="22" spans="1:9" x14ac:dyDescent="0.3">
      <c r="C22" s="471" t="s">
        <v>697</v>
      </c>
      <c r="D22" s="472"/>
      <c r="E22" s="258" t="str">
        <f>_xlfn.CONCAT(_xlfn.XLOOKUP("[S08_FeesAllocationDetail][3][FeeOther]",Submission!$O:$O,Submission!$H:$N,""))</f>
        <v/>
      </c>
      <c r="F22" s="259"/>
      <c r="G22" s="510" t="str">
        <f>_xlfn.CONCAT(_xlfn.XLOOKUP("[S08_FeesAllocationDetail][3][FeeAmount]",Submission!$O:$O,Submission!$H:$N,""))</f>
        <v/>
      </c>
      <c r="H22" s="511"/>
      <c r="I22" s="512"/>
    </row>
    <row r="23" spans="1:9" hidden="1" outlineLevel="1" x14ac:dyDescent="0.3">
      <c r="C23" s="471" t="s">
        <v>1149</v>
      </c>
      <c r="D23" s="472"/>
      <c r="E23" s="258" t="str">
        <f>_xlfn.CONCAT(_xlfn.XLOOKUP("[S08_FeesAllocationDetail][4][FeeOther]",Submission!$O:$O,Submission!$H:$N,""))</f>
        <v/>
      </c>
      <c r="F23" s="259"/>
      <c r="G23" s="510" t="str">
        <f>_xlfn.CONCAT(_xlfn.XLOOKUP("[S08_FeesAllocationDetail][4][FeeAmount]",Submission!$O:$O,Submission!$H:$N,""))</f>
        <v/>
      </c>
      <c r="H23" s="511"/>
      <c r="I23" s="512"/>
    </row>
    <row r="24" spans="1:9" hidden="1" outlineLevel="1" x14ac:dyDescent="0.3">
      <c r="C24" s="471" t="s">
        <v>1150</v>
      </c>
      <c r="D24" s="472"/>
      <c r="E24" s="258" t="str">
        <f>_xlfn.CONCAT(_xlfn.XLOOKUP("[S08_FeesAllocationDetail][5][FeeOther]",Submission!$O:$O,Submission!$H:$N,""))</f>
        <v/>
      </c>
      <c r="F24" s="259"/>
      <c r="G24" s="510" t="str">
        <f>_xlfn.CONCAT(_xlfn.XLOOKUP("[S08_FeesAllocationDetail][5][FeeAmount]",Submission!$O:$O,Submission!$H:$N,""))</f>
        <v/>
      </c>
      <c r="H24" s="511"/>
      <c r="I24" s="512"/>
    </row>
    <row r="25" spans="1:9" hidden="1" outlineLevel="1" x14ac:dyDescent="0.3">
      <c r="C25" s="471" t="s">
        <v>1151</v>
      </c>
      <c r="D25" s="472"/>
      <c r="E25" s="258" t="str">
        <f>_xlfn.CONCAT(_xlfn.XLOOKUP("[S08_FeesAllocationDetail][6][FeeOther]",Submission!$O:$O,Submission!$H:$N,""))</f>
        <v/>
      </c>
      <c r="F25" s="259"/>
      <c r="G25" s="510" t="str">
        <f>_xlfn.CONCAT(_xlfn.XLOOKUP("[S08_FeesAllocationDetail][6][FeeAmount]",Submission!$O:$O,Submission!$H:$N,""))</f>
        <v/>
      </c>
      <c r="H25" s="511"/>
      <c r="I25" s="512"/>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4" t="s">
        <v>1152</v>
      </c>
      <c r="C28" s="484"/>
      <c r="D28" s="484"/>
      <c r="E28" s="484"/>
      <c r="F28" s="484"/>
      <c r="G28" s="484"/>
      <c r="H28" s="484"/>
      <c r="I28" s="484"/>
    </row>
    <row r="29" spans="1:9" ht="28.5" customHeight="1" x14ac:dyDescent="0.3">
      <c r="A29" s="12"/>
      <c r="B29" s="341" t="s">
        <v>1153</v>
      </c>
      <c r="C29" s="311"/>
      <c r="D29" s="311"/>
      <c r="E29" s="311"/>
      <c r="F29" s="311"/>
      <c r="G29" s="311"/>
      <c r="H29" s="348"/>
      <c r="I29" s="41" t="str">
        <f>_xlfn.CONCAT(_xlfn.XLOOKUP("[ITforAllocationData][0][ITforAllocationData]",Submission!$O:$O,Submission!$H:$N,""))</f>
        <v>Yes</v>
      </c>
    </row>
    <row r="31" spans="1:9" x14ac:dyDescent="0.3">
      <c r="A31" s="12" t="s">
        <v>468</v>
      </c>
      <c r="B31" s="341" t="s">
        <v>1154</v>
      </c>
      <c r="C31" s="311"/>
      <c r="D31" s="311"/>
      <c r="E31" s="311"/>
      <c r="F31" s="311"/>
      <c r="G31" s="311"/>
      <c r="H31" s="311"/>
      <c r="I31" s="311"/>
    </row>
    <row r="32" spans="1:9" x14ac:dyDescent="0.3">
      <c r="C32" s="333"/>
      <c r="D32" s="334"/>
      <c r="E32" s="334"/>
      <c r="F32" s="519"/>
      <c r="G32" s="317" t="s">
        <v>1045</v>
      </c>
      <c r="H32" s="336"/>
      <c r="I32" s="337"/>
    </row>
    <row r="33" spans="1:9" ht="27.6" customHeight="1" x14ac:dyDescent="0.3">
      <c r="C33" s="317" t="s">
        <v>1155</v>
      </c>
      <c r="D33" s="336"/>
      <c r="E33" s="336"/>
      <c r="F33" s="337"/>
      <c r="G33" s="477" t="str">
        <f>_xlfn.CONCAT(_xlfn.XLOOKUP("[S08_RenunciationSuspensionAllowances][1][NumberOfInstallations]",Submission!$O:$O,Submission!$H:$N,""))</f>
        <v>0</v>
      </c>
      <c r="H33" s="478"/>
      <c r="I33" s="479"/>
    </row>
    <row r="34" spans="1:9" ht="28.95" customHeight="1" x14ac:dyDescent="0.3">
      <c r="C34" s="317" t="s">
        <v>1156</v>
      </c>
      <c r="D34" s="336"/>
      <c r="E34" s="336"/>
      <c r="F34" s="337"/>
      <c r="G34" s="477" t="str">
        <f>_xlfn.CONCAT(_xlfn.XLOOKUP("[S08_RenunciationSuspensionAllowances][2][NumberOfInstallations]",Submission!$O:$O,Submission!$H:$N,""))</f>
        <v>154</v>
      </c>
      <c r="H34" s="478"/>
      <c r="I34" s="479"/>
    </row>
    <row r="35" spans="1:9" ht="27" customHeight="1" x14ac:dyDescent="0.3">
      <c r="C35" s="317" t="s">
        <v>1157</v>
      </c>
      <c r="D35" s="336"/>
      <c r="E35" s="336"/>
      <c r="F35" s="337"/>
      <c r="G35" s="477" t="str">
        <f>_xlfn.CONCAT(_xlfn.XLOOKUP("[S08_RenunciationSuspensionAllowances][3][NumberOfInstallations]",Submission!$O:$O,Submission!$H:$N,""))</f>
        <v>0</v>
      </c>
      <c r="H35" s="478"/>
      <c r="I35" s="479"/>
    </row>
    <row r="37" spans="1:9" ht="33.6" customHeight="1" x14ac:dyDescent="0.3">
      <c r="A37" s="12" t="s">
        <v>472</v>
      </c>
      <c r="B37" s="341" t="s">
        <v>1158</v>
      </c>
      <c r="C37" s="311"/>
      <c r="D37" s="311"/>
      <c r="E37" s="311"/>
      <c r="F37" s="311"/>
      <c r="G37" s="311"/>
      <c r="H37" s="348"/>
      <c r="I37" s="41" t="str">
        <f>_xlfn.CONCAT(_xlfn.XLOOKUP("[SubInstallationBenchmark61][0][SubInstallationBenchmark61]",Submission!$O:$O,Submission!$H:$N,""))</f>
        <v>Yes</v>
      </c>
    </row>
    <row r="38" spans="1:9" x14ac:dyDescent="0.3">
      <c r="B38" s="470" t="s">
        <v>1159</v>
      </c>
      <c r="C38" s="470"/>
      <c r="D38" s="470"/>
      <c r="E38" s="470"/>
      <c r="F38" s="470"/>
      <c r="G38" s="470"/>
      <c r="H38" s="470"/>
      <c r="I38" s="470"/>
    </row>
    <row r="39" spans="1:9" x14ac:dyDescent="0.3">
      <c r="C39" s="504" t="s">
        <v>1160</v>
      </c>
      <c r="D39" s="505"/>
      <c r="E39" s="505"/>
      <c r="F39" s="506"/>
      <c r="G39" s="504" t="s">
        <v>1161</v>
      </c>
      <c r="H39" s="505"/>
      <c r="I39" s="506"/>
    </row>
    <row r="40" spans="1:9" x14ac:dyDescent="0.3">
      <c r="C40" s="474" t="str">
        <f>_xlfn.CONCAT(_xlfn.XLOOKUP("[S08_SubInstallationBenchmark61Detail][1][FuelBenchmark]",Submission!$O:$O,Submission!$H:$N,""))</f>
        <v>11</v>
      </c>
      <c r="D40" s="475"/>
      <c r="E40" s="475"/>
      <c r="F40" s="476"/>
      <c r="G40" s="474" t="str">
        <f>_xlfn.CONCAT(_xlfn.XLOOKUP("[S08_SubInstallationBenchmark61Detail][1][HeatBenchmark]",Submission!$O:$O,Submission!$H:$N,""))</f>
        <v>8</v>
      </c>
      <c r="H40" s="475"/>
      <c r="I40" s="476"/>
    </row>
    <row r="42" spans="1:9" ht="30.6" customHeight="1" x14ac:dyDescent="0.3">
      <c r="B42" s="341" t="s">
        <v>1162</v>
      </c>
      <c r="C42" s="311"/>
      <c r="D42" s="311"/>
      <c r="E42" s="311"/>
      <c r="F42" s="311"/>
      <c r="G42" s="311"/>
      <c r="H42" s="348"/>
      <c r="I42" s="41" t="str">
        <f>_xlfn.CONCAT(_xlfn.XLOOKUP("[SubInstallationBenchmark61Reject][0][SubInstallationBenchmark61Reject]",Submission!$O:$O,Submission!$H:$N,""))</f>
        <v>No</v>
      </c>
    </row>
    <row r="43" spans="1:9" x14ac:dyDescent="0.3">
      <c r="B43" s="470" t="s">
        <v>1163</v>
      </c>
      <c r="C43" s="470"/>
      <c r="D43" s="470"/>
      <c r="E43" s="470"/>
      <c r="F43" s="470"/>
      <c r="G43" s="470"/>
      <c r="H43" s="470"/>
      <c r="I43" s="470"/>
    </row>
    <row r="44" spans="1:9" x14ac:dyDescent="0.3">
      <c r="C44" s="438" t="s">
        <v>1160</v>
      </c>
      <c r="D44" s="439"/>
      <c r="E44" s="439"/>
      <c r="F44" s="440"/>
      <c r="G44" s="438" t="s">
        <v>1161</v>
      </c>
      <c r="H44" s="439"/>
      <c r="I44" s="440"/>
    </row>
    <row r="45" spans="1:9" x14ac:dyDescent="0.3">
      <c r="C45" s="474" t="str">
        <f>_xlfn.CONCAT(_xlfn.XLOOKUP("[S08_SubInstallationBenchmark61RejectDetail][1][FuelBenchmark]",Submission!$O:$O,Submission!$H:$N,""))</f>
        <v/>
      </c>
      <c r="D45" s="475"/>
      <c r="E45" s="475"/>
      <c r="F45" s="476"/>
      <c r="G45" s="474" t="str">
        <f>_xlfn.CONCAT(_xlfn.XLOOKUP("[S08_SubInstallationBenchmark61RejectDetail][1][HeatBenchmark]",Submission!$O:$O,Submission!$H:$N,""))</f>
        <v/>
      </c>
      <c r="H45" s="475"/>
      <c r="I45" s="476"/>
    </row>
    <row r="47" spans="1:9" ht="31.2" customHeight="1" x14ac:dyDescent="0.3">
      <c r="B47" s="341" t="s">
        <v>1164</v>
      </c>
      <c r="C47" s="311"/>
      <c r="D47" s="311"/>
      <c r="E47" s="311"/>
      <c r="F47" s="311"/>
      <c r="G47" s="311"/>
      <c r="H47" s="348"/>
      <c r="I47" s="41" t="str">
        <f>_xlfn.CONCAT(_xlfn.XLOOKUP("[SubInstallationBenchmark62][0][SubInstallationBenchmark62]",Submission!$O:$O,Submission!$H:$N,""))</f>
        <v>Yes</v>
      </c>
    </row>
    <row r="48" spans="1:9" x14ac:dyDescent="0.3">
      <c r="B48" s="470" t="s">
        <v>1159</v>
      </c>
      <c r="C48" s="470"/>
      <c r="D48" s="470"/>
      <c r="E48" s="470"/>
      <c r="F48" s="470"/>
      <c r="G48" s="470"/>
      <c r="H48" s="470"/>
      <c r="I48" s="470"/>
    </row>
    <row r="49" spans="1:9" x14ac:dyDescent="0.3">
      <c r="C49" s="438" t="s">
        <v>1160</v>
      </c>
      <c r="D49" s="439"/>
      <c r="E49" s="439"/>
      <c r="F49" s="440"/>
      <c r="G49" s="438" t="s">
        <v>1161</v>
      </c>
      <c r="H49" s="439"/>
      <c r="I49" s="440"/>
    </row>
    <row r="50" spans="1:9" x14ac:dyDescent="0.3">
      <c r="C50" s="474" t="str">
        <f>_xlfn.CONCAT(_xlfn.XLOOKUP("[S08_SubInstallationBenchmark62Detail][1][FuelBenchmark]",Submission!$O:$O,Submission!$H:$N,""))</f>
        <v>9</v>
      </c>
      <c r="D50" s="475"/>
      <c r="E50" s="475"/>
      <c r="F50" s="476"/>
      <c r="G50" s="474" t="str">
        <f>_xlfn.CONCAT(_xlfn.XLOOKUP("[S08_SubInstallationBenchmark62Detail][1][HeatBenchmark]",Submission!$O:$O,Submission!$H:$N,""))</f>
        <v>5</v>
      </c>
      <c r="H50" s="475"/>
      <c r="I50" s="476"/>
    </row>
    <row r="52" spans="1:9" x14ac:dyDescent="0.3">
      <c r="A52" s="12" t="s">
        <v>478</v>
      </c>
      <c r="B52" s="341" t="s">
        <v>1165</v>
      </c>
      <c r="C52" s="311"/>
      <c r="D52" s="311"/>
      <c r="E52" s="311"/>
      <c r="F52" s="311"/>
      <c r="G52" s="311"/>
      <c r="H52" s="311"/>
      <c r="I52" s="311"/>
    </row>
    <row r="53" spans="1:9" x14ac:dyDescent="0.3">
      <c r="C53" s="272" t="s">
        <v>1166</v>
      </c>
      <c r="D53" s="502"/>
      <c r="E53" s="502"/>
      <c r="F53" s="503"/>
      <c r="G53" s="272" t="s">
        <v>1045</v>
      </c>
      <c r="H53" s="502"/>
      <c r="I53" s="503"/>
    </row>
    <row r="54" spans="1:9" ht="29.4" customHeight="1" x14ac:dyDescent="0.3">
      <c r="C54" s="249" t="s">
        <v>1167</v>
      </c>
      <c r="D54" s="275"/>
      <c r="E54" s="275"/>
      <c r="F54" s="276"/>
      <c r="G54" s="477" t="str">
        <f>_xlfn.CONCAT(_xlfn.XLOOKUP("[S08_ScopeExclusion][1][NumberOfInstallations]",Submission!$O:$O,Submission!$H:$N,""))</f>
        <v/>
      </c>
      <c r="H54" s="478"/>
      <c r="I54" s="479"/>
    </row>
    <row r="55" spans="1:9" ht="29.4" customHeight="1" x14ac:dyDescent="0.3">
      <c r="C55" s="249" t="s">
        <v>1168</v>
      </c>
      <c r="D55" s="275"/>
      <c r="E55" s="275"/>
      <c r="F55" s="276"/>
      <c r="G55" s="477" t="str">
        <f>_xlfn.CONCAT(_xlfn.XLOOKUP("[S08_ScopeExclusion][2][NumberOfInstallations]",Submission!$O:$O,Submission!$H:$N,""))</f>
        <v>24</v>
      </c>
      <c r="H55" s="478"/>
      <c r="I55" s="479"/>
    </row>
    <row r="56" spans="1:9" ht="29.4" customHeight="1" x14ac:dyDescent="0.3">
      <c r="C56" s="249" t="s">
        <v>1169</v>
      </c>
      <c r="D56" s="275"/>
      <c r="E56" s="275"/>
      <c r="F56" s="276"/>
      <c r="G56" s="477" t="str">
        <f>_xlfn.CONCAT(_xlfn.XLOOKUP("[S08_ScopeExclusion][3][NumberOfInstallations]",Submission!$O:$O,Submission!$H:$N,""))</f>
        <v/>
      </c>
      <c r="H56" s="478"/>
      <c r="I56" s="479"/>
    </row>
    <row r="57" spans="1:9" ht="29.4" customHeight="1" x14ac:dyDescent="0.3">
      <c r="C57" s="249" t="s">
        <v>1170</v>
      </c>
      <c r="D57" s="275"/>
      <c r="E57" s="275"/>
      <c r="F57" s="276"/>
      <c r="G57" s="477" t="str">
        <f>_xlfn.CONCAT(_xlfn.XLOOKUP("[S08_ScopeExclusion][4][NumberOfInstallations]",Submission!$O:$O,Submission!$H:$N,""))</f>
        <v/>
      </c>
      <c r="H57" s="478"/>
      <c r="I57" s="479"/>
    </row>
    <row r="58" spans="1:9" ht="29.4" customHeight="1" x14ac:dyDescent="0.3">
      <c r="C58" s="249" t="s">
        <v>1171</v>
      </c>
      <c r="D58" s="275"/>
      <c r="E58" s="275"/>
      <c r="F58" s="276"/>
      <c r="G58" s="477" t="str">
        <f>_xlfn.CONCAT(_xlfn.XLOOKUP("[S08_ScopeExclusion][5][NumberOfInstallations]",Submission!$O:$O,Submission!$H:$N,""))</f>
        <v/>
      </c>
      <c r="H58" s="478"/>
      <c r="I58" s="479"/>
    </row>
    <row r="59" spans="1:9" ht="29.4" customHeight="1" x14ac:dyDescent="0.3">
      <c r="C59" s="249" t="s">
        <v>1172</v>
      </c>
      <c r="D59" s="276"/>
      <c r="E59" s="261" t="str">
        <f>_xlfn.CONCAT(_xlfn.XLOOKUP("[S08_ScopeExclusion][6][OtherReasons]",Submission!$O:$O,Submission!$H:$N,""))</f>
        <v/>
      </c>
      <c r="F59" s="263"/>
      <c r="G59" s="477" t="str">
        <f>_xlfn.CONCAT(_xlfn.XLOOKUP("[S08_ScopeExclusion][6][NumberOfInstallations]",Submission!$O:$O,Submission!$H:$N,""))</f>
        <v/>
      </c>
      <c r="H59" s="478"/>
      <c r="I59" s="479"/>
    </row>
    <row r="60" spans="1:9" ht="29.4" hidden="1" customHeight="1" outlineLevel="1" x14ac:dyDescent="0.3">
      <c r="C60" s="249" t="s">
        <v>1173</v>
      </c>
      <c r="D60" s="276"/>
      <c r="E60" s="258" t="str">
        <f>_xlfn.CONCAT(_xlfn.XLOOKUP("[S08_ScopeExclusion][7][OtherReasons]",Submission!$O:$O,Submission!$H:$N,""))</f>
        <v/>
      </c>
      <c r="F60" s="259"/>
      <c r="G60" s="510" t="str">
        <f>_xlfn.CONCAT(_xlfn.XLOOKUP("[S08_ScopeExclusion][7][NumberOfInstallations]",Submission!$O:$O,Submission!$H:$N,""))</f>
        <v/>
      </c>
      <c r="H60" s="511"/>
      <c r="I60" s="512"/>
    </row>
    <row r="61" spans="1:9" ht="29.4" hidden="1" customHeight="1" outlineLevel="1" x14ac:dyDescent="0.3">
      <c r="C61" s="249" t="s">
        <v>1174</v>
      </c>
      <c r="D61" s="276"/>
      <c r="E61" s="258" t="str">
        <f>_xlfn.CONCAT(_xlfn.XLOOKUP("[S08_ScopeExclusion][8][OtherReasons]",Submission!$O:$O,Submission!$H:$N,""))</f>
        <v/>
      </c>
      <c r="F61" s="259"/>
      <c r="G61" s="510" t="str">
        <f>_xlfn.CONCAT(_xlfn.XLOOKUP("[S08_ScopeExclusion][8][NumberOfInstallations]",Submission!$O:$O,Submission!$H:$N,""))</f>
        <v/>
      </c>
      <c r="H61" s="511"/>
      <c r="I61" s="512"/>
    </row>
    <row r="62" spans="1:9" ht="29.4" hidden="1" customHeight="1" outlineLevel="1" x14ac:dyDescent="0.3">
      <c r="C62" s="249" t="s">
        <v>1175</v>
      </c>
      <c r="D62" s="276"/>
      <c r="E62" s="258" t="str">
        <f>_xlfn.CONCAT(_xlfn.XLOOKUP("[S08_ScopeExclusion][9][OtherReasons]",Submission!$O:$O,Submission!$H:$N,""))</f>
        <v/>
      </c>
      <c r="F62" s="259"/>
      <c r="G62" s="510" t="str">
        <f>_xlfn.CONCAT(_xlfn.XLOOKUP("[S08_ScopeExclusion][9][NumberOfInstallations]",Submission!$O:$O,Submission!$H:$N,""))</f>
        <v/>
      </c>
      <c r="H62" s="511"/>
      <c r="I62" s="512"/>
    </row>
    <row r="63" spans="1:9" collapsed="1" x14ac:dyDescent="0.3">
      <c r="B63" s="26" t="s">
        <v>1000</v>
      </c>
    </row>
    <row r="65" spans="1:9" ht="15.6" customHeight="1" x14ac:dyDescent="0.3">
      <c r="A65" s="12" t="s">
        <v>481</v>
      </c>
      <c r="B65" s="341" t="s">
        <v>1176</v>
      </c>
      <c r="C65" s="311"/>
      <c r="D65" s="311"/>
      <c r="E65" s="311"/>
      <c r="F65" s="311"/>
      <c r="G65" s="311"/>
      <c r="H65" s="348"/>
      <c r="I65" s="41" t="str">
        <f>_xlfn.CONCAT(_xlfn.XLOOKUP("[Article10cApplied][0][Article10cApplied]",Submission!$O:$O,Submission!$H:$N,""))</f>
        <v>No</v>
      </c>
    </row>
    <row r="66" spans="1:9" x14ac:dyDescent="0.3">
      <c r="B66" s="470" t="s">
        <v>1177</v>
      </c>
      <c r="C66" s="470"/>
      <c r="D66" s="470"/>
      <c r="E66" s="470"/>
      <c r="F66" s="470"/>
      <c r="G66" s="470"/>
      <c r="H66" s="470"/>
      <c r="I66" s="470"/>
    </row>
    <row r="67" spans="1:9" x14ac:dyDescent="0.3">
      <c r="C67" s="507"/>
      <c r="D67" s="508"/>
      <c r="E67" s="508"/>
      <c r="F67" s="509"/>
      <c r="G67" s="438" t="s">
        <v>1178</v>
      </c>
      <c r="H67" s="439"/>
      <c r="I67" s="440"/>
    </row>
    <row r="68" spans="1:9" x14ac:dyDescent="0.3">
      <c r="C68" s="269" t="s">
        <v>1179</v>
      </c>
      <c r="D68" s="270"/>
      <c r="E68" s="270"/>
      <c r="F68" s="271"/>
      <c r="G68" s="474" t="str">
        <f>_xlfn.CONCAT(_xlfn.XLOOKUP("[S08_Article10cAppliedDetail][1][NumberOfAllowances]",Submission!$O:$O,Submission!$H:$N,""))</f>
        <v/>
      </c>
      <c r="H68" s="475"/>
      <c r="I68" s="476"/>
    </row>
    <row r="69" spans="1:9" x14ac:dyDescent="0.3">
      <c r="C69" s="269" t="s">
        <v>2206</v>
      </c>
      <c r="D69" s="270"/>
      <c r="E69" s="270"/>
      <c r="F69" s="271"/>
      <c r="G69" s="474" t="str">
        <f>_xlfn.CONCAT(_xlfn.XLOOKUP("[S08_Article10cAppliedDetail][2][NumberOfAllowances]",Submission!$O:$O,Submission!$H:$N,""))</f>
        <v/>
      </c>
      <c r="H69" s="475"/>
      <c r="I69" s="476"/>
    </row>
    <row r="71" spans="1:9" s="7" customFormat="1" ht="18.899999999999999" customHeight="1" x14ac:dyDescent="0.35">
      <c r="A71" s="85" t="s">
        <v>486</v>
      </c>
      <c r="B71" s="313" t="s">
        <v>1180</v>
      </c>
      <c r="C71" s="313"/>
      <c r="D71" s="313"/>
      <c r="E71" s="313"/>
      <c r="F71" s="313"/>
      <c r="G71" s="313"/>
      <c r="H71" s="313"/>
      <c r="I71" s="314"/>
    </row>
    <row r="72" spans="1:9" ht="13.5" customHeight="1" x14ac:dyDescent="0.3">
      <c r="A72" s="12" t="s">
        <v>488</v>
      </c>
      <c r="B72" s="484" t="s">
        <v>1181</v>
      </c>
      <c r="C72" s="484"/>
      <c r="D72" s="484"/>
      <c r="E72" s="484"/>
      <c r="F72" s="484"/>
      <c r="G72" s="484"/>
      <c r="H72" s="484"/>
      <c r="I72" s="484"/>
    </row>
    <row r="73" spans="1:9" ht="19.95" customHeight="1" x14ac:dyDescent="0.3">
      <c r="A73" s="12"/>
      <c r="B73" s="341" t="s">
        <v>1182</v>
      </c>
      <c r="C73" s="311"/>
      <c r="D73" s="311"/>
      <c r="E73" s="311"/>
      <c r="F73" s="311"/>
      <c r="G73" s="311"/>
      <c r="H73" s="311"/>
      <c r="I73" s="311"/>
    </row>
    <row r="74" spans="1:9" ht="15.9" customHeight="1" x14ac:dyDescent="0.3">
      <c r="C74" s="317" t="s">
        <v>1183</v>
      </c>
      <c r="D74" s="336"/>
      <c r="E74" s="336"/>
      <c r="F74" s="336"/>
      <c r="G74" s="337"/>
      <c r="H74" s="441" t="s">
        <v>76</v>
      </c>
      <c r="I74" s="442"/>
    </row>
    <row r="75" spans="1:9" ht="19.95" customHeight="1" x14ac:dyDescent="0.3">
      <c r="C75" s="249" t="s">
        <v>1184</v>
      </c>
      <c r="D75" s="275"/>
      <c r="E75" s="275"/>
      <c r="F75" s="275"/>
      <c r="G75" s="276"/>
      <c r="H75" s="354" t="str">
        <f>_xlfn.CONCAT(_xlfn.XLOOKUP("[S08_NegativeOpinionBaselineData][1][NumberOfInstallations]",Submission!$O:$O,Submission!$H:$N,""))</f>
        <v>0</v>
      </c>
      <c r="I75" s="364"/>
    </row>
    <row r="76" spans="1:9" ht="19.95" customHeight="1" x14ac:dyDescent="0.3">
      <c r="C76" s="249" t="s">
        <v>1185</v>
      </c>
      <c r="D76" s="275"/>
      <c r="E76" s="275"/>
      <c r="F76" s="275"/>
      <c r="G76" s="276"/>
      <c r="H76" s="354" t="str">
        <f>_xlfn.CONCAT(_xlfn.XLOOKUP("[S08_NegativeOpinionBaselineData][2][NumberOfInstallations]",Submission!$O:$O,Submission!$H:$N,""))</f>
        <v>0</v>
      </c>
      <c r="I76" s="364"/>
    </row>
    <row r="77" spans="1:9" ht="19.95" customHeight="1" x14ac:dyDescent="0.3">
      <c r="C77" s="249" t="s">
        <v>1186</v>
      </c>
      <c r="D77" s="275"/>
      <c r="E77" s="275"/>
      <c r="F77" s="275"/>
      <c r="G77" s="276"/>
      <c r="H77" s="354" t="str">
        <f>_xlfn.CONCAT(_xlfn.XLOOKUP("[S08_NegativeOpinionBaselineData][3][NumberOfInstallations]",Submission!$O:$O,Submission!$H:$N,""))</f>
        <v>0</v>
      </c>
      <c r="I77" s="364"/>
    </row>
    <row r="78" spans="1:9" x14ac:dyDescent="0.3">
      <c r="B78" s="16"/>
      <c r="C78" s="19"/>
      <c r="D78" s="20"/>
      <c r="E78" s="20"/>
      <c r="F78" s="20"/>
      <c r="G78" s="20"/>
      <c r="H78" s="20"/>
      <c r="I78" s="20"/>
    </row>
    <row r="79" spans="1:9" ht="13.5" customHeight="1" x14ac:dyDescent="0.3">
      <c r="A79" s="12" t="s">
        <v>493</v>
      </c>
      <c r="B79" s="484" t="s">
        <v>1187</v>
      </c>
      <c r="C79" s="484"/>
      <c r="D79" s="484"/>
      <c r="E79" s="484"/>
      <c r="F79" s="484"/>
      <c r="G79" s="484"/>
      <c r="H79" s="484"/>
      <c r="I79" s="484"/>
    </row>
    <row r="80" spans="1:9" ht="33.6" customHeight="1" x14ac:dyDescent="0.3">
      <c r="A80" s="12"/>
      <c r="B80" s="341" t="s">
        <v>1188</v>
      </c>
      <c r="C80" s="311"/>
      <c r="D80" s="311"/>
      <c r="E80" s="311"/>
      <c r="F80" s="311"/>
      <c r="G80" s="311"/>
      <c r="H80" s="348"/>
      <c r="I80" s="41" t="str">
        <f>_xlfn.CONCAT(_xlfn.XLOOKUP("[BaselineDataIssues][0][BaselineDataIssues]",Submission!$O:$O,Submission!$H:$N,""))</f>
        <v>Yes</v>
      </c>
    </row>
    <row r="81" spans="2:9" x14ac:dyDescent="0.3">
      <c r="B81" s="470" t="s">
        <v>1043</v>
      </c>
      <c r="C81" s="470"/>
      <c r="D81" s="470"/>
      <c r="E81" s="470"/>
      <c r="F81" s="470"/>
      <c r="G81" s="470"/>
      <c r="H81" s="470"/>
      <c r="I81" s="470"/>
    </row>
    <row r="82" spans="2:9" ht="96.6" customHeight="1" x14ac:dyDescent="0.3">
      <c r="C82" s="438" t="s">
        <v>879</v>
      </c>
      <c r="D82" s="440"/>
      <c r="E82" s="43" t="s">
        <v>1044</v>
      </c>
      <c r="F82" s="43" t="s">
        <v>1045</v>
      </c>
      <c r="G82" s="43" t="s">
        <v>1046</v>
      </c>
      <c r="H82" s="317" t="s">
        <v>1189</v>
      </c>
      <c r="I82" s="337"/>
    </row>
    <row r="83" spans="2:9" ht="43.95" customHeight="1" x14ac:dyDescent="0.3">
      <c r="C83" s="261" t="str">
        <f>_xlfn.CONCAT(_xlfn.XLOOKUP("[S08_BaselineDataIssuesDetail][1][AnnexIActivity]",Submission!$O:$O,Submission!$H:$N,""))</f>
        <v>20 - Combustion of fuels as specified in Annex I of Directive 2003/87/EC</v>
      </c>
      <c r="D83" s="263"/>
      <c r="E83" s="72" t="str">
        <f>_xlfn.CONCAT(_xlfn.XLOOKUP("[S08_BaselineDataIssuesDetail][1][TypeOfIssue]",Submission!$O:$O,Submission!$H:$N,""))</f>
        <v>Non-material misstatements</v>
      </c>
      <c r="F83" s="106" t="str">
        <f>_xlfn.CONCAT(_xlfn.XLOOKUP("[S08_BaselineDataIssuesDetail][1][NumberOfInstallations]",Submission!$O:$O,Submission!$H:$N,""))</f>
        <v>4</v>
      </c>
      <c r="G83" s="106" t="str">
        <f>_xlfn.CONCAT(_xlfn.XLOOKUP("[S08_BaselineDataIssuesDetail][1][NumberOfIssues]",Submission!$O:$O,Submission!$H:$N,""))</f>
        <v>4</v>
      </c>
      <c r="H83" s="464" t="str">
        <f>_xlfn.CONCAT(_xlfn.XLOOKUP("[S08_BaselineDataIssuesDetail][1][NumberOfInstallationsArt152]",Submission!$O:$O,Submission!$H:$N,""))</f>
        <v>0</v>
      </c>
      <c r="I83" s="465"/>
    </row>
    <row r="84" spans="2:9" ht="43.95" customHeight="1" x14ac:dyDescent="0.3">
      <c r="C84" s="261" t="str">
        <f>_xlfn.CONCAT(_xlfn.XLOOKUP("[S08_BaselineDataIssuesDetail][2][AnnexIActivity]",Submission!$O:$O,Submission!$H:$N,""))</f>
        <v>29 - Production of cement clinker in rotary kilns as specified in Annex I of Directive 2003/87/ EC</v>
      </c>
      <c r="D84" s="263"/>
      <c r="E84" s="72" t="str">
        <f>_xlfn.CONCAT(_xlfn.XLOOKUP("[S08_BaselineDataIssuesDetail][2][TypeOfIssue]",Submission!$O:$O,Submission!$H:$N,""))</f>
        <v>Non-material misstatements</v>
      </c>
      <c r="F84" s="106" t="str">
        <f>_xlfn.CONCAT(_xlfn.XLOOKUP("[S08_BaselineDataIssuesDetail][2][NumberOfInstallations]",Submission!$O:$O,Submission!$H:$N,""))</f>
        <v>1</v>
      </c>
      <c r="G84" s="106" t="str">
        <f>_xlfn.CONCAT(_xlfn.XLOOKUP("[S08_BaselineDataIssuesDetail][2][NumberOfIssues]",Submission!$O:$O,Submission!$H:$N,""))</f>
        <v>1</v>
      </c>
      <c r="H84" s="464" t="str">
        <f>_xlfn.CONCAT(_xlfn.XLOOKUP("[S08_BaselineDataIssuesDetail][2][NumberOfInstallationsArt152]",Submission!$O:$O,Submission!$H:$N,""))</f>
        <v>0</v>
      </c>
      <c r="I84" s="465"/>
    </row>
    <row r="85" spans="2:9" ht="43.95" customHeight="1" x14ac:dyDescent="0.3">
      <c r="C85" s="261" t="str">
        <f>_xlfn.CONCAT(_xlfn.XLOOKUP("[S08_BaselineDataIssuesDetail][3][AnnexIActivity]",Submission!$O:$O,Submission!$H:$N,""))</f>
        <v xml:space="preserve">36 - Production of paper or cardboard as specified in Annex I of Directive 2003/87/EC </v>
      </c>
      <c r="D85" s="263"/>
      <c r="E85" s="72" t="str">
        <f>_xlfn.CONCAT(_xlfn.XLOOKUP("[S08_BaselineDataIssuesDetail][3][TypeOfIssue]",Submission!$O:$O,Submission!$H:$N,""))</f>
        <v>Non-material misstatements</v>
      </c>
      <c r="F85" s="106" t="str">
        <f>_xlfn.CONCAT(_xlfn.XLOOKUP("[S08_BaselineDataIssuesDetail][3][NumberOfInstallations]",Submission!$O:$O,Submission!$H:$N,""))</f>
        <v>1</v>
      </c>
      <c r="G85" s="106" t="str">
        <f>_xlfn.CONCAT(_xlfn.XLOOKUP("[S08_BaselineDataIssuesDetail][3][NumberOfIssues]",Submission!$O:$O,Submission!$H:$N,""))</f>
        <v>1</v>
      </c>
      <c r="H85" s="464" t="str">
        <f>_xlfn.CONCAT(_xlfn.XLOOKUP("[S08_BaselineDataIssuesDetail][3][NumberOfInstallationsArt152]",Submission!$O:$O,Submission!$H:$N,""))</f>
        <v>0</v>
      </c>
      <c r="I85" s="465"/>
    </row>
    <row r="86" spans="2:9" ht="43.95" customHeight="1" x14ac:dyDescent="0.3">
      <c r="C86" s="261" t="str">
        <f>_xlfn.CONCAT(_xlfn.XLOOKUP("[S08_BaselineDataIssuesDetail][4][AnnexIActivity]",Submission!$O:$O,Submission!$H:$N,""))</f>
        <v>33 - Manufacture of mineral wool insulation material using glass, rock or slag as specified in Annex I of Directive 2003/87/EC</v>
      </c>
      <c r="D86" s="263"/>
      <c r="E86" s="72" t="str">
        <f>_xlfn.CONCAT(_xlfn.XLOOKUP("[S08_BaselineDataIssuesDetail][4][TypeOfIssue]",Submission!$O:$O,Submission!$H:$N,""))</f>
        <v>Non-material misstatements</v>
      </c>
      <c r="F86" s="106" t="str">
        <f>_xlfn.CONCAT(_xlfn.XLOOKUP("[S08_BaselineDataIssuesDetail][4][NumberOfInstallations]",Submission!$O:$O,Submission!$H:$N,""))</f>
        <v>4</v>
      </c>
      <c r="G86" s="106" t="str">
        <f>_xlfn.CONCAT(_xlfn.XLOOKUP("[S08_BaselineDataIssuesDetail][4][NumberOfIssues]",Submission!$O:$O,Submission!$H:$N,""))</f>
        <v>4</v>
      </c>
      <c r="H86" s="464" t="str">
        <f>_xlfn.CONCAT(_xlfn.XLOOKUP("[S08_BaselineDataIssuesDetail][4][NumberOfInstallationsArt152]",Submission!$O:$O,Submission!$H:$N,""))</f>
        <v>0</v>
      </c>
      <c r="I86" s="465"/>
    </row>
    <row r="87" spans="2:9" ht="43.95" customHeight="1" x14ac:dyDescent="0.3">
      <c r="C87" s="261" t="str">
        <f>_xlfn.CONCAT(_xlfn.XLOOKUP("[S08_BaselineDataIssuesDetail][5][AnnexIActivity]",Submission!$O:$O,Submission!$H:$N,""))</f>
        <v>28 - Production or processing of non-ferrous metals as specified in Annex I of Directive 2003/87/EC</v>
      </c>
      <c r="D87" s="263"/>
      <c r="E87" s="72" t="str">
        <f>_xlfn.CONCAT(_xlfn.XLOOKUP("[S08_BaselineDataIssuesDetail][5][TypeOfIssue]",Submission!$O:$O,Submission!$H:$N,""))</f>
        <v>Non-material misstatements</v>
      </c>
      <c r="F87" s="106" t="str">
        <f>_xlfn.CONCAT(_xlfn.XLOOKUP("[S08_BaselineDataIssuesDetail][5][NumberOfInstallations]",Submission!$O:$O,Submission!$H:$N,""))</f>
        <v>1</v>
      </c>
      <c r="G87" s="106" t="str">
        <f>_xlfn.CONCAT(_xlfn.XLOOKUP("[S08_BaselineDataIssuesDetail][5][NumberOfIssues]",Submission!$O:$O,Submission!$H:$N,""))</f>
        <v>1</v>
      </c>
      <c r="H87" s="464" t="str">
        <f>_xlfn.CONCAT(_xlfn.XLOOKUP("[S08_BaselineDataIssuesDetail][5][NumberOfInstallationsArt152]",Submission!$O:$O,Submission!$H:$N,""))</f>
        <v>0</v>
      </c>
      <c r="I87" s="465"/>
    </row>
    <row r="88" spans="2:9" ht="43.95" customHeight="1" x14ac:dyDescent="0.3">
      <c r="C88" s="261" t="str">
        <f>_xlfn.CONCAT(_xlfn.XLOOKUP("[S08_BaselineDataIssuesDetail][6][AnnexIActivity]",Submission!$O:$O,Submission!$H:$N,""))</f>
        <v xml:space="preserve">42 - Production of bulk organic chemicals as specified in Annex I of Directive 2003/87/EC </v>
      </c>
      <c r="D88" s="263"/>
      <c r="E88" s="72" t="str">
        <f>_xlfn.CONCAT(_xlfn.XLOOKUP("[S08_BaselineDataIssuesDetail][6][TypeOfIssue]",Submission!$O:$O,Submission!$H:$N,""))</f>
        <v>Non-material misstatements</v>
      </c>
      <c r="F88" s="106" t="str">
        <f>_xlfn.CONCAT(_xlfn.XLOOKUP("[S08_BaselineDataIssuesDetail][6][NumberOfInstallations]",Submission!$O:$O,Submission!$H:$N,""))</f>
        <v>1</v>
      </c>
      <c r="G88" s="106" t="str">
        <f>_xlfn.CONCAT(_xlfn.XLOOKUP("[S08_BaselineDataIssuesDetail][6][NumberOfIssues]",Submission!$O:$O,Submission!$H:$N,""))</f>
        <v>1</v>
      </c>
      <c r="H88" s="464" t="str">
        <f>_xlfn.CONCAT(_xlfn.XLOOKUP("[S08_BaselineDataIssuesDetail][6][NumberOfInstallationsArt152]",Submission!$O:$O,Submission!$H:$N,""))</f>
        <v>0</v>
      </c>
      <c r="I88" s="465"/>
    </row>
    <row r="89" spans="2:9" ht="43.95" customHeight="1" x14ac:dyDescent="0.3">
      <c r="C89" s="261" t="str">
        <f>_xlfn.CONCAT(_xlfn.XLOOKUP("[S08_BaselineDataIssuesDetail][7][AnnexIActivity]",Submission!$O:$O,Submission!$H:$N,""))</f>
        <v>31 - Manufacture of glass as specified in Annex I of Directive 2003/87/EC</v>
      </c>
      <c r="D89" s="263"/>
      <c r="E89" s="72" t="str">
        <f>_xlfn.CONCAT(_xlfn.XLOOKUP("[S08_BaselineDataIssuesDetail][7][TypeOfIssue]",Submission!$O:$O,Submission!$H:$N,""))</f>
        <v>Non-material misstatements</v>
      </c>
      <c r="F89" s="106" t="str">
        <f>_xlfn.CONCAT(_xlfn.XLOOKUP("[S08_BaselineDataIssuesDetail][7][NumberOfInstallations]",Submission!$O:$O,Submission!$H:$N,""))</f>
        <v>1</v>
      </c>
      <c r="G89" s="106" t="str">
        <f>_xlfn.CONCAT(_xlfn.XLOOKUP("[S08_BaselineDataIssuesDetail][7][NumberOfIssues]",Submission!$O:$O,Submission!$H:$N,""))</f>
        <v>1</v>
      </c>
      <c r="H89" s="464" t="str">
        <f>_xlfn.CONCAT(_xlfn.XLOOKUP("[S08_BaselineDataIssuesDetail][7][NumberOfInstallationsArt152]",Submission!$O:$O,Submission!$H:$N,""))</f>
        <v>0</v>
      </c>
      <c r="I89" s="465"/>
    </row>
    <row r="90" spans="2:9" ht="43.95" customHeight="1" x14ac:dyDescent="0.3">
      <c r="C90" s="261" t="str">
        <f>_xlfn.CONCAT(_xlfn.XLOOKUP("[S08_BaselineDataIssuesDetail][8][AnnexIActivity]",Submission!$O:$O,Submission!$H:$N,""))</f>
        <v/>
      </c>
      <c r="D90" s="263"/>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4" t="str">
        <f>_xlfn.CONCAT(_xlfn.XLOOKUP("[S08_BaselineDataIssuesDetail][8][NumberOfInstallationsArt152]",Submission!$O:$O,Submission!$H:$N,""))</f>
        <v/>
      </c>
      <c r="I90" s="465"/>
    </row>
    <row r="91" spans="2:9" ht="43.95" customHeight="1" x14ac:dyDescent="0.3">
      <c r="C91" s="261" t="str">
        <f>_xlfn.CONCAT(_xlfn.XLOOKUP("[S08_BaselineDataIssuesDetail][9][AnnexIActivity]",Submission!$O:$O,Submission!$H:$N,""))</f>
        <v/>
      </c>
      <c r="D91" s="263"/>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4" t="str">
        <f>_xlfn.CONCAT(_xlfn.XLOOKUP("[S08_BaselineDataIssuesDetail][9][NumberOfInstallationsArt152]",Submission!$O:$O,Submission!$H:$N,""))</f>
        <v/>
      </c>
      <c r="I91" s="465"/>
    </row>
    <row r="92" spans="2:9" ht="43.95" customHeight="1" x14ac:dyDescent="0.3">
      <c r="C92" s="261" t="str">
        <f>_xlfn.CONCAT(_xlfn.XLOOKUP("[S08_BaselineDataIssuesDetail][10][AnnexIActivity]",Submission!$O:$O,Submission!$H:$N,""))</f>
        <v/>
      </c>
      <c r="D92" s="263"/>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4" t="str">
        <f>_xlfn.CONCAT(_xlfn.XLOOKUP("[S08_BaselineDataIssuesDetail][10][NumberOfInstallationsArt152]",Submission!$O:$O,Submission!$H:$N,""))</f>
        <v/>
      </c>
      <c r="I92" s="465"/>
    </row>
    <row r="93" spans="2:9" ht="43.95" customHeight="1" x14ac:dyDescent="0.3">
      <c r="C93" s="261" t="str">
        <f>_xlfn.CONCAT(_xlfn.XLOOKUP("[S08_BaselineDataIssuesDetail][11][AnnexIActivity]",Submission!$O:$O,Submission!$H:$N,""))</f>
        <v/>
      </c>
      <c r="D93" s="263"/>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4" t="str">
        <f>_xlfn.CONCAT(_xlfn.XLOOKUP("[S08_BaselineDataIssuesDetail][11][NumberOfInstallationsArt152]",Submission!$O:$O,Submission!$H:$N,""))</f>
        <v/>
      </c>
      <c r="I93" s="465"/>
    </row>
    <row r="94" spans="2:9" ht="43.95" customHeight="1" x14ac:dyDescent="0.3">
      <c r="C94" s="261" t="str">
        <f>_xlfn.CONCAT(_xlfn.XLOOKUP("[S08_BaselineDataIssuesDetail][12][AnnexIActivity]",Submission!$O:$O,Submission!$H:$N,""))</f>
        <v/>
      </c>
      <c r="D94" s="263"/>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4" t="str">
        <f>_xlfn.CONCAT(_xlfn.XLOOKUP("[S08_BaselineDataIssuesDetail][12][NumberOfInstallationsArt152]",Submission!$O:$O,Submission!$H:$N,""))</f>
        <v/>
      </c>
      <c r="I94" s="465"/>
    </row>
    <row r="95" spans="2:9" ht="43.95" customHeight="1" x14ac:dyDescent="0.3">
      <c r="C95" s="261" t="str">
        <f>_xlfn.CONCAT(_xlfn.XLOOKUP("[S08_BaselineDataIssuesDetail][13][AnnexIActivity]",Submission!$O:$O,Submission!$H:$N,""))</f>
        <v/>
      </c>
      <c r="D95" s="263"/>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4" t="str">
        <f>_xlfn.CONCAT(_xlfn.XLOOKUP("[S08_BaselineDataIssuesDetail][13][NumberOfInstallationsArt152]",Submission!$O:$O,Submission!$H:$N,""))</f>
        <v/>
      </c>
      <c r="I95" s="465"/>
    </row>
    <row r="96" spans="2:9" ht="43.95" customHeight="1" x14ac:dyDescent="0.3">
      <c r="C96" s="261" t="str">
        <f>_xlfn.CONCAT(_xlfn.XLOOKUP("[S08_BaselineDataIssuesDetail][14][AnnexIActivity]",Submission!$O:$O,Submission!$H:$N,""))</f>
        <v/>
      </c>
      <c r="D96" s="263"/>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4" t="str">
        <f>_xlfn.CONCAT(_xlfn.XLOOKUP("[S08_BaselineDataIssuesDetail][14][NumberOfInstallationsArt152]",Submission!$O:$O,Submission!$H:$N,""))</f>
        <v/>
      </c>
      <c r="I96" s="465"/>
    </row>
    <row r="97" spans="3:9" ht="43.95" customHeight="1" x14ac:dyDescent="0.3">
      <c r="C97" s="261" t="str">
        <f>_xlfn.CONCAT(_xlfn.XLOOKUP("[S08_BaselineDataIssuesDetail][15][AnnexIActivity]",Submission!$O:$O,Submission!$H:$N,""))</f>
        <v/>
      </c>
      <c r="D97" s="263"/>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4" t="str">
        <f>_xlfn.CONCAT(_xlfn.XLOOKUP("[S08_BaselineDataIssuesDetail][15][NumberOfInstallationsArt152]",Submission!$O:$O,Submission!$H:$N,""))</f>
        <v/>
      </c>
      <c r="I97" s="465"/>
    </row>
    <row r="98" spans="3:9" ht="43.95" hidden="1" customHeight="1" outlineLevel="1" x14ac:dyDescent="0.3">
      <c r="C98" s="261" t="str">
        <f>_xlfn.CONCAT(_xlfn.XLOOKUP("[S08_BaselineDataIssuesDetail][16][AnnexIActivity]",Submission!$O:$O,Submission!$H:$N,""))</f>
        <v/>
      </c>
      <c r="D98" s="263"/>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4" t="str">
        <f>_xlfn.CONCAT(_xlfn.XLOOKUP("[S08_BaselineDataIssuesDetail][16][NumberOfInstallationsArt152]",Submission!$O:$O,Submission!$H:$N,""))</f>
        <v/>
      </c>
      <c r="I98" s="465"/>
    </row>
    <row r="99" spans="3:9" ht="43.95" hidden="1" customHeight="1" outlineLevel="1" x14ac:dyDescent="0.3">
      <c r="C99" s="261" t="str">
        <f>_xlfn.CONCAT(_xlfn.XLOOKUP("[S08_BaselineDataIssuesDetail][17][AnnexIActivity]",Submission!$O:$O,Submission!$H:$N,""))</f>
        <v/>
      </c>
      <c r="D99" s="263"/>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4" t="str">
        <f>_xlfn.CONCAT(_xlfn.XLOOKUP("[S08_BaselineDataIssuesDetail][17][NumberOfInstallationsArt152]",Submission!$O:$O,Submission!$H:$N,""))</f>
        <v/>
      </c>
      <c r="I99" s="465"/>
    </row>
    <row r="100" spans="3:9" ht="43.95" hidden="1" customHeight="1" outlineLevel="1" x14ac:dyDescent="0.3">
      <c r="C100" s="261" t="str">
        <f>_xlfn.CONCAT(_xlfn.XLOOKUP("[S08_BaselineDataIssuesDetail][18][AnnexIActivity]",Submission!$O:$O,Submission!$H:$N,""))</f>
        <v/>
      </c>
      <c r="D100" s="263"/>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4" t="str">
        <f>_xlfn.CONCAT(_xlfn.XLOOKUP("[S08_BaselineDataIssuesDetail][18][NumberOfInstallationsArt152]",Submission!$O:$O,Submission!$H:$N,""))</f>
        <v/>
      </c>
      <c r="I100" s="465"/>
    </row>
    <row r="101" spans="3:9" ht="43.95" hidden="1" customHeight="1" outlineLevel="1" x14ac:dyDescent="0.3">
      <c r="C101" s="261" t="str">
        <f>_xlfn.CONCAT(_xlfn.XLOOKUP("[S08_BaselineDataIssuesDetail][19][AnnexIActivity]",Submission!$O:$O,Submission!$H:$N,""))</f>
        <v/>
      </c>
      <c r="D101" s="263"/>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4" t="str">
        <f>_xlfn.CONCAT(_xlfn.XLOOKUP("[S08_BaselineDataIssuesDetail][19][NumberOfInstallationsArt152]",Submission!$O:$O,Submission!$H:$N,""))</f>
        <v/>
      </c>
      <c r="I101" s="465"/>
    </row>
    <row r="102" spans="3:9" ht="43.95" hidden="1" customHeight="1" outlineLevel="1" x14ac:dyDescent="0.3">
      <c r="C102" s="261" t="str">
        <f>_xlfn.CONCAT(_xlfn.XLOOKUP("[S08_BaselineDataIssuesDetail][20][AnnexIActivity]",Submission!$O:$O,Submission!$H:$N,""))</f>
        <v/>
      </c>
      <c r="D102" s="263"/>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4" t="str">
        <f>_xlfn.CONCAT(_xlfn.XLOOKUP("[S08_BaselineDataIssuesDetail][20][NumberOfInstallationsArt152]",Submission!$O:$O,Submission!$H:$N,""))</f>
        <v/>
      </c>
      <c r="I102" s="465"/>
    </row>
    <row r="103" spans="3:9" ht="43.95" hidden="1" customHeight="1" outlineLevel="1" x14ac:dyDescent="0.3">
      <c r="C103" s="261" t="str">
        <f>_xlfn.CONCAT(_xlfn.XLOOKUP("[S08_BaselineDataIssuesDetail][21][AnnexIActivity]",Submission!$O:$O,Submission!$H:$N,""))</f>
        <v/>
      </c>
      <c r="D103" s="263"/>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4" t="str">
        <f>_xlfn.CONCAT(_xlfn.XLOOKUP("[S08_BaselineDataIssuesDetail][21][NumberOfInstallationsArt152]",Submission!$O:$O,Submission!$H:$N,""))</f>
        <v/>
      </c>
      <c r="I103" s="465"/>
    </row>
    <row r="104" spans="3:9" ht="43.95" hidden="1" customHeight="1" outlineLevel="1" x14ac:dyDescent="0.3">
      <c r="C104" s="261" t="str">
        <f>_xlfn.CONCAT(_xlfn.XLOOKUP("[S08_BaselineDataIssuesDetail][22][AnnexIActivity]",Submission!$O:$O,Submission!$H:$N,""))</f>
        <v/>
      </c>
      <c r="D104" s="263"/>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4" t="str">
        <f>_xlfn.CONCAT(_xlfn.XLOOKUP("[S08_BaselineDataIssuesDetail][22][NumberOfInstallationsArt152]",Submission!$O:$O,Submission!$H:$N,""))</f>
        <v/>
      </c>
      <c r="I104" s="465"/>
    </row>
    <row r="105" spans="3:9" ht="43.95" hidden="1" customHeight="1" outlineLevel="1" x14ac:dyDescent="0.3">
      <c r="C105" s="261" t="str">
        <f>_xlfn.CONCAT(_xlfn.XLOOKUP("[S08_BaselineDataIssuesDetail][23][AnnexIActivity]",Submission!$O:$O,Submission!$H:$N,""))</f>
        <v/>
      </c>
      <c r="D105" s="263"/>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4" t="str">
        <f>_xlfn.CONCAT(_xlfn.XLOOKUP("[S08_BaselineDataIssuesDetail][23][NumberOfInstallationsArt152]",Submission!$O:$O,Submission!$H:$N,""))</f>
        <v/>
      </c>
      <c r="I105" s="465"/>
    </row>
    <row r="106" spans="3:9" ht="43.95" hidden="1" customHeight="1" outlineLevel="1" x14ac:dyDescent="0.3">
      <c r="C106" s="261" t="str">
        <f>_xlfn.CONCAT(_xlfn.XLOOKUP("[S08_BaselineDataIssuesDetail][24][AnnexIActivity]",Submission!$O:$O,Submission!$H:$N,""))</f>
        <v/>
      </c>
      <c r="D106" s="263"/>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4" t="str">
        <f>_xlfn.CONCAT(_xlfn.XLOOKUP("[S08_BaselineDataIssuesDetail][24][NumberOfInstallationsArt152]",Submission!$O:$O,Submission!$H:$N,""))</f>
        <v/>
      </c>
      <c r="I106" s="465"/>
    </row>
    <row r="107" spans="3:9" ht="43.95" hidden="1" customHeight="1" outlineLevel="1" x14ac:dyDescent="0.3">
      <c r="C107" s="261" t="str">
        <f>_xlfn.CONCAT(_xlfn.XLOOKUP("[S08_BaselineDataIssuesDetail][25][AnnexIActivity]",Submission!$O:$O,Submission!$H:$N,""))</f>
        <v/>
      </c>
      <c r="D107" s="263"/>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4" t="str">
        <f>_xlfn.CONCAT(_xlfn.XLOOKUP("[S08_BaselineDataIssuesDetail][25][NumberOfInstallationsArt152]",Submission!$O:$O,Submission!$H:$N,""))</f>
        <v/>
      </c>
      <c r="I107" s="465"/>
    </row>
    <row r="108" spans="3:9" ht="43.95" hidden="1" customHeight="1" outlineLevel="1" x14ac:dyDescent="0.3">
      <c r="C108" s="261" t="str">
        <f>_xlfn.CONCAT(_xlfn.XLOOKUP("[S08_BaselineDataIssuesDetail][26][AnnexIActivity]",Submission!$O:$O,Submission!$H:$N,""))</f>
        <v/>
      </c>
      <c r="D108" s="263"/>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4" t="str">
        <f>_xlfn.CONCAT(_xlfn.XLOOKUP("[S08_BaselineDataIssuesDetail][26][NumberOfInstallationsArt152]",Submission!$O:$O,Submission!$H:$N,""))</f>
        <v/>
      </c>
      <c r="I108" s="465"/>
    </row>
    <row r="109" spans="3:9" ht="43.95" hidden="1" customHeight="1" outlineLevel="1" x14ac:dyDescent="0.3">
      <c r="C109" s="261" t="str">
        <f>_xlfn.CONCAT(_xlfn.XLOOKUP("[S08_BaselineDataIssuesDetail][27][AnnexIActivity]",Submission!$O:$O,Submission!$H:$N,""))</f>
        <v/>
      </c>
      <c r="D109" s="263"/>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4" t="str">
        <f>_xlfn.CONCAT(_xlfn.XLOOKUP("[S08_BaselineDataIssuesDetail][27][NumberOfInstallationsArt152]",Submission!$O:$O,Submission!$H:$N,""))</f>
        <v/>
      </c>
      <c r="I109" s="465"/>
    </row>
    <row r="110" spans="3:9" ht="43.95" hidden="1" customHeight="1" outlineLevel="1" x14ac:dyDescent="0.3">
      <c r="C110" s="261" t="str">
        <f>_xlfn.CONCAT(_xlfn.XLOOKUP("[S08_BaselineDataIssuesDetail][28][AnnexIActivity]",Submission!$O:$O,Submission!$H:$N,""))</f>
        <v/>
      </c>
      <c r="D110" s="263"/>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4" t="str">
        <f>_xlfn.CONCAT(_xlfn.XLOOKUP("[S08_BaselineDataIssuesDetail][28][NumberOfInstallationsArt152]",Submission!$O:$O,Submission!$H:$N,""))</f>
        <v/>
      </c>
      <c r="I110" s="465"/>
    </row>
    <row r="111" spans="3:9" ht="43.95" hidden="1" customHeight="1" outlineLevel="1" x14ac:dyDescent="0.3">
      <c r="C111" s="261" t="str">
        <f>_xlfn.CONCAT(_xlfn.XLOOKUP("[S08_BaselineDataIssuesDetail][29][AnnexIActivity]",Submission!$O:$O,Submission!$H:$N,""))</f>
        <v/>
      </c>
      <c r="D111" s="263"/>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4" t="str">
        <f>_xlfn.CONCAT(_xlfn.XLOOKUP("[S08_BaselineDataIssuesDetail][29][NumberOfInstallationsArt152]",Submission!$O:$O,Submission!$H:$N,""))</f>
        <v/>
      </c>
      <c r="I111" s="465"/>
    </row>
    <row r="112" spans="3:9" ht="43.95" hidden="1" customHeight="1" outlineLevel="1" x14ac:dyDescent="0.3">
      <c r="C112" s="261" t="str">
        <f>_xlfn.CONCAT(_xlfn.XLOOKUP("[S08_BaselineDataIssuesDetail][30][AnnexIActivity]",Submission!$O:$O,Submission!$H:$N,""))</f>
        <v/>
      </c>
      <c r="D112" s="263"/>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4" t="str">
        <f>_xlfn.CONCAT(_xlfn.XLOOKUP("[S08_BaselineDataIssuesDetail][30][NumberOfInstallationsArt152]",Submission!$O:$O,Submission!$H:$N,""))</f>
        <v/>
      </c>
      <c r="I112" s="465"/>
    </row>
    <row r="113" spans="3:9" ht="43.95" hidden="1" customHeight="1" outlineLevel="1" x14ac:dyDescent="0.3">
      <c r="C113" s="261" t="str">
        <f>_xlfn.CONCAT(_xlfn.XLOOKUP("[S08_BaselineDataIssuesDetail][31][AnnexIActivity]",Submission!$O:$O,Submission!$H:$N,""))</f>
        <v/>
      </c>
      <c r="D113" s="263"/>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4" t="str">
        <f>_xlfn.CONCAT(_xlfn.XLOOKUP("[S08_BaselineDataIssuesDetail][31][NumberOfInstallationsArt152]",Submission!$O:$O,Submission!$H:$N,""))</f>
        <v/>
      </c>
      <c r="I113" s="465"/>
    </row>
    <row r="114" spans="3:9" ht="43.95" hidden="1" customHeight="1" outlineLevel="1" x14ac:dyDescent="0.3">
      <c r="C114" s="261" t="str">
        <f>_xlfn.CONCAT(_xlfn.XLOOKUP("[S08_BaselineDataIssuesDetail][32][AnnexIActivity]",Submission!$O:$O,Submission!$H:$N,""))</f>
        <v/>
      </c>
      <c r="D114" s="263"/>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4" t="str">
        <f>_xlfn.CONCAT(_xlfn.XLOOKUP("[S08_BaselineDataIssuesDetail][32][NumberOfInstallationsArt152]",Submission!$O:$O,Submission!$H:$N,""))</f>
        <v/>
      </c>
      <c r="I114" s="465"/>
    </row>
    <row r="115" spans="3:9" ht="43.95" hidden="1" customHeight="1" outlineLevel="1" x14ac:dyDescent="0.3">
      <c r="C115" s="261" t="str">
        <f>_xlfn.CONCAT(_xlfn.XLOOKUP("[S08_BaselineDataIssuesDetail][33][AnnexIActivity]",Submission!$O:$O,Submission!$H:$N,""))</f>
        <v/>
      </c>
      <c r="D115" s="263"/>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4" t="str">
        <f>_xlfn.CONCAT(_xlfn.XLOOKUP("[S08_BaselineDataIssuesDetail][33][NumberOfInstallationsArt152]",Submission!$O:$O,Submission!$H:$N,""))</f>
        <v/>
      </c>
      <c r="I115" s="465"/>
    </row>
    <row r="116" spans="3:9" ht="43.95" hidden="1" customHeight="1" outlineLevel="1" x14ac:dyDescent="0.3">
      <c r="C116" s="261" t="str">
        <f>_xlfn.CONCAT(_xlfn.XLOOKUP("[S08_BaselineDataIssuesDetail][34][AnnexIActivity]",Submission!$O:$O,Submission!$H:$N,""))</f>
        <v/>
      </c>
      <c r="D116" s="263"/>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4" t="str">
        <f>_xlfn.CONCAT(_xlfn.XLOOKUP("[S08_BaselineDataIssuesDetail][34][NumberOfInstallationsArt152]",Submission!$O:$O,Submission!$H:$N,""))</f>
        <v/>
      </c>
      <c r="I116" s="465"/>
    </row>
    <row r="117" spans="3:9" ht="43.95" hidden="1" customHeight="1" outlineLevel="1" x14ac:dyDescent="0.3">
      <c r="C117" s="261" t="str">
        <f>_xlfn.CONCAT(_xlfn.XLOOKUP("[S08_BaselineDataIssuesDetail][35][AnnexIActivity]",Submission!$O:$O,Submission!$H:$N,""))</f>
        <v/>
      </c>
      <c r="D117" s="263"/>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4" t="str">
        <f>_xlfn.CONCAT(_xlfn.XLOOKUP("[S08_BaselineDataIssuesDetail][35][NumberOfInstallationsArt152]",Submission!$O:$O,Submission!$H:$N,""))</f>
        <v/>
      </c>
      <c r="I117" s="465"/>
    </row>
    <row r="118" spans="3:9" ht="43.95" hidden="1" customHeight="1" outlineLevel="1" x14ac:dyDescent="0.3">
      <c r="C118" s="261" t="str">
        <f>_xlfn.CONCAT(_xlfn.XLOOKUP("[S08_BaselineDataIssuesDetail][36][AnnexIActivity]",Submission!$O:$O,Submission!$H:$N,""))</f>
        <v/>
      </c>
      <c r="D118" s="263"/>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4" t="str">
        <f>_xlfn.CONCAT(_xlfn.XLOOKUP("[S08_BaselineDataIssuesDetail][36][NumberOfInstallationsArt152]",Submission!$O:$O,Submission!$H:$N,""))</f>
        <v/>
      </c>
      <c r="I118" s="465"/>
    </row>
    <row r="119" spans="3:9" ht="43.95" hidden="1" customHeight="1" outlineLevel="1" x14ac:dyDescent="0.3">
      <c r="C119" s="261" t="str">
        <f>_xlfn.CONCAT(_xlfn.XLOOKUP("[S08_BaselineDataIssuesDetail][37][AnnexIActivity]",Submission!$O:$O,Submission!$H:$N,""))</f>
        <v/>
      </c>
      <c r="D119" s="263"/>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4" t="str">
        <f>_xlfn.CONCAT(_xlfn.XLOOKUP("[S08_BaselineDataIssuesDetail][37][NumberOfInstallationsArt152]",Submission!$O:$O,Submission!$H:$N,""))</f>
        <v/>
      </c>
      <c r="I119" s="465"/>
    </row>
    <row r="120" spans="3:9" ht="43.95" hidden="1" customHeight="1" outlineLevel="1" x14ac:dyDescent="0.3">
      <c r="C120" s="261" t="str">
        <f>_xlfn.CONCAT(_xlfn.XLOOKUP("[S08_BaselineDataIssuesDetail][38][AnnexIActivity]",Submission!$O:$O,Submission!$H:$N,""))</f>
        <v/>
      </c>
      <c r="D120" s="263"/>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4" t="str">
        <f>_xlfn.CONCAT(_xlfn.XLOOKUP("[S08_BaselineDataIssuesDetail][38][NumberOfInstallationsArt152]",Submission!$O:$O,Submission!$H:$N,""))</f>
        <v/>
      </c>
      <c r="I120" s="465"/>
    </row>
    <row r="121" spans="3:9" ht="43.95" hidden="1" customHeight="1" outlineLevel="1" x14ac:dyDescent="0.3">
      <c r="C121" s="261" t="str">
        <f>_xlfn.CONCAT(_xlfn.XLOOKUP("[S08_BaselineDataIssuesDetail][39][AnnexIActivity]",Submission!$O:$O,Submission!$H:$N,""))</f>
        <v/>
      </c>
      <c r="D121" s="263"/>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4" t="str">
        <f>_xlfn.CONCAT(_xlfn.XLOOKUP("[S08_BaselineDataIssuesDetail][39][NumberOfInstallationsArt152]",Submission!$O:$O,Submission!$H:$N,""))</f>
        <v/>
      </c>
      <c r="I121" s="465"/>
    </row>
    <row r="122" spans="3:9" ht="43.95" hidden="1" customHeight="1" outlineLevel="1" x14ac:dyDescent="0.3">
      <c r="C122" s="261" t="str">
        <f>_xlfn.CONCAT(_xlfn.XLOOKUP("[S08_BaselineDataIssuesDetail][40][AnnexIActivity]",Submission!$O:$O,Submission!$H:$N,""))</f>
        <v/>
      </c>
      <c r="D122" s="263"/>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4" t="str">
        <f>_xlfn.CONCAT(_xlfn.XLOOKUP("[S08_BaselineDataIssuesDetail][40][NumberOfInstallationsArt152]",Submission!$O:$O,Submission!$H:$N,""))</f>
        <v/>
      </c>
      <c r="I122" s="465"/>
    </row>
    <row r="123" spans="3:9" ht="43.95" hidden="1" customHeight="1" outlineLevel="1" x14ac:dyDescent="0.3">
      <c r="C123" s="261" t="str">
        <f>_xlfn.CONCAT(_xlfn.XLOOKUP("[S08_BaselineDataIssuesDetail][41][AnnexIActivity]",Submission!$O:$O,Submission!$H:$N,""))</f>
        <v/>
      </c>
      <c r="D123" s="263"/>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4" t="str">
        <f>_xlfn.CONCAT(_xlfn.XLOOKUP("[S08_BaselineDataIssuesDetail][41][NumberOfInstallationsArt152]",Submission!$O:$O,Submission!$H:$N,""))</f>
        <v/>
      </c>
      <c r="I123" s="465"/>
    </row>
    <row r="124" spans="3:9" ht="43.95" hidden="1" customHeight="1" outlineLevel="1" x14ac:dyDescent="0.3">
      <c r="C124" s="261" t="str">
        <f>_xlfn.CONCAT(_xlfn.XLOOKUP("[S08_BaselineDataIssuesDetail][42][AnnexIActivity]",Submission!$O:$O,Submission!$H:$N,""))</f>
        <v/>
      </c>
      <c r="D124" s="263"/>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4" t="str">
        <f>_xlfn.CONCAT(_xlfn.XLOOKUP("[S08_BaselineDataIssuesDetail][42][NumberOfInstallationsArt152]",Submission!$O:$O,Submission!$H:$N,""))</f>
        <v/>
      </c>
      <c r="I124" s="465"/>
    </row>
    <row r="125" spans="3:9" ht="43.95" hidden="1" customHeight="1" outlineLevel="1" x14ac:dyDescent="0.3">
      <c r="C125" s="261" t="str">
        <f>_xlfn.CONCAT(_xlfn.XLOOKUP("[S08_BaselineDataIssuesDetail][43][AnnexIActivity]",Submission!$O:$O,Submission!$H:$N,""))</f>
        <v/>
      </c>
      <c r="D125" s="263"/>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4" t="str">
        <f>_xlfn.CONCAT(_xlfn.XLOOKUP("[S08_BaselineDataIssuesDetail][43][NumberOfInstallationsArt152]",Submission!$O:$O,Submission!$H:$N,""))</f>
        <v/>
      </c>
      <c r="I125" s="465"/>
    </row>
    <row r="126" spans="3:9" ht="43.95" hidden="1" customHeight="1" outlineLevel="1" x14ac:dyDescent="0.3">
      <c r="C126" s="261" t="str">
        <f>_xlfn.CONCAT(_xlfn.XLOOKUP("[S08_BaselineDataIssuesDetail][44][AnnexIActivity]",Submission!$O:$O,Submission!$H:$N,""))</f>
        <v/>
      </c>
      <c r="D126" s="263"/>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4" t="str">
        <f>_xlfn.CONCAT(_xlfn.XLOOKUP("[S08_BaselineDataIssuesDetail][44][NumberOfInstallationsArt152]",Submission!$O:$O,Submission!$H:$N,""))</f>
        <v/>
      </c>
      <c r="I126" s="465"/>
    </row>
    <row r="127" spans="3:9" ht="43.95" hidden="1" customHeight="1" outlineLevel="1" x14ac:dyDescent="0.3">
      <c r="C127" s="261" t="str">
        <f>_xlfn.CONCAT(_xlfn.XLOOKUP("[S08_BaselineDataIssuesDetail][45][AnnexIActivity]",Submission!$O:$O,Submission!$H:$N,""))</f>
        <v/>
      </c>
      <c r="D127" s="263"/>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4" t="str">
        <f>_xlfn.CONCAT(_xlfn.XLOOKUP("[S08_BaselineDataIssuesDetail][45][NumberOfInstallationsArt152]",Submission!$O:$O,Submission!$H:$N,""))</f>
        <v/>
      </c>
      <c r="I127" s="465"/>
    </row>
    <row r="128" spans="3:9" ht="43.95" hidden="1" customHeight="1" outlineLevel="1" x14ac:dyDescent="0.3">
      <c r="C128" s="261" t="str">
        <f>_xlfn.CONCAT(_xlfn.XLOOKUP("[S08_BaselineDataIssuesDetail][46][AnnexIActivity]",Submission!$O:$O,Submission!$H:$N,""))</f>
        <v/>
      </c>
      <c r="D128" s="263"/>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4" t="str">
        <f>_xlfn.CONCAT(_xlfn.XLOOKUP("[S08_BaselineDataIssuesDetail][46][NumberOfInstallationsArt152]",Submission!$O:$O,Submission!$H:$N,""))</f>
        <v/>
      </c>
      <c r="I128" s="465"/>
    </row>
    <row r="129" spans="1:9" ht="43.95" hidden="1" customHeight="1" outlineLevel="1" x14ac:dyDescent="0.3">
      <c r="C129" s="261" t="str">
        <f>_xlfn.CONCAT(_xlfn.XLOOKUP("[S08_BaselineDataIssuesDetail][47][AnnexIActivity]",Submission!$O:$O,Submission!$H:$N,""))</f>
        <v/>
      </c>
      <c r="D129" s="263"/>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4" t="str">
        <f>_xlfn.CONCAT(_xlfn.XLOOKUP("[S08_BaselineDataIssuesDetail][47][NumberOfInstallationsArt152]",Submission!$O:$O,Submission!$H:$N,""))</f>
        <v/>
      </c>
      <c r="I129" s="465"/>
    </row>
    <row r="130" spans="1:9" ht="43.95" hidden="1" customHeight="1" outlineLevel="1" x14ac:dyDescent="0.3">
      <c r="C130" s="261" t="str">
        <f>_xlfn.CONCAT(_xlfn.XLOOKUP("[S08_BaselineDataIssuesDetail][48][AnnexIActivity]",Submission!$O:$O,Submission!$H:$N,""))</f>
        <v/>
      </c>
      <c r="D130" s="263"/>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4" t="str">
        <f>_xlfn.CONCAT(_xlfn.XLOOKUP("[S08_BaselineDataIssuesDetail][48][NumberOfInstallationsArt152]",Submission!$O:$O,Submission!$H:$N,""))</f>
        <v/>
      </c>
      <c r="I130" s="465"/>
    </row>
    <row r="131" spans="1:9" ht="43.95" hidden="1" customHeight="1" outlineLevel="1" x14ac:dyDescent="0.3">
      <c r="C131" s="261" t="str">
        <f>_xlfn.CONCAT(_xlfn.XLOOKUP("[S08_BaselineDataIssuesDetail][49][AnnexIActivity]",Submission!$O:$O,Submission!$H:$N,""))</f>
        <v/>
      </c>
      <c r="D131" s="263"/>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4" t="str">
        <f>_xlfn.CONCAT(_xlfn.XLOOKUP("[S08_BaselineDataIssuesDetail][49][NumberOfInstallationsArt152]",Submission!$O:$O,Submission!$H:$N,""))</f>
        <v/>
      </c>
      <c r="I131" s="465"/>
    </row>
    <row r="132" spans="1:9" ht="43.95" hidden="1" customHeight="1" outlineLevel="1" x14ac:dyDescent="0.3">
      <c r="C132" s="261" t="str">
        <f>_xlfn.CONCAT(_xlfn.XLOOKUP("[S08_BaselineDataIssuesDetail][50][AnnexIActivity]",Submission!$O:$O,Submission!$H:$N,""))</f>
        <v/>
      </c>
      <c r="D132" s="263"/>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4" t="str">
        <f>_xlfn.CONCAT(_xlfn.XLOOKUP("[S08_BaselineDataIssuesDetail][50][NumberOfInstallationsArt152]",Submission!$O:$O,Submission!$H:$N,""))</f>
        <v/>
      </c>
      <c r="I132" s="465"/>
    </row>
    <row r="133" spans="1:9" collapsed="1" x14ac:dyDescent="0.3">
      <c r="B133" s="26" t="s">
        <v>1000</v>
      </c>
    </row>
    <row r="134" spans="1:9" ht="27.6" customHeight="1" x14ac:dyDescent="0.3">
      <c r="C134" s="265" t="s">
        <v>1190</v>
      </c>
      <c r="D134" s="265"/>
      <c r="E134" s="265"/>
      <c r="F134" s="265"/>
      <c r="G134" s="265"/>
      <c r="H134" s="265"/>
      <c r="I134" s="265"/>
    </row>
    <row r="136" spans="1:9" s="7" customFormat="1" ht="18.899999999999999" customHeight="1" x14ac:dyDescent="0.35">
      <c r="A136" s="85" t="s">
        <v>497</v>
      </c>
      <c r="B136" s="313" t="s">
        <v>498</v>
      </c>
      <c r="C136" s="313"/>
      <c r="D136" s="313"/>
      <c r="E136" s="313"/>
      <c r="F136" s="313"/>
      <c r="G136" s="313"/>
      <c r="H136" s="313"/>
      <c r="I136" s="314"/>
    </row>
    <row r="137" spans="1:9" s="7" customFormat="1" ht="18.899999999999999" customHeight="1" x14ac:dyDescent="0.3">
      <c r="A137" s="12" t="s">
        <v>500</v>
      </c>
      <c r="B137" s="483" t="s">
        <v>1191</v>
      </c>
      <c r="C137" s="483"/>
      <c r="D137" s="483"/>
      <c r="E137" s="483"/>
      <c r="F137" s="483"/>
      <c r="G137" s="483"/>
      <c r="H137" s="483"/>
      <c r="I137" s="483"/>
    </row>
    <row r="138" spans="1:9" ht="36" customHeight="1" x14ac:dyDescent="0.3">
      <c r="A138" s="12"/>
      <c r="B138" s="341" t="s">
        <v>1192</v>
      </c>
      <c r="C138" s="311"/>
      <c r="D138" s="311"/>
      <c r="E138" s="311"/>
      <c r="F138" s="311"/>
      <c r="G138" s="311"/>
      <c r="H138" s="348"/>
      <c r="I138" s="41" t="str">
        <f>_xlfn.CONCAT(_xlfn.XLOOKUP("[AdditionalParametersRequired][0][AdditionalParametersRequired]",Submission!$O:$O,Submission!$H:$N,""))</f>
        <v>No</v>
      </c>
    </row>
    <row r="139" spans="1:9" ht="16.95" customHeight="1" x14ac:dyDescent="0.3">
      <c r="B139" s="470" t="s">
        <v>1193</v>
      </c>
      <c r="C139" s="470"/>
      <c r="D139" s="470"/>
      <c r="E139" s="470"/>
      <c r="F139" s="470"/>
      <c r="G139" s="470"/>
      <c r="H139" s="470"/>
      <c r="I139" s="470"/>
    </row>
    <row r="140" spans="1:9" x14ac:dyDescent="0.3">
      <c r="C140" s="269" t="s">
        <v>1194</v>
      </c>
      <c r="D140" s="270"/>
      <c r="E140" s="270"/>
      <c r="F140" s="271"/>
      <c r="G140" s="258" t="str">
        <f>_xlfn.CONCAT(_xlfn.XLOOKUP("[AdditionalParametersType][0][AdditionalParametersType]",Submission!$O:$O,Submission!$H:$N,""))</f>
        <v/>
      </c>
      <c r="H140" s="463"/>
      <c r="I140" s="259"/>
    </row>
    <row r="141" spans="1:9" x14ac:dyDescent="0.3">
      <c r="C141" s="21"/>
      <c r="D141" s="21"/>
      <c r="E141" s="21"/>
      <c r="F141" s="21"/>
      <c r="G141" s="21"/>
      <c r="H141" s="21"/>
      <c r="I141" s="21"/>
    </row>
    <row r="142" spans="1:9" x14ac:dyDescent="0.3">
      <c r="A142" s="12" t="s">
        <v>503</v>
      </c>
      <c r="B142" s="484" t="s">
        <v>1132</v>
      </c>
      <c r="C142" s="484"/>
      <c r="D142" s="484"/>
      <c r="E142" s="484"/>
      <c r="F142" s="484"/>
      <c r="G142" s="484"/>
      <c r="H142" s="484"/>
      <c r="I142" s="484"/>
    </row>
    <row r="143" spans="1:9" ht="36" customHeight="1" x14ac:dyDescent="0.3">
      <c r="A143" s="12"/>
      <c r="B143" s="341" t="s">
        <v>1195</v>
      </c>
      <c r="C143" s="311"/>
      <c r="D143" s="311"/>
      <c r="E143" s="311"/>
      <c r="F143" s="311"/>
      <c r="G143" s="311"/>
      <c r="H143" s="348"/>
      <c r="I143" s="41" t="str">
        <f>_xlfn.CONCAT(_xlfn.XLOOKUP("[PreliminaryActivityRequired][0][PreliminaryActivityRequired]",Submission!$O:$O,Submission!$H:$N,""))</f>
        <v>No</v>
      </c>
    </row>
    <row r="144" spans="1:9" ht="16.95" customHeight="1" x14ac:dyDescent="0.3">
      <c r="B144" s="470" t="s">
        <v>1196</v>
      </c>
      <c r="C144" s="470"/>
      <c r="D144" s="470"/>
      <c r="E144" s="470"/>
      <c r="F144" s="470"/>
      <c r="G144" s="470"/>
      <c r="H144" s="470"/>
      <c r="I144" s="470"/>
    </row>
    <row r="145" spans="1:9" x14ac:dyDescent="0.3">
      <c r="C145" s="269" t="s">
        <v>1197</v>
      </c>
      <c r="D145" s="270"/>
      <c r="E145" s="270"/>
      <c r="F145" s="271"/>
      <c r="G145" s="495" t="str">
        <f>_xlfn.CONCAT(_xlfn.XLOOKUP("[PreliminaryActivityTimeline][0][PreliminaryActivityTimeline]",Submission!$O:$O,Submission!$H:$N,""))</f>
        <v/>
      </c>
      <c r="H145" s="496"/>
      <c r="I145" s="497"/>
    </row>
    <row r="146" spans="1:9" x14ac:dyDescent="0.3">
      <c r="B146" s="16"/>
    </row>
    <row r="147" spans="1:9" ht="31.2" customHeight="1" x14ac:dyDescent="0.3">
      <c r="A147" s="12" t="s">
        <v>507</v>
      </c>
      <c r="B147" s="341" t="s">
        <v>1198</v>
      </c>
      <c r="C147" s="311"/>
      <c r="D147" s="311"/>
      <c r="E147" s="311"/>
      <c r="F147" s="311"/>
      <c r="G147" s="311"/>
      <c r="H147" s="311"/>
      <c r="I147" s="311"/>
    </row>
    <row r="148" spans="1:9" ht="42.6" customHeight="1" x14ac:dyDescent="0.3">
      <c r="C148" s="438" t="s">
        <v>1183</v>
      </c>
      <c r="D148" s="439"/>
      <c r="E148" s="440"/>
      <c r="F148" s="438" t="s">
        <v>76</v>
      </c>
      <c r="G148" s="440"/>
      <c r="H148" s="317" t="s">
        <v>1199</v>
      </c>
      <c r="I148" s="337"/>
    </row>
    <row r="149" spans="1:9" s="95" customFormat="1" ht="27.75" customHeight="1" x14ac:dyDescent="0.3">
      <c r="A149" s="94"/>
      <c r="C149" s="385" t="s">
        <v>1200</v>
      </c>
      <c r="D149" s="385"/>
      <c r="E149" s="385"/>
      <c r="F149" s="409" t="str">
        <f>_xlfn.CONCAT(_xlfn.XLOOKUP("[S08_NegativeOpinionActivityData][1][NumberOfInstallations]",Submission!$O:$O,Submission!$H:$N,""))</f>
        <v>5</v>
      </c>
      <c r="G149" s="409"/>
      <c r="H149" s="409" t="str">
        <f>_xlfn.CONCAT(_xlfn.XLOOKUP("[S08_NegativeOpinionActivityData][1][NumberOfInstallationsConEst]",Submission!$O:$O,Submission!$H:$N,""))</f>
        <v>5</v>
      </c>
      <c r="I149" s="409"/>
    </row>
    <row r="150" spans="1:9" s="95" customFormat="1" ht="27.75" customHeight="1" x14ac:dyDescent="0.3">
      <c r="A150" s="94"/>
      <c r="C150" s="385" t="s">
        <v>1201</v>
      </c>
      <c r="D150" s="385"/>
      <c r="E150" s="385"/>
      <c r="F150" s="409" t="str">
        <f>_xlfn.CONCAT(_xlfn.XLOOKUP("[S08_NegativeOpinionActivityData][2][NumberOfInstallations]",Submission!$O:$O,Submission!$H:$N,""))</f>
        <v/>
      </c>
      <c r="G150" s="409"/>
      <c r="H150" s="409" t="str">
        <f>_xlfn.CONCAT(_xlfn.XLOOKUP("[S08_NegativeOpinionActivityData][2][NumberOfInstallationsConEst]",Submission!$O:$O,Submission!$H:$N,""))</f>
        <v/>
      </c>
      <c r="I150" s="409"/>
    </row>
    <row r="151" spans="1:9" s="95" customFormat="1" ht="27.75" customHeight="1" x14ac:dyDescent="0.3">
      <c r="A151" s="94"/>
      <c r="C151" s="385" t="s">
        <v>1202</v>
      </c>
      <c r="D151" s="385"/>
      <c r="E151" s="385"/>
      <c r="F151" s="409" t="str">
        <f>_xlfn.CONCAT(_xlfn.XLOOKUP("[S08_NegativeOpinionActivityData][3][NumberOfInstallations]",Submission!$O:$O,Submission!$H:$N,""))</f>
        <v/>
      </c>
      <c r="G151" s="409"/>
      <c r="H151" s="409" t="str">
        <f>_xlfn.CONCAT(_xlfn.XLOOKUP("[S08_NegativeOpinionActivityData][3][NumberOfInstallationsConEst]",Submission!$O:$O,Submission!$H:$N,""))</f>
        <v/>
      </c>
      <c r="I151" s="409"/>
    </row>
    <row r="152" spans="1:9" s="95" customFormat="1" ht="27.75" customHeight="1" x14ac:dyDescent="0.3">
      <c r="A152" s="94"/>
      <c r="C152" s="385" t="s">
        <v>1203</v>
      </c>
      <c r="D152" s="385"/>
      <c r="E152" s="385"/>
      <c r="F152" s="409" t="str">
        <f>_xlfn.CONCAT(_xlfn.XLOOKUP("[S08_NegativeOpinionActivityData][4][NumberOfInstallations]",Submission!$O:$O,Submission!$H:$N,""))</f>
        <v/>
      </c>
      <c r="G152" s="409"/>
      <c r="H152" s="409" t="str">
        <f>_xlfn.CONCAT(_xlfn.XLOOKUP("[S08_NegativeOpinionActivityData][4][NumberOfInstallationsConEst]",Submission!$O:$O,Submission!$H:$N,""))</f>
        <v/>
      </c>
      <c r="I152" s="409"/>
    </row>
    <row r="154" spans="1:9" ht="33.6" customHeight="1" x14ac:dyDescent="0.3">
      <c r="A154" s="12" t="s">
        <v>511</v>
      </c>
      <c r="B154" s="341" t="s">
        <v>1204</v>
      </c>
      <c r="C154" s="341"/>
      <c r="D154" s="341"/>
      <c r="E154" s="341"/>
      <c r="F154" s="341"/>
      <c r="G154" s="341"/>
      <c r="H154" s="498"/>
      <c r="I154" s="41" t="str">
        <f>_xlfn.CONCAT(_xlfn.XLOOKUP("[ActivityDataIssues][0][ActivityDataIssues]",Submission!$O:$O,Submission!$H:$N,""))</f>
        <v>Yes</v>
      </c>
    </row>
    <row r="155" spans="1:9" ht="15.6" customHeight="1" x14ac:dyDescent="0.3">
      <c r="B155" s="470" t="s">
        <v>1043</v>
      </c>
      <c r="C155" s="470"/>
      <c r="D155" s="470"/>
      <c r="E155" s="470"/>
      <c r="F155" s="470"/>
      <c r="G155" s="470"/>
      <c r="H155" s="470"/>
      <c r="I155" s="470"/>
    </row>
    <row r="156" spans="1:9" ht="43.2" customHeight="1" x14ac:dyDescent="0.3">
      <c r="C156" s="438" t="s">
        <v>879</v>
      </c>
      <c r="D156" s="440"/>
      <c r="E156" s="43" t="s">
        <v>1044</v>
      </c>
      <c r="F156" s="51" t="s">
        <v>1045</v>
      </c>
      <c r="G156" s="51" t="s">
        <v>1046</v>
      </c>
      <c r="H156" s="317" t="s">
        <v>1199</v>
      </c>
      <c r="I156" s="337"/>
    </row>
    <row r="157" spans="1:9" ht="54" customHeight="1" x14ac:dyDescent="0.3">
      <c r="C157" s="261" t="str">
        <f>_xlfn.CONCAT(_xlfn.XLOOKUP("[S08_ActivityDataIssuesDetail]["&amp;ROW(B157)-ROW($B$156)&amp;"][AnnexIActivity]",Submission!$O:$O,Submission!$H:$N,""))</f>
        <v>20 - Combustion of fuels as specified in Annex I of Directive 2003/87/EC</v>
      </c>
      <c r="D157" s="263"/>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28</v>
      </c>
      <c r="G157" s="106" t="str">
        <f>_xlfn.CONCAT(_xlfn.XLOOKUP("[S08_ActivityDataIssuesDetail]["&amp;ROW(B157)-ROW($B$156)&amp;"][NumberOfIssues]",Submission!$O:$O,Submission!$H:$N,""))</f>
        <v>37</v>
      </c>
      <c r="H157" s="464" t="str">
        <f>_xlfn.CONCAT(_xlfn.XLOOKUP("[S08_ActivityDataIssuesDetail]["&amp;ROW(B157)-ROW($B$156)&amp;"][NumberOfInstallationsConEst]",Submission!$O:$O,Submission!$H:$N,""))</f>
        <v>1</v>
      </c>
      <c r="I157" s="465"/>
    </row>
    <row r="158" spans="1:9" ht="54" customHeight="1" x14ac:dyDescent="0.3">
      <c r="C158" s="261" t="str">
        <f>_xlfn.CONCAT(_xlfn.XLOOKUP("[S08_ActivityDataIssuesDetail]["&amp;ROW(B158)-ROW($B$156)&amp;"][AnnexIActivity]",Submission!$O:$O,Submission!$H:$N,""))</f>
        <v>30 - Production of lime or calcination of dolomite or magnesite as specified in Annex I of Directive 2003/87/ EC</v>
      </c>
      <c r="D158" s="263"/>
      <c r="E158" s="72" t="str">
        <f>_xlfn.CONCAT(_xlfn.XLOOKUP("[S08_ActivityDataIssuesDetail]["&amp;ROW(B158)-ROW($B$156)&amp;"][TypeOfIssue]",Submission!$O:$O,Submission!$H:$N,""))</f>
        <v>Non-material misstatements</v>
      </c>
      <c r="F158" s="106" t="str">
        <f>_xlfn.CONCAT(_xlfn.XLOOKUP("[S08_ActivityDataIssuesDetail]["&amp;ROW(B158)-ROW($B$156)&amp;"][NumberOfInstallations]",Submission!$O:$O,Submission!$H:$N,""))</f>
        <v>1</v>
      </c>
      <c r="G158" s="106" t="str">
        <f>_xlfn.CONCAT(_xlfn.XLOOKUP("[S08_ActivityDataIssuesDetail]["&amp;ROW(B158)-ROW($B$156)&amp;"][NumberOfIssues]",Submission!$O:$O,Submission!$H:$N,""))</f>
        <v>1</v>
      </c>
      <c r="H158" s="464" t="str">
        <f>_xlfn.CONCAT(_xlfn.XLOOKUP("[S08_ActivityDataIssuesDetail]["&amp;ROW(B158)-ROW($B$156)&amp;"][NumberOfInstallationsConEst]",Submission!$O:$O,Submission!$H:$N,""))</f>
        <v>0</v>
      </c>
      <c r="I158" s="465"/>
    </row>
    <row r="159" spans="1:9" ht="54" customHeight="1" x14ac:dyDescent="0.3">
      <c r="C159" s="261" t="str">
        <f>_xlfn.CONCAT(_xlfn.XLOOKUP("[S08_ActivityDataIssuesDetail]["&amp;ROW(B159)-ROW($B$156)&amp;"][AnnexIActivity]",Submission!$O:$O,Submission!$H:$N,""))</f>
        <v>31 - Manufacture of glass as specified in Annex I of Directive 2003/87/EC</v>
      </c>
      <c r="D159" s="263"/>
      <c r="E159" s="72" t="str">
        <f>_xlfn.CONCAT(_xlfn.XLOOKUP("[S08_ActivityDataIssuesDetail]["&amp;ROW(B159)-ROW($B$156)&amp;"][TypeOfIssue]",Submission!$O:$O,Submission!$H:$N,""))</f>
        <v>Non-material misstatements</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64" t="str">
        <f>_xlfn.CONCAT(_xlfn.XLOOKUP("[S08_ActivityDataIssuesDetail]["&amp;ROW(B159)-ROW($B$156)&amp;"][NumberOfInstallationsConEst]",Submission!$O:$O,Submission!$H:$N,""))</f>
        <v>0</v>
      </c>
      <c r="I159" s="465"/>
    </row>
    <row r="160" spans="1:9" ht="54" customHeight="1" x14ac:dyDescent="0.3">
      <c r="C160" s="261" t="str">
        <f>_xlfn.CONCAT(_xlfn.XLOOKUP("[S08_ActivityDataIssuesDetail]["&amp;ROW(B160)-ROW($B$156)&amp;"][AnnexIActivity]",Submission!$O:$O,Submission!$H:$N,""))</f>
        <v>32 - Manufacture of ceramic products as specified in Annex I of Directive 2003/87/EC</v>
      </c>
      <c r="D160" s="263"/>
      <c r="E160" s="72" t="str">
        <f>_xlfn.CONCAT(_xlfn.XLOOKUP("[S08_ActivityDataIssuesDetail]["&amp;ROW(B160)-ROW($B$156)&amp;"][TypeOfIssue]",Submission!$O:$O,Submission!$H:$N,""))</f>
        <v>Non-material misstatements</v>
      </c>
      <c r="F160" s="106" t="str">
        <f>_xlfn.CONCAT(_xlfn.XLOOKUP("[S08_ActivityDataIssuesDetail]["&amp;ROW(B160)-ROW($B$156)&amp;"][NumberOfInstallations]",Submission!$O:$O,Submission!$H:$N,""))</f>
        <v>1</v>
      </c>
      <c r="G160" s="106" t="str">
        <f>_xlfn.CONCAT(_xlfn.XLOOKUP("[S08_ActivityDataIssuesDetail]["&amp;ROW(B160)-ROW($B$156)&amp;"][NumberOfIssues]",Submission!$O:$O,Submission!$H:$N,""))</f>
        <v>2</v>
      </c>
      <c r="H160" s="464" t="str">
        <f>_xlfn.CONCAT(_xlfn.XLOOKUP("[S08_ActivityDataIssuesDetail]["&amp;ROW(B160)-ROW($B$156)&amp;"][NumberOfInstallationsConEst]",Submission!$O:$O,Submission!$H:$N,""))</f>
        <v>0</v>
      </c>
      <c r="I160" s="465"/>
    </row>
    <row r="161" spans="3:9" ht="54" customHeight="1" x14ac:dyDescent="0.3">
      <c r="C161" s="261" t="str">
        <f>_xlfn.CONCAT(_xlfn.XLOOKUP("[S08_ActivityDataIssuesDetail]["&amp;ROW(B161)-ROW($B$156)&amp;"][AnnexIActivity]",Submission!$O:$O,Submission!$H:$N,""))</f>
        <v/>
      </c>
      <c r="D161" s="263"/>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64" t="str">
        <f>_xlfn.CONCAT(_xlfn.XLOOKUP("[S08_ActivityDataIssuesDetail]["&amp;ROW(B161)-ROW($B$156)&amp;"][NumberOfInstallationsConEst]",Submission!$O:$O,Submission!$H:$N,""))</f>
        <v/>
      </c>
      <c r="I161" s="465"/>
    </row>
    <row r="162" spans="3:9" ht="54" customHeight="1" x14ac:dyDescent="0.3">
      <c r="C162" s="261" t="str">
        <f>_xlfn.CONCAT(_xlfn.XLOOKUP("[S08_ActivityDataIssuesDetail]["&amp;ROW(B162)-ROW($B$156)&amp;"][AnnexIActivity]",Submission!$O:$O,Submission!$H:$N,""))</f>
        <v/>
      </c>
      <c r="D162" s="263"/>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64" t="str">
        <f>_xlfn.CONCAT(_xlfn.XLOOKUP("[S08_ActivityDataIssuesDetail]["&amp;ROW(B162)-ROW($B$156)&amp;"][NumberOfInstallationsConEst]",Submission!$O:$O,Submission!$H:$N,""))</f>
        <v/>
      </c>
      <c r="I162" s="465"/>
    </row>
    <row r="163" spans="3:9" ht="54" customHeight="1" x14ac:dyDescent="0.3">
      <c r="C163" s="261" t="str">
        <f>_xlfn.CONCAT(_xlfn.XLOOKUP("[S08_ActivityDataIssuesDetail]["&amp;ROW(B163)-ROW($B$156)&amp;"][AnnexIActivity]",Submission!$O:$O,Submission!$H:$N,""))</f>
        <v/>
      </c>
      <c r="D163" s="263"/>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64" t="str">
        <f>_xlfn.CONCAT(_xlfn.XLOOKUP("[S08_ActivityDataIssuesDetail]["&amp;ROW(B163)-ROW($B$156)&amp;"][NumberOfInstallationsConEst]",Submission!$O:$O,Submission!$H:$N,""))</f>
        <v/>
      </c>
      <c r="I163" s="465"/>
    </row>
    <row r="164" spans="3:9" ht="54" customHeight="1" x14ac:dyDescent="0.3">
      <c r="C164" s="261" t="str">
        <f>_xlfn.CONCAT(_xlfn.XLOOKUP("[S08_ActivityDataIssuesDetail]["&amp;ROW(B164)-ROW($B$156)&amp;"][AnnexIActivity]",Submission!$O:$O,Submission!$H:$N,""))</f>
        <v/>
      </c>
      <c r="D164" s="263"/>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64" t="str">
        <f>_xlfn.CONCAT(_xlfn.XLOOKUP("[S08_ActivityDataIssuesDetail]["&amp;ROW(B164)-ROW($B$156)&amp;"][NumberOfInstallationsConEst]",Submission!$O:$O,Submission!$H:$N,""))</f>
        <v/>
      </c>
      <c r="I164" s="465"/>
    </row>
    <row r="165" spans="3:9" ht="54" customHeight="1" x14ac:dyDescent="0.3">
      <c r="C165" s="261" t="str">
        <f>_xlfn.CONCAT(_xlfn.XLOOKUP("[S08_ActivityDataIssuesDetail]["&amp;ROW(B165)-ROW($B$156)&amp;"][AnnexIActivity]",Submission!$O:$O,Submission!$H:$N,""))</f>
        <v/>
      </c>
      <c r="D165" s="263"/>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64" t="str">
        <f>_xlfn.CONCAT(_xlfn.XLOOKUP("[S08_ActivityDataIssuesDetail]["&amp;ROW(B165)-ROW($B$156)&amp;"][NumberOfInstallationsConEst]",Submission!$O:$O,Submission!$H:$N,""))</f>
        <v/>
      </c>
      <c r="I165" s="465"/>
    </row>
    <row r="166" spans="3:9" ht="54" customHeight="1" x14ac:dyDescent="0.3">
      <c r="C166" s="261" t="str">
        <f>_xlfn.CONCAT(_xlfn.XLOOKUP("[S08_ActivityDataIssuesDetail]["&amp;ROW(B166)-ROW($B$156)&amp;"][AnnexIActivity]",Submission!$O:$O,Submission!$H:$N,""))</f>
        <v/>
      </c>
      <c r="D166" s="263"/>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64" t="str">
        <f>_xlfn.CONCAT(_xlfn.XLOOKUP("[S08_ActivityDataIssuesDetail]["&amp;ROW(B166)-ROW($B$156)&amp;"][NumberOfInstallationsConEst]",Submission!$O:$O,Submission!$H:$N,""))</f>
        <v/>
      </c>
      <c r="I166" s="465"/>
    </row>
    <row r="167" spans="3:9" ht="54" customHeight="1" x14ac:dyDescent="0.3">
      <c r="C167" s="261" t="str">
        <f>_xlfn.CONCAT(_xlfn.XLOOKUP("[S08_ActivityDataIssuesDetail]["&amp;ROW(B167)-ROW($B$156)&amp;"][AnnexIActivity]",Submission!$O:$O,Submission!$H:$N,""))</f>
        <v/>
      </c>
      <c r="D167" s="263"/>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64" t="str">
        <f>_xlfn.CONCAT(_xlfn.XLOOKUP("[S08_ActivityDataIssuesDetail]["&amp;ROW(B167)-ROW($B$156)&amp;"][NumberOfInstallationsConEst]",Submission!$O:$O,Submission!$H:$N,""))</f>
        <v/>
      </c>
      <c r="I167" s="465"/>
    </row>
    <row r="168" spans="3:9" ht="54" customHeight="1" x14ac:dyDescent="0.3">
      <c r="C168" s="261" t="str">
        <f>_xlfn.CONCAT(_xlfn.XLOOKUP("[S08_ActivityDataIssuesDetail]["&amp;ROW(B168)-ROW($B$156)&amp;"][AnnexIActivity]",Submission!$O:$O,Submission!$H:$N,""))</f>
        <v/>
      </c>
      <c r="D168" s="263"/>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4" t="str">
        <f>_xlfn.CONCAT(_xlfn.XLOOKUP("[S08_ActivityDataIssuesDetail]["&amp;ROW(B168)-ROW($B$156)&amp;"][NumberOfInstallationsConEst]",Submission!$O:$O,Submission!$H:$N,""))</f>
        <v/>
      </c>
      <c r="I168" s="465"/>
    </row>
    <row r="169" spans="3:9" ht="54" customHeight="1" x14ac:dyDescent="0.3">
      <c r="C169" s="261" t="str">
        <f>_xlfn.CONCAT(_xlfn.XLOOKUP("[S08_ActivityDataIssuesDetail]["&amp;ROW(B169)-ROW($B$156)&amp;"][AnnexIActivity]",Submission!$O:$O,Submission!$H:$N,""))</f>
        <v/>
      </c>
      <c r="D169" s="263"/>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4" t="str">
        <f>_xlfn.CONCAT(_xlfn.XLOOKUP("[S08_ActivityDataIssuesDetail]["&amp;ROW(B169)-ROW($B$156)&amp;"][NumberOfInstallationsConEst]",Submission!$O:$O,Submission!$H:$N,""))</f>
        <v/>
      </c>
      <c r="I169" s="465"/>
    </row>
    <row r="170" spans="3:9" ht="54" customHeight="1" x14ac:dyDescent="0.3">
      <c r="C170" s="261" t="str">
        <f>_xlfn.CONCAT(_xlfn.XLOOKUP("[S08_ActivityDataIssuesDetail]["&amp;ROW(B170)-ROW($B$156)&amp;"][AnnexIActivity]",Submission!$O:$O,Submission!$H:$N,""))</f>
        <v/>
      </c>
      <c r="D170" s="263"/>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4" t="str">
        <f>_xlfn.CONCAT(_xlfn.XLOOKUP("[S08_ActivityDataIssuesDetail]["&amp;ROW(B170)-ROW($B$156)&amp;"][NumberOfInstallationsConEst]",Submission!$O:$O,Submission!$H:$N,""))</f>
        <v/>
      </c>
      <c r="I170" s="465"/>
    </row>
    <row r="171" spans="3:9" ht="54" customHeight="1" x14ac:dyDescent="0.3">
      <c r="C171" s="261" t="str">
        <f>_xlfn.CONCAT(_xlfn.XLOOKUP("[S08_ActivityDataIssuesDetail]["&amp;ROW(B171)-ROW($B$156)&amp;"][AnnexIActivity]",Submission!$O:$O,Submission!$H:$N,""))</f>
        <v/>
      </c>
      <c r="D171" s="263"/>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4" t="str">
        <f>_xlfn.CONCAT(_xlfn.XLOOKUP("[S08_ActivityDataIssuesDetail]["&amp;ROW(B171)-ROW($B$156)&amp;"][NumberOfInstallationsConEst]",Submission!$O:$O,Submission!$H:$N,""))</f>
        <v/>
      </c>
      <c r="I171" s="465"/>
    </row>
    <row r="172" spans="3:9" ht="54" hidden="1" customHeight="1" outlineLevel="1" x14ac:dyDescent="0.3">
      <c r="C172" s="261" t="str">
        <f>_xlfn.CONCAT(_xlfn.XLOOKUP("[S08_ActivityDataIssuesDetail]["&amp;ROW(B172)-ROW($B$156)&amp;"][AnnexIActivity]",Submission!$O:$O,Submission!$H:$N,""))</f>
        <v/>
      </c>
      <c r="D172" s="263"/>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4" t="str">
        <f>_xlfn.CONCAT(_xlfn.XLOOKUP("[S08_ActivityDataIssuesDetail]["&amp;ROW(B172)-ROW($B$156)&amp;"][NumberOfInstallationsConEst]",Submission!$O:$O,Submission!$H:$N,""))</f>
        <v/>
      </c>
      <c r="I172" s="465"/>
    </row>
    <row r="173" spans="3:9" ht="54" hidden="1" customHeight="1" outlineLevel="1" x14ac:dyDescent="0.3">
      <c r="C173" s="261" t="str">
        <f>_xlfn.CONCAT(_xlfn.XLOOKUP("[S08_ActivityDataIssuesDetail]["&amp;ROW(B173)-ROW($B$156)&amp;"][AnnexIActivity]",Submission!$O:$O,Submission!$H:$N,""))</f>
        <v/>
      </c>
      <c r="D173" s="263"/>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4" t="str">
        <f>_xlfn.CONCAT(_xlfn.XLOOKUP("[S08_ActivityDataIssuesDetail]["&amp;ROW(B173)-ROW($B$156)&amp;"][NumberOfInstallationsConEst]",Submission!$O:$O,Submission!$H:$N,""))</f>
        <v/>
      </c>
      <c r="I173" s="465"/>
    </row>
    <row r="174" spans="3:9" ht="54" hidden="1" customHeight="1" outlineLevel="1" x14ac:dyDescent="0.3">
      <c r="C174" s="261" t="str">
        <f>_xlfn.CONCAT(_xlfn.XLOOKUP("[S08_ActivityDataIssuesDetail]["&amp;ROW(B174)-ROW($B$156)&amp;"][AnnexIActivity]",Submission!$O:$O,Submission!$H:$N,""))</f>
        <v/>
      </c>
      <c r="D174" s="263"/>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4" t="str">
        <f>_xlfn.CONCAT(_xlfn.XLOOKUP("[S08_ActivityDataIssuesDetail]["&amp;ROW(B174)-ROW($B$156)&amp;"][NumberOfInstallationsConEst]",Submission!$O:$O,Submission!$H:$N,""))</f>
        <v/>
      </c>
      <c r="I174" s="465"/>
    </row>
    <row r="175" spans="3:9" ht="54" hidden="1" customHeight="1" outlineLevel="1" x14ac:dyDescent="0.3">
      <c r="C175" s="261" t="str">
        <f>_xlfn.CONCAT(_xlfn.XLOOKUP("[S08_ActivityDataIssuesDetail]["&amp;ROW(B175)-ROW($B$156)&amp;"][AnnexIActivity]",Submission!$O:$O,Submission!$H:$N,""))</f>
        <v/>
      </c>
      <c r="D175" s="263"/>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4" t="str">
        <f>_xlfn.CONCAT(_xlfn.XLOOKUP("[S08_ActivityDataIssuesDetail]["&amp;ROW(B175)-ROW($B$156)&amp;"][NumberOfInstallationsConEst]",Submission!$O:$O,Submission!$H:$N,""))</f>
        <v/>
      </c>
      <c r="I175" s="465"/>
    </row>
    <row r="176" spans="3:9" ht="54" hidden="1" customHeight="1" outlineLevel="1" x14ac:dyDescent="0.3">
      <c r="C176" s="261" t="str">
        <f>_xlfn.CONCAT(_xlfn.XLOOKUP("[S08_ActivityDataIssuesDetail]["&amp;ROW(B176)-ROW($B$156)&amp;"][AnnexIActivity]",Submission!$O:$O,Submission!$H:$N,""))</f>
        <v/>
      </c>
      <c r="D176" s="263"/>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4" t="str">
        <f>_xlfn.CONCAT(_xlfn.XLOOKUP("[S08_ActivityDataIssuesDetail]["&amp;ROW(B176)-ROW($B$156)&amp;"][NumberOfInstallationsConEst]",Submission!$O:$O,Submission!$H:$N,""))</f>
        <v/>
      </c>
      <c r="I176" s="465"/>
    </row>
    <row r="177" spans="3:9" ht="54" hidden="1" customHeight="1" outlineLevel="1" x14ac:dyDescent="0.3">
      <c r="C177" s="261" t="str">
        <f>_xlfn.CONCAT(_xlfn.XLOOKUP("[S08_ActivityDataIssuesDetail]["&amp;ROW(B177)-ROW($B$156)&amp;"][AnnexIActivity]",Submission!$O:$O,Submission!$H:$N,""))</f>
        <v/>
      </c>
      <c r="D177" s="263"/>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4" t="str">
        <f>_xlfn.CONCAT(_xlfn.XLOOKUP("[S08_ActivityDataIssuesDetail]["&amp;ROW(B177)-ROW($B$156)&amp;"][NumberOfInstallationsConEst]",Submission!$O:$O,Submission!$H:$N,""))</f>
        <v/>
      </c>
      <c r="I177" s="465"/>
    </row>
    <row r="178" spans="3:9" ht="54" hidden="1" customHeight="1" outlineLevel="1" x14ac:dyDescent="0.3">
      <c r="C178" s="261" t="str">
        <f>_xlfn.CONCAT(_xlfn.XLOOKUP("[S08_ActivityDataIssuesDetail]["&amp;ROW(B178)-ROW($B$156)&amp;"][AnnexIActivity]",Submission!$O:$O,Submission!$H:$N,""))</f>
        <v/>
      </c>
      <c r="D178" s="263"/>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4" t="str">
        <f>_xlfn.CONCAT(_xlfn.XLOOKUP("[S08_ActivityDataIssuesDetail]["&amp;ROW(B178)-ROW($B$156)&amp;"][NumberOfInstallationsConEst]",Submission!$O:$O,Submission!$H:$N,""))</f>
        <v/>
      </c>
      <c r="I178" s="465"/>
    </row>
    <row r="179" spans="3:9" ht="54" hidden="1" customHeight="1" outlineLevel="1" x14ac:dyDescent="0.3">
      <c r="C179" s="261" t="str">
        <f>_xlfn.CONCAT(_xlfn.XLOOKUP("[S08_ActivityDataIssuesDetail]["&amp;ROW(B179)-ROW($B$156)&amp;"][AnnexIActivity]",Submission!$O:$O,Submission!$H:$N,""))</f>
        <v/>
      </c>
      <c r="D179" s="263"/>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4" t="str">
        <f>_xlfn.CONCAT(_xlfn.XLOOKUP("[S08_ActivityDataIssuesDetail]["&amp;ROW(B179)-ROW($B$156)&amp;"][NumberOfInstallationsConEst]",Submission!$O:$O,Submission!$H:$N,""))</f>
        <v/>
      </c>
      <c r="I179" s="465"/>
    </row>
    <row r="180" spans="3:9" ht="54" hidden="1" customHeight="1" outlineLevel="1" x14ac:dyDescent="0.3">
      <c r="C180" s="261" t="str">
        <f>_xlfn.CONCAT(_xlfn.XLOOKUP("[S08_ActivityDataIssuesDetail]["&amp;ROW(B180)-ROW($B$156)&amp;"][AnnexIActivity]",Submission!$O:$O,Submission!$H:$N,""))</f>
        <v/>
      </c>
      <c r="D180" s="263"/>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4" t="str">
        <f>_xlfn.CONCAT(_xlfn.XLOOKUP("[S08_ActivityDataIssuesDetail]["&amp;ROW(B180)-ROW($B$156)&amp;"][NumberOfInstallationsConEst]",Submission!$O:$O,Submission!$H:$N,""))</f>
        <v/>
      </c>
      <c r="I180" s="465"/>
    </row>
    <row r="181" spans="3:9" ht="54" hidden="1" customHeight="1" outlineLevel="1" x14ac:dyDescent="0.3">
      <c r="C181" s="261" t="str">
        <f>_xlfn.CONCAT(_xlfn.XLOOKUP("[S08_ActivityDataIssuesDetail]["&amp;ROW(B181)-ROW($B$156)&amp;"][AnnexIActivity]",Submission!$O:$O,Submission!$H:$N,""))</f>
        <v/>
      </c>
      <c r="D181" s="263"/>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4" t="str">
        <f>_xlfn.CONCAT(_xlfn.XLOOKUP("[S08_ActivityDataIssuesDetail]["&amp;ROW(B181)-ROW($B$156)&amp;"][NumberOfInstallationsConEst]",Submission!$O:$O,Submission!$H:$N,""))</f>
        <v/>
      </c>
      <c r="I181" s="465"/>
    </row>
    <row r="182" spans="3:9" ht="54" hidden="1" customHeight="1" outlineLevel="1" x14ac:dyDescent="0.3">
      <c r="C182" s="261" t="str">
        <f>_xlfn.CONCAT(_xlfn.XLOOKUP("[S08_ActivityDataIssuesDetail]["&amp;ROW(B182)-ROW($B$156)&amp;"][AnnexIActivity]",Submission!$O:$O,Submission!$H:$N,""))</f>
        <v/>
      </c>
      <c r="D182" s="263"/>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4" t="str">
        <f>_xlfn.CONCAT(_xlfn.XLOOKUP("[S08_ActivityDataIssuesDetail]["&amp;ROW(B182)-ROW($B$156)&amp;"][NumberOfInstallationsConEst]",Submission!$O:$O,Submission!$H:$N,""))</f>
        <v/>
      </c>
      <c r="I182" s="465"/>
    </row>
    <row r="183" spans="3:9" ht="54" hidden="1" customHeight="1" outlineLevel="1" x14ac:dyDescent="0.3">
      <c r="C183" s="261" t="str">
        <f>_xlfn.CONCAT(_xlfn.XLOOKUP("[S08_ActivityDataIssuesDetail]["&amp;ROW(B183)-ROW($B$156)&amp;"][AnnexIActivity]",Submission!$O:$O,Submission!$H:$N,""))</f>
        <v/>
      </c>
      <c r="D183" s="263"/>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4" t="str">
        <f>_xlfn.CONCAT(_xlfn.XLOOKUP("[S08_ActivityDataIssuesDetail]["&amp;ROW(B183)-ROW($B$156)&amp;"][NumberOfInstallationsConEst]",Submission!$O:$O,Submission!$H:$N,""))</f>
        <v/>
      </c>
      <c r="I183" s="465"/>
    </row>
    <row r="184" spans="3:9" ht="54" hidden="1" customHeight="1" outlineLevel="1" x14ac:dyDescent="0.3">
      <c r="C184" s="261" t="str">
        <f>_xlfn.CONCAT(_xlfn.XLOOKUP("[S08_ActivityDataIssuesDetail]["&amp;ROW(B184)-ROW($B$156)&amp;"][AnnexIActivity]",Submission!$O:$O,Submission!$H:$N,""))</f>
        <v/>
      </c>
      <c r="D184" s="263"/>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4" t="str">
        <f>_xlfn.CONCAT(_xlfn.XLOOKUP("[S08_ActivityDataIssuesDetail]["&amp;ROW(B184)-ROW($B$156)&amp;"][NumberOfInstallationsConEst]",Submission!$O:$O,Submission!$H:$N,""))</f>
        <v/>
      </c>
      <c r="I184" s="465"/>
    </row>
    <row r="185" spans="3:9" ht="54" hidden="1" customHeight="1" outlineLevel="1" x14ac:dyDescent="0.3">
      <c r="C185" s="261" t="str">
        <f>_xlfn.CONCAT(_xlfn.XLOOKUP("[S08_ActivityDataIssuesDetail]["&amp;ROW(B185)-ROW($B$156)&amp;"][AnnexIActivity]",Submission!$O:$O,Submission!$H:$N,""))</f>
        <v/>
      </c>
      <c r="D185" s="263"/>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4" t="str">
        <f>_xlfn.CONCAT(_xlfn.XLOOKUP("[S08_ActivityDataIssuesDetail]["&amp;ROW(B185)-ROW($B$156)&amp;"][NumberOfInstallationsConEst]",Submission!$O:$O,Submission!$H:$N,""))</f>
        <v/>
      </c>
      <c r="I185" s="465"/>
    </row>
    <row r="186" spans="3:9" ht="54" hidden="1" customHeight="1" outlineLevel="1" x14ac:dyDescent="0.3">
      <c r="C186" s="261" t="str">
        <f>_xlfn.CONCAT(_xlfn.XLOOKUP("[S08_ActivityDataIssuesDetail]["&amp;ROW(B186)-ROW($B$156)&amp;"][AnnexIActivity]",Submission!$O:$O,Submission!$H:$N,""))</f>
        <v/>
      </c>
      <c r="D186" s="263"/>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4" t="str">
        <f>_xlfn.CONCAT(_xlfn.XLOOKUP("[S08_ActivityDataIssuesDetail]["&amp;ROW(B186)-ROW($B$156)&amp;"][NumberOfInstallationsConEst]",Submission!$O:$O,Submission!$H:$N,""))</f>
        <v/>
      </c>
      <c r="I186" s="465"/>
    </row>
    <row r="187" spans="3:9" ht="54" hidden="1" customHeight="1" outlineLevel="1" x14ac:dyDescent="0.3">
      <c r="C187" s="261" t="str">
        <f>_xlfn.CONCAT(_xlfn.XLOOKUP("[S08_ActivityDataIssuesDetail]["&amp;ROW(B187)-ROW($B$156)&amp;"][AnnexIActivity]",Submission!$O:$O,Submission!$H:$N,""))</f>
        <v/>
      </c>
      <c r="D187" s="263"/>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4" t="str">
        <f>_xlfn.CONCAT(_xlfn.XLOOKUP("[S08_ActivityDataIssuesDetail]["&amp;ROW(B187)-ROW($B$156)&amp;"][NumberOfInstallationsConEst]",Submission!$O:$O,Submission!$H:$N,""))</f>
        <v/>
      </c>
      <c r="I187" s="465"/>
    </row>
    <row r="188" spans="3:9" ht="54" hidden="1" customHeight="1" outlineLevel="1" x14ac:dyDescent="0.3">
      <c r="C188" s="261" t="str">
        <f>_xlfn.CONCAT(_xlfn.XLOOKUP("[S08_ActivityDataIssuesDetail]["&amp;ROW(B188)-ROW($B$156)&amp;"][AnnexIActivity]",Submission!$O:$O,Submission!$H:$N,""))</f>
        <v/>
      </c>
      <c r="D188" s="263"/>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4" t="str">
        <f>_xlfn.CONCAT(_xlfn.XLOOKUP("[S08_ActivityDataIssuesDetail]["&amp;ROW(B188)-ROW($B$156)&amp;"][NumberOfInstallationsConEst]",Submission!$O:$O,Submission!$H:$N,""))</f>
        <v/>
      </c>
      <c r="I188" s="465"/>
    </row>
    <row r="189" spans="3:9" ht="54" hidden="1" customHeight="1" outlineLevel="1" x14ac:dyDescent="0.3">
      <c r="C189" s="261" t="str">
        <f>_xlfn.CONCAT(_xlfn.XLOOKUP("[S08_ActivityDataIssuesDetail]["&amp;ROW(B189)-ROW($B$156)&amp;"][AnnexIActivity]",Submission!$O:$O,Submission!$H:$N,""))</f>
        <v/>
      </c>
      <c r="D189" s="263"/>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4" t="str">
        <f>_xlfn.CONCAT(_xlfn.XLOOKUP("[S08_ActivityDataIssuesDetail]["&amp;ROW(B189)-ROW($B$156)&amp;"][NumberOfInstallationsConEst]",Submission!$O:$O,Submission!$H:$N,""))</f>
        <v/>
      </c>
      <c r="I189" s="465"/>
    </row>
    <row r="190" spans="3:9" ht="54" hidden="1" customHeight="1" outlineLevel="1" x14ac:dyDescent="0.3">
      <c r="C190" s="261" t="str">
        <f>_xlfn.CONCAT(_xlfn.XLOOKUP("[S08_ActivityDataIssuesDetail]["&amp;ROW(B190)-ROW($B$156)&amp;"][AnnexIActivity]",Submission!$O:$O,Submission!$H:$N,""))</f>
        <v/>
      </c>
      <c r="D190" s="263"/>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4" t="str">
        <f>_xlfn.CONCAT(_xlfn.XLOOKUP("[S08_ActivityDataIssuesDetail]["&amp;ROW(B190)-ROW($B$156)&amp;"][NumberOfInstallationsConEst]",Submission!$O:$O,Submission!$H:$N,""))</f>
        <v/>
      </c>
      <c r="I190" s="465"/>
    </row>
    <row r="191" spans="3:9" ht="54" hidden="1" customHeight="1" outlineLevel="1" x14ac:dyDescent="0.3">
      <c r="C191" s="261" t="str">
        <f>_xlfn.CONCAT(_xlfn.XLOOKUP("[S08_ActivityDataIssuesDetail]["&amp;ROW(B191)-ROW($B$156)&amp;"][AnnexIActivity]",Submission!$O:$O,Submission!$H:$N,""))</f>
        <v/>
      </c>
      <c r="D191" s="263"/>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4" t="str">
        <f>_xlfn.CONCAT(_xlfn.XLOOKUP("[S08_ActivityDataIssuesDetail]["&amp;ROW(B191)-ROW($B$156)&amp;"][NumberOfInstallationsConEst]",Submission!$O:$O,Submission!$H:$N,""))</f>
        <v/>
      </c>
      <c r="I191" s="465"/>
    </row>
    <row r="192" spans="3:9" ht="54" hidden="1" customHeight="1" outlineLevel="1" x14ac:dyDescent="0.3">
      <c r="C192" s="261" t="str">
        <f>_xlfn.CONCAT(_xlfn.XLOOKUP("[S08_ActivityDataIssuesDetail]["&amp;ROW(B192)-ROW($B$156)&amp;"][AnnexIActivity]",Submission!$O:$O,Submission!$H:$N,""))</f>
        <v/>
      </c>
      <c r="D192" s="263"/>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4" t="str">
        <f>_xlfn.CONCAT(_xlfn.XLOOKUP("[S08_ActivityDataIssuesDetail]["&amp;ROW(B192)-ROW($B$156)&amp;"][NumberOfInstallationsConEst]",Submission!$O:$O,Submission!$H:$N,""))</f>
        <v/>
      </c>
      <c r="I192" s="465"/>
    </row>
    <row r="193" spans="3:9" ht="54" hidden="1" customHeight="1" outlineLevel="1" x14ac:dyDescent="0.3">
      <c r="C193" s="261" t="str">
        <f>_xlfn.CONCAT(_xlfn.XLOOKUP("[S08_ActivityDataIssuesDetail]["&amp;ROW(B193)-ROW($B$156)&amp;"][AnnexIActivity]",Submission!$O:$O,Submission!$H:$N,""))</f>
        <v/>
      </c>
      <c r="D193" s="263"/>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4" t="str">
        <f>_xlfn.CONCAT(_xlfn.XLOOKUP("[S08_ActivityDataIssuesDetail]["&amp;ROW(B193)-ROW($B$156)&amp;"][NumberOfInstallationsConEst]",Submission!$O:$O,Submission!$H:$N,""))</f>
        <v/>
      </c>
      <c r="I193" s="465"/>
    </row>
    <row r="194" spans="3:9" ht="54" hidden="1" customHeight="1" outlineLevel="1" x14ac:dyDescent="0.3">
      <c r="C194" s="261" t="str">
        <f>_xlfn.CONCAT(_xlfn.XLOOKUP("[S08_ActivityDataIssuesDetail]["&amp;ROW(B194)-ROW($B$156)&amp;"][AnnexIActivity]",Submission!$O:$O,Submission!$H:$N,""))</f>
        <v/>
      </c>
      <c r="D194" s="263"/>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4" t="str">
        <f>_xlfn.CONCAT(_xlfn.XLOOKUP("[S08_ActivityDataIssuesDetail]["&amp;ROW(B194)-ROW($B$156)&amp;"][NumberOfInstallationsConEst]",Submission!$O:$O,Submission!$H:$N,""))</f>
        <v/>
      </c>
      <c r="I194" s="465"/>
    </row>
    <row r="195" spans="3:9" ht="54" hidden="1" customHeight="1" outlineLevel="1" x14ac:dyDescent="0.3">
      <c r="C195" s="261" t="str">
        <f>_xlfn.CONCAT(_xlfn.XLOOKUP("[S08_ActivityDataIssuesDetail]["&amp;ROW(B195)-ROW($B$156)&amp;"][AnnexIActivity]",Submission!$O:$O,Submission!$H:$N,""))</f>
        <v/>
      </c>
      <c r="D195" s="263"/>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4" t="str">
        <f>_xlfn.CONCAT(_xlfn.XLOOKUP("[S08_ActivityDataIssuesDetail]["&amp;ROW(B195)-ROW($B$156)&amp;"][NumberOfInstallationsConEst]",Submission!$O:$O,Submission!$H:$N,""))</f>
        <v/>
      </c>
      <c r="I195" s="465"/>
    </row>
    <row r="196" spans="3:9" ht="54" hidden="1" customHeight="1" outlineLevel="1" x14ac:dyDescent="0.3">
      <c r="C196" s="261" t="str">
        <f>_xlfn.CONCAT(_xlfn.XLOOKUP("[S08_ActivityDataIssuesDetail]["&amp;ROW(B196)-ROW($B$156)&amp;"][AnnexIActivity]",Submission!$O:$O,Submission!$H:$N,""))</f>
        <v/>
      </c>
      <c r="D196" s="263"/>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4" t="str">
        <f>_xlfn.CONCAT(_xlfn.XLOOKUP("[S08_ActivityDataIssuesDetail]["&amp;ROW(B196)-ROW($B$156)&amp;"][NumberOfInstallationsConEst]",Submission!$O:$O,Submission!$H:$N,""))</f>
        <v/>
      </c>
      <c r="I196" s="465"/>
    </row>
    <row r="197" spans="3:9" ht="54" hidden="1" customHeight="1" outlineLevel="1" x14ac:dyDescent="0.3">
      <c r="C197" s="261" t="str">
        <f>_xlfn.CONCAT(_xlfn.XLOOKUP("[S08_ActivityDataIssuesDetail]["&amp;ROW(B197)-ROW($B$156)&amp;"][AnnexIActivity]",Submission!$O:$O,Submission!$H:$N,""))</f>
        <v/>
      </c>
      <c r="D197" s="263"/>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4" t="str">
        <f>_xlfn.CONCAT(_xlfn.XLOOKUP("[S08_ActivityDataIssuesDetail]["&amp;ROW(B197)-ROW($B$156)&amp;"][NumberOfInstallationsConEst]",Submission!$O:$O,Submission!$H:$N,""))</f>
        <v/>
      </c>
      <c r="I197" s="465"/>
    </row>
    <row r="198" spans="3:9" ht="54" hidden="1" customHeight="1" outlineLevel="1" x14ac:dyDescent="0.3">
      <c r="C198" s="261" t="str">
        <f>_xlfn.CONCAT(_xlfn.XLOOKUP("[S08_ActivityDataIssuesDetail]["&amp;ROW(B198)-ROW($B$156)&amp;"][AnnexIActivity]",Submission!$O:$O,Submission!$H:$N,""))</f>
        <v/>
      </c>
      <c r="D198" s="263"/>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4" t="str">
        <f>_xlfn.CONCAT(_xlfn.XLOOKUP("[S08_ActivityDataIssuesDetail]["&amp;ROW(B198)-ROW($B$156)&amp;"][NumberOfInstallationsConEst]",Submission!$O:$O,Submission!$H:$N,""))</f>
        <v/>
      </c>
      <c r="I198" s="465"/>
    </row>
    <row r="199" spans="3:9" ht="54" hidden="1" customHeight="1" outlineLevel="1" x14ac:dyDescent="0.3">
      <c r="C199" s="261" t="str">
        <f>_xlfn.CONCAT(_xlfn.XLOOKUP("[S08_ActivityDataIssuesDetail]["&amp;ROW(B199)-ROW($B$156)&amp;"][AnnexIActivity]",Submission!$O:$O,Submission!$H:$N,""))</f>
        <v/>
      </c>
      <c r="D199" s="263"/>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4" t="str">
        <f>_xlfn.CONCAT(_xlfn.XLOOKUP("[S08_ActivityDataIssuesDetail]["&amp;ROW(B199)-ROW($B$156)&amp;"][NumberOfInstallationsConEst]",Submission!$O:$O,Submission!$H:$N,""))</f>
        <v/>
      </c>
      <c r="I199" s="465"/>
    </row>
    <row r="200" spans="3:9" ht="54" hidden="1" customHeight="1" outlineLevel="1" x14ac:dyDescent="0.3">
      <c r="C200" s="261" t="str">
        <f>_xlfn.CONCAT(_xlfn.XLOOKUP("[S08_ActivityDataIssuesDetail]["&amp;ROW(B200)-ROW($B$156)&amp;"][AnnexIActivity]",Submission!$O:$O,Submission!$H:$N,""))</f>
        <v/>
      </c>
      <c r="D200" s="263"/>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4" t="str">
        <f>_xlfn.CONCAT(_xlfn.XLOOKUP("[S08_ActivityDataIssuesDetail]["&amp;ROW(B200)-ROW($B$156)&amp;"][NumberOfInstallationsConEst]",Submission!$O:$O,Submission!$H:$N,""))</f>
        <v/>
      </c>
      <c r="I200" s="465"/>
    </row>
    <row r="201" spans="3:9" ht="54" hidden="1" customHeight="1" outlineLevel="1" x14ac:dyDescent="0.3">
      <c r="C201" s="261" t="str">
        <f>_xlfn.CONCAT(_xlfn.XLOOKUP("[S08_ActivityDataIssuesDetail]["&amp;ROW(B201)-ROW($B$156)&amp;"][AnnexIActivity]",Submission!$O:$O,Submission!$H:$N,""))</f>
        <v/>
      </c>
      <c r="D201" s="263"/>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4" t="str">
        <f>_xlfn.CONCAT(_xlfn.XLOOKUP("[S08_ActivityDataIssuesDetail]["&amp;ROW(B201)-ROW($B$156)&amp;"][NumberOfInstallationsConEst]",Submission!$O:$O,Submission!$H:$N,""))</f>
        <v/>
      </c>
      <c r="I201" s="465"/>
    </row>
    <row r="202" spans="3:9" ht="54" hidden="1" customHeight="1" outlineLevel="1" x14ac:dyDescent="0.3">
      <c r="C202" s="261" t="str">
        <f>_xlfn.CONCAT(_xlfn.XLOOKUP("[S08_ActivityDataIssuesDetail]["&amp;ROW(B202)-ROW($B$156)&amp;"][AnnexIActivity]",Submission!$O:$O,Submission!$H:$N,""))</f>
        <v/>
      </c>
      <c r="D202" s="263"/>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4" t="str">
        <f>_xlfn.CONCAT(_xlfn.XLOOKUP("[S08_ActivityDataIssuesDetail]["&amp;ROW(B202)-ROW($B$156)&amp;"][NumberOfInstallationsConEst]",Submission!$O:$O,Submission!$H:$N,""))</f>
        <v/>
      </c>
      <c r="I202" s="465"/>
    </row>
    <row r="203" spans="3:9" ht="54" hidden="1" customHeight="1" outlineLevel="1" x14ac:dyDescent="0.3">
      <c r="C203" s="261" t="str">
        <f>_xlfn.CONCAT(_xlfn.XLOOKUP("[S08_ActivityDataIssuesDetail]["&amp;ROW(B203)-ROW($B$156)&amp;"][AnnexIActivity]",Submission!$O:$O,Submission!$H:$N,""))</f>
        <v/>
      </c>
      <c r="D203" s="263"/>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4" t="str">
        <f>_xlfn.CONCAT(_xlfn.XLOOKUP("[S08_ActivityDataIssuesDetail]["&amp;ROW(B203)-ROW($B$156)&amp;"][NumberOfInstallationsConEst]",Submission!$O:$O,Submission!$H:$N,""))</f>
        <v/>
      </c>
      <c r="I203" s="465"/>
    </row>
    <row r="204" spans="3:9" ht="54" hidden="1" customHeight="1" outlineLevel="1" x14ac:dyDescent="0.3">
      <c r="C204" s="261" t="str">
        <f>_xlfn.CONCAT(_xlfn.XLOOKUP("[S08_ActivityDataIssuesDetail]["&amp;ROW(B204)-ROW($B$156)&amp;"][AnnexIActivity]",Submission!$O:$O,Submission!$H:$N,""))</f>
        <v/>
      </c>
      <c r="D204" s="263"/>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4" t="str">
        <f>_xlfn.CONCAT(_xlfn.XLOOKUP("[S08_ActivityDataIssuesDetail]["&amp;ROW(B204)-ROW($B$156)&amp;"][NumberOfInstallationsConEst]",Submission!$O:$O,Submission!$H:$N,""))</f>
        <v/>
      </c>
      <c r="I204" s="465"/>
    </row>
    <row r="205" spans="3:9" ht="54" hidden="1" customHeight="1" outlineLevel="1" x14ac:dyDescent="0.3">
      <c r="C205" s="261" t="str">
        <f>_xlfn.CONCAT(_xlfn.XLOOKUP("[S08_ActivityDataIssuesDetail]["&amp;ROW(B205)-ROW($B$156)&amp;"][AnnexIActivity]",Submission!$O:$O,Submission!$H:$N,""))</f>
        <v/>
      </c>
      <c r="D205" s="263"/>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4" t="str">
        <f>_xlfn.CONCAT(_xlfn.XLOOKUP("[S08_ActivityDataIssuesDetail]["&amp;ROW(B205)-ROW($B$156)&amp;"][NumberOfInstallationsConEst]",Submission!$O:$O,Submission!$H:$N,""))</f>
        <v/>
      </c>
      <c r="I205" s="465"/>
    </row>
    <row r="206" spans="3:9" ht="54" hidden="1" customHeight="1" outlineLevel="1" x14ac:dyDescent="0.3">
      <c r="C206" s="261" t="str">
        <f>_xlfn.CONCAT(_xlfn.XLOOKUP("[S08_ActivityDataIssuesDetail]["&amp;ROW(B206)-ROW($B$156)&amp;"][AnnexIActivity]",Submission!$O:$O,Submission!$H:$N,""))</f>
        <v/>
      </c>
      <c r="D206" s="263"/>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4" t="str">
        <f>_xlfn.CONCAT(_xlfn.XLOOKUP("[S08_ActivityDataIssuesDetail]["&amp;ROW(B206)-ROW($B$156)&amp;"][NumberOfInstallationsConEst]",Submission!$O:$O,Submission!$H:$N,""))</f>
        <v/>
      </c>
      <c r="I206" s="465"/>
    </row>
    <row r="207" spans="3:9" ht="54" hidden="1" customHeight="1" outlineLevel="1" x14ac:dyDescent="0.3">
      <c r="C207" s="261" t="str">
        <f>_xlfn.CONCAT(_xlfn.XLOOKUP("[S08_ActivityDataIssuesDetail]["&amp;ROW(B207)-ROW($B$156)&amp;"][AnnexIActivity]",Submission!$O:$O,Submission!$H:$N,""))</f>
        <v/>
      </c>
      <c r="D207" s="263"/>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4" t="str">
        <f>_xlfn.CONCAT(_xlfn.XLOOKUP("[S08_ActivityDataIssuesDetail]["&amp;ROW(B207)-ROW($B$156)&amp;"][NumberOfInstallationsConEst]",Submission!$O:$O,Submission!$H:$N,""))</f>
        <v/>
      </c>
      <c r="I207" s="465"/>
    </row>
    <row r="208" spans="3:9" ht="54" hidden="1" customHeight="1" outlineLevel="1" x14ac:dyDescent="0.3">
      <c r="C208" s="261" t="str">
        <f>_xlfn.CONCAT(_xlfn.XLOOKUP("[S08_ActivityDataIssuesDetail]["&amp;ROW(B208)-ROW($B$156)&amp;"][AnnexIActivity]",Submission!$O:$O,Submission!$H:$N,""))</f>
        <v/>
      </c>
      <c r="D208" s="263"/>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4" t="str">
        <f>_xlfn.CONCAT(_xlfn.XLOOKUP("[S08_ActivityDataIssuesDetail]["&amp;ROW(B208)-ROW($B$156)&amp;"][NumberOfInstallationsConEst]",Submission!$O:$O,Submission!$H:$N,""))</f>
        <v/>
      </c>
      <c r="I208" s="465"/>
    </row>
    <row r="209" spans="3:9" ht="54" hidden="1" customHeight="1" outlineLevel="1" x14ac:dyDescent="0.3">
      <c r="C209" s="261" t="str">
        <f>_xlfn.CONCAT(_xlfn.XLOOKUP("[S08_ActivityDataIssuesDetail]["&amp;ROW(B209)-ROW($B$156)&amp;"][AnnexIActivity]",Submission!$O:$O,Submission!$H:$N,""))</f>
        <v/>
      </c>
      <c r="D209" s="263"/>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4" t="str">
        <f>_xlfn.CONCAT(_xlfn.XLOOKUP("[S08_ActivityDataIssuesDetail]["&amp;ROW(B209)-ROW($B$156)&amp;"][NumberOfInstallationsConEst]",Submission!$O:$O,Submission!$H:$N,""))</f>
        <v/>
      </c>
      <c r="I209" s="465"/>
    </row>
    <row r="210" spans="3:9" ht="54" hidden="1" customHeight="1" outlineLevel="1" x14ac:dyDescent="0.3">
      <c r="C210" s="261" t="str">
        <f>_xlfn.CONCAT(_xlfn.XLOOKUP("[S08_ActivityDataIssuesDetail]["&amp;ROW(B210)-ROW($B$156)&amp;"][AnnexIActivity]",Submission!$O:$O,Submission!$H:$N,""))</f>
        <v/>
      </c>
      <c r="D210" s="263"/>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4" t="str">
        <f>_xlfn.CONCAT(_xlfn.XLOOKUP("[S08_ActivityDataIssuesDetail]["&amp;ROW(B210)-ROW($B$156)&amp;"][NumberOfInstallationsConEst]",Submission!$O:$O,Submission!$H:$N,""))</f>
        <v/>
      </c>
      <c r="I210" s="465"/>
    </row>
    <row r="211" spans="3:9" ht="54" hidden="1" customHeight="1" outlineLevel="1" x14ac:dyDescent="0.3">
      <c r="C211" s="261" t="str">
        <f>_xlfn.CONCAT(_xlfn.XLOOKUP("[S08_ActivityDataIssuesDetail]["&amp;ROW(B211)-ROW($B$156)&amp;"][AnnexIActivity]",Submission!$O:$O,Submission!$H:$N,""))</f>
        <v/>
      </c>
      <c r="D211" s="263"/>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4" t="str">
        <f>_xlfn.CONCAT(_xlfn.XLOOKUP("[S08_ActivityDataIssuesDetail]["&amp;ROW(B211)-ROW($B$156)&amp;"][NumberOfInstallationsConEst]",Submission!$O:$O,Submission!$H:$N,""))</f>
        <v/>
      </c>
      <c r="I211" s="465"/>
    </row>
    <row r="212" spans="3:9" ht="54" hidden="1" customHeight="1" outlineLevel="1" x14ac:dyDescent="0.3">
      <c r="C212" s="261" t="str">
        <f>_xlfn.CONCAT(_xlfn.XLOOKUP("[S08_ActivityDataIssuesDetail]["&amp;ROW(B212)-ROW($B$156)&amp;"][AnnexIActivity]",Submission!$O:$O,Submission!$H:$N,""))</f>
        <v/>
      </c>
      <c r="D212" s="263"/>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4" t="str">
        <f>_xlfn.CONCAT(_xlfn.XLOOKUP("[S08_ActivityDataIssuesDetail]["&amp;ROW(B212)-ROW($B$156)&amp;"][NumberOfInstallationsConEst]",Submission!$O:$O,Submission!$H:$N,""))</f>
        <v/>
      </c>
      <c r="I212" s="465"/>
    </row>
    <row r="213" spans="3:9" ht="54" hidden="1" customHeight="1" outlineLevel="1" x14ac:dyDescent="0.3">
      <c r="C213" s="261" t="str">
        <f>_xlfn.CONCAT(_xlfn.XLOOKUP("[S08_ActivityDataIssuesDetail]["&amp;ROW(B213)-ROW($B$156)&amp;"][AnnexIActivity]",Submission!$O:$O,Submission!$H:$N,""))</f>
        <v/>
      </c>
      <c r="D213" s="263"/>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4" t="str">
        <f>_xlfn.CONCAT(_xlfn.XLOOKUP("[S08_ActivityDataIssuesDetail]["&amp;ROW(B213)-ROW($B$156)&amp;"][NumberOfInstallationsConEst]",Submission!$O:$O,Submission!$H:$N,""))</f>
        <v/>
      </c>
      <c r="I213" s="465"/>
    </row>
    <row r="214" spans="3:9" ht="54" hidden="1" customHeight="1" outlineLevel="1" x14ac:dyDescent="0.3">
      <c r="C214" s="261" t="str">
        <f>_xlfn.CONCAT(_xlfn.XLOOKUP("[S08_ActivityDataIssuesDetail]["&amp;ROW(B214)-ROW($B$156)&amp;"][AnnexIActivity]",Submission!$O:$O,Submission!$H:$N,""))</f>
        <v/>
      </c>
      <c r="D214" s="263"/>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4" t="str">
        <f>_xlfn.CONCAT(_xlfn.XLOOKUP("[S08_ActivityDataIssuesDetail]["&amp;ROW(B214)-ROW($B$156)&amp;"][NumberOfInstallationsConEst]",Submission!$O:$O,Submission!$H:$N,""))</f>
        <v/>
      </c>
      <c r="I214" s="465"/>
    </row>
    <row r="215" spans="3:9" ht="54" hidden="1" customHeight="1" outlineLevel="1" x14ac:dyDescent="0.3">
      <c r="C215" s="261" t="str">
        <f>_xlfn.CONCAT(_xlfn.XLOOKUP("[S08_ActivityDataIssuesDetail]["&amp;ROW(B215)-ROW($B$156)&amp;"][AnnexIActivity]",Submission!$O:$O,Submission!$H:$N,""))</f>
        <v/>
      </c>
      <c r="D215" s="263"/>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4" t="str">
        <f>_xlfn.CONCAT(_xlfn.XLOOKUP("[S08_ActivityDataIssuesDetail]["&amp;ROW(B215)-ROW($B$156)&amp;"][NumberOfInstallationsConEst]",Submission!$O:$O,Submission!$H:$N,""))</f>
        <v/>
      </c>
      <c r="I215" s="465"/>
    </row>
    <row r="216" spans="3:9" ht="54" hidden="1" customHeight="1" outlineLevel="1" x14ac:dyDescent="0.3">
      <c r="C216" s="261" t="str">
        <f>_xlfn.CONCAT(_xlfn.XLOOKUP("[S08_ActivityDataIssuesDetail]["&amp;ROW(B216)-ROW($B$156)&amp;"][AnnexIActivity]",Submission!$O:$O,Submission!$H:$N,""))</f>
        <v/>
      </c>
      <c r="D216" s="263"/>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4" t="str">
        <f>_xlfn.CONCAT(_xlfn.XLOOKUP("[S08_ActivityDataIssuesDetail]["&amp;ROW(B216)-ROW($B$156)&amp;"][NumberOfInstallationsConEst]",Submission!$O:$O,Submission!$H:$N,""))</f>
        <v/>
      </c>
      <c r="I216" s="465"/>
    </row>
    <row r="217" spans="3:9" ht="54" hidden="1" customHeight="1" outlineLevel="1" x14ac:dyDescent="0.3">
      <c r="C217" s="261" t="str">
        <f>_xlfn.CONCAT(_xlfn.XLOOKUP("[S08_ActivityDataIssuesDetail]["&amp;ROW(B217)-ROW($B$156)&amp;"][AnnexIActivity]",Submission!$O:$O,Submission!$H:$N,""))</f>
        <v/>
      </c>
      <c r="D217" s="263"/>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4" t="str">
        <f>_xlfn.CONCAT(_xlfn.XLOOKUP("[S08_ActivityDataIssuesDetail]["&amp;ROW(B217)-ROW($B$156)&amp;"][NumberOfInstallationsConEst]",Submission!$O:$O,Submission!$H:$N,""))</f>
        <v/>
      </c>
      <c r="I217" s="465"/>
    </row>
    <row r="218" spans="3:9" ht="54" hidden="1" customHeight="1" outlineLevel="1" x14ac:dyDescent="0.3">
      <c r="C218" s="261" t="str">
        <f>_xlfn.CONCAT(_xlfn.XLOOKUP("[S08_ActivityDataIssuesDetail]["&amp;ROW(B218)-ROW($B$156)&amp;"][AnnexIActivity]",Submission!$O:$O,Submission!$H:$N,""))</f>
        <v/>
      </c>
      <c r="D218" s="263"/>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4" t="str">
        <f>_xlfn.CONCAT(_xlfn.XLOOKUP("[S08_ActivityDataIssuesDetail]["&amp;ROW(B218)-ROW($B$156)&amp;"][NumberOfInstallationsConEst]",Submission!$O:$O,Submission!$H:$N,""))</f>
        <v/>
      </c>
      <c r="I218" s="465"/>
    </row>
    <row r="219" spans="3:9" ht="54" hidden="1" customHeight="1" outlineLevel="1" x14ac:dyDescent="0.3">
      <c r="C219" s="261" t="str">
        <f>_xlfn.CONCAT(_xlfn.XLOOKUP("[S08_ActivityDataIssuesDetail]["&amp;ROW(B219)-ROW($B$156)&amp;"][AnnexIActivity]",Submission!$O:$O,Submission!$H:$N,""))</f>
        <v/>
      </c>
      <c r="D219" s="263"/>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4" t="str">
        <f>_xlfn.CONCAT(_xlfn.XLOOKUP("[S08_ActivityDataIssuesDetail]["&amp;ROW(B219)-ROW($B$156)&amp;"][NumberOfInstallationsConEst]",Submission!$O:$O,Submission!$H:$N,""))</f>
        <v/>
      </c>
      <c r="I219" s="465"/>
    </row>
    <row r="220" spans="3:9" ht="54" hidden="1" customHeight="1" outlineLevel="1" x14ac:dyDescent="0.3">
      <c r="C220" s="261" t="str">
        <f>_xlfn.CONCAT(_xlfn.XLOOKUP("[S08_ActivityDataIssuesDetail]["&amp;ROW(B220)-ROW($B$156)&amp;"][AnnexIActivity]",Submission!$O:$O,Submission!$H:$N,""))</f>
        <v/>
      </c>
      <c r="D220" s="263"/>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4" t="str">
        <f>_xlfn.CONCAT(_xlfn.XLOOKUP("[S08_ActivityDataIssuesDetail]["&amp;ROW(B220)-ROW($B$156)&amp;"][NumberOfInstallationsConEst]",Submission!$O:$O,Submission!$H:$N,""))</f>
        <v/>
      </c>
      <c r="I220" s="465"/>
    </row>
    <row r="221" spans="3:9" ht="54" hidden="1" customHeight="1" outlineLevel="1" x14ac:dyDescent="0.3">
      <c r="C221" s="261" t="str">
        <f>_xlfn.CONCAT(_xlfn.XLOOKUP("[S08_ActivityDataIssuesDetail]["&amp;ROW(B221)-ROW($B$156)&amp;"][AnnexIActivity]",Submission!$O:$O,Submission!$H:$N,""))</f>
        <v/>
      </c>
      <c r="D221" s="263"/>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4" t="str">
        <f>_xlfn.CONCAT(_xlfn.XLOOKUP("[S08_ActivityDataIssuesDetail]["&amp;ROW(B221)-ROW($B$156)&amp;"][NumberOfInstallationsConEst]",Submission!$O:$O,Submission!$H:$N,""))</f>
        <v/>
      </c>
      <c r="I221" s="465"/>
    </row>
    <row r="222" spans="3:9" ht="54" hidden="1" customHeight="1" outlineLevel="1" x14ac:dyDescent="0.3">
      <c r="C222" s="261" t="str">
        <f>_xlfn.CONCAT(_xlfn.XLOOKUP("[S08_ActivityDataIssuesDetail]["&amp;ROW(B222)-ROW($B$156)&amp;"][AnnexIActivity]",Submission!$O:$O,Submission!$H:$N,""))</f>
        <v/>
      </c>
      <c r="D222" s="263"/>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4" t="str">
        <f>_xlfn.CONCAT(_xlfn.XLOOKUP("[S08_ActivityDataIssuesDetail]["&amp;ROW(B222)-ROW($B$156)&amp;"][NumberOfInstallationsConEst]",Submission!$O:$O,Submission!$H:$N,""))</f>
        <v/>
      </c>
      <c r="I222" s="465"/>
    </row>
    <row r="223" spans="3:9" ht="54" hidden="1" customHeight="1" outlineLevel="1" x14ac:dyDescent="0.3">
      <c r="C223" s="261" t="str">
        <f>_xlfn.CONCAT(_xlfn.XLOOKUP("[S08_ActivityDataIssuesDetail]["&amp;ROW(B223)-ROW($B$156)&amp;"][AnnexIActivity]",Submission!$O:$O,Submission!$H:$N,""))</f>
        <v/>
      </c>
      <c r="D223" s="263"/>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4" t="str">
        <f>_xlfn.CONCAT(_xlfn.XLOOKUP("[S08_ActivityDataIssuesDetail]["&amp;ROW(B223)-ROW($B$156)&amp;"][NumberOfInstallationsConEst]",Submission!$O:$O,Submission!$H:$N,""))</f>
        <v/>
      </c>
      <c r="I223" s="465"/>
    </row>
    <row r="224" spans="3:9" ht="54" hidden="1" customHeight="1" outlineLevel="1" x14ac:dyDescent="0.3">
      <c r="C224" s="261" t="str">
        <f>_xlfn.CONCAT(_xlfn.XLOOKUP("[S08_ActivityDataIssuesDetail]["&amp;ROW(B224)-ROW($B$156)&amp;"][AnnexIActivity]",Submission!$O:$O,Submission!$H:$N,""))</f>
        <v/>
      </c>
      <c r="D224" s="263"/>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4" t="str">
        <f>_xlfn.CONCAT(_xlfn.XLOOKUP("[S08_ActivityDataIssuesDetail]["&amp;ROW(B224)-ROW($B$156)&amp;"][NumberOfInstallationsConEst]",Submission!$O:$O,Submission!$H:$N,""))</f>
        <v/>
      </c>
      <c r="I224" s="465"/>
    </row>
    <row r="225" spans="1:9" ht="54" hidden="1" customHeight="1" outlineLevel="1" x14ac:dyDescent="0.3">
      <c r="C225" s="261" t="str">
        <f>_xlfn.CONCAT(_xlfn.XLOOKUP("[S08_ActivityDataIssuesDetail]["&amp;ROW(B225)-ROW($B$156)&amp;"][AnnexIActivity]",Submission!$O:$O,Submission!$H:$N,""))</f>
        <v/>
      </c>
      <c r="D225" s="263"/>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4" t="str">
        <f>_xlfn.CONCAT(_xlfn.XLOOKUP("[S08_ActivityDataIssuesDetail]["&amp;ROW(B225)-ROW($B$156)&amp;"][NumberOfInstallationsConEst]",Submission!$O:$O,Submission!$H:$N,""))</f>
        <v/>
      </c>
      <c r="I225" s="465"/>
    </row>
    <row r="226" spans="1:9" ht="54" hidden="1" customHeight="1" outlineLevel="1" x14ac:dyDescent="0.3">
      <c r="C226" s="261" t="str">
        <f>_xlfn.CONCAT(_xlfn.XLOOKUP("[S08_ActivityDataIssuesDetail]["&amp;ROW(B226)-ROW($B$156)&amp;"][AnnexIActivity]",Submission!$O:$O,Submission!$H:$N,""))</f>
        <v/>
      </c>
      <c r="D226" s="263"/>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4" t="str">
        <f>_xlfn.CONCAT(_xlfn.XLOOKUP("[S08_ActivityDataIssuesDetail]["&amp;ROW(B226)-ROW($B$156)&amp;"][NumberOfInstallationsConEst]",Submission!$O:$O,Submission!$H:$N,""))</f>
        <v/>
      </c>
      <c r="I226" s="465"/>
    </row>
    <row r="227" spans="1:9" ht="54" hidden="1" customHeight="1" outlineLevel="1" x14ac:dyDescent="0.3">
      <c r="C227" s="261" t="str">
        <f>_xlfn.CONCAT(_xlfn.XLOOKUP("[S08_ActivityDataIssuesDetail]["&amp;ROW(B227)-ROW($B$156)&amp;"][AnnexIActivity]",Submission!$O:$O,Submission!$H:$N,""))</f>
        <v/>
      </c>
      <c r="D227" s="263"/>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4" t="str">
        <f>_xlfn.CONCAT(_xlfn.XLOOKUP("[S08_ActivityDataIssuesDetail]["&amp;ROW(B227)-ROW($B$156)&amp;"][NumberOfInstallationsConEst]",Submission!$O:$O,Submission!$H:$N,""))</f>
        <v/>
      </c>
      <c r="I227" s="465"/>
    </row>
    <row r="228" spans="1:9" ht="54" hidden="1" customHeight="1" outlineLevel="1" x14ac:dyDescent="0.3">
      <c r="C228" s="261" t="str">
        <f>_xlfn.CONCAT(_xlfn.XLOOKUP("[S08_ActivityDataIssuesDetail]["&amp;ROW(B228)-ROW($B$156)&amp;"][AnnexIActivity]",Submission!$O:$O,Submission!$H:$N,""))</f>
        <v/>
      </c>
      <c r="D228" s="263"/>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4" t="str">
        <f>_xlfn.CONCAT(_xlfn.XLOOKUP("[S08_ActivityDataIssuesDetail]["&amp;ROW(B228)-ROW($B$156)&amp;"][NumberOfInstallationsConEst]",Submission!$O:$O,Submission!$H:$N,""))</f>
        <v/>
      </c>
      <c r="I228" s="465"/>
    </row>
    <row r="229" spans="1:9" ht="54" hidden="1" customHeight="1" outlineLevel="1" x14ac:dyDescent="0.3">
      <c r="C229" s="261" t="str">
        <f>_xlfn.CONCAT(_xlfn.XLOOKUP("[S08_ActivityDataIssuesDetail]["&amp;ROW(B229)-ROW($B$156)&amp;"][AnnexIActivity]",Submission!$O:$O,Submission!$H:$N,""))</f>
        <v/>
      </c>
      <c r="D229" s="263"/>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4" t="str">
        <f>_xlfn.CONCAT(_xlfn.XLOOKUP("[S08_ActivityDataIssuesDetail]["&amp;ROW(B229)-ROW($B$156)&amp;"][NumberOfInstallationsConEst]",Submission!$O:$O,Submission!$H:$N,""))</f>
        <v/>
      </c>
      <c r="I229" s="465"/>
    </row>
    <row r="230" spans="1:9" ht="54" hidden="1" customHeight="1" outlineLevel="1" x14ac:dyDescent="0.3">
      <c r="C230" s="261" t="str">
        <f>_xlfn.CONCAT(_xlfn.XLOOKUP("[S08_ActivityDataIssuesDetail]["&amp;ROW(B230)-ROW($B$156)&amp;"][AnnexIActivity]",Submission!$O:$O,Submission!$H:$N,""))</f>
        <v/>
      </c>
      <c r="D230" s="263"/>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4" t="str">
        <f>_xlfn.CONCAT(_xlfn.XLOOKUP("[S08_ActivityDataIssuesDetail]["&amp;ROW(B230)-ROW($B$156)&amp;"][NumberOfInstallationsConEst]",Submission!$O:$O,Submission!$H:$N,""))</f>
        <v/>
      </c>
      <c r="I230" s="465"/>
    </row>
    <row r="231" spans="1:9" ht="54" hidden="1" customHeight="1" outlineLevel="1" x14ac:dyDescent="0.3">
      <c r="C231" s="261" t="str">
        <f>_xlfn.CONCAT(_xlfn.XLOOKUP("[S08_ActivityDataIssuesDetail]["&amp;ROW(B231)-ROW($B$156)&amp;"][AnnexIActivity]",Submission!$O:$O,Submission!$H:$N,""))</f>
        <v/>
      </c>
      <c r="D231" s="263"/>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4" t="str">
        <f>_xlfn.CONCAT(_xlfn.XLOOKUP("[S08_ActivityDataIssuesDetail]["&amp;ROW(B231)-ROW($B$156)&amp;"][NumberOfInstallationsConEst]",Submission!$O:$O,Submission!$H:$N,""))</f>
        <v/>
      </c>
      <c r="I231" s="465"/>
    </row>
    <row r="232" spans="1:9" ht="54" hidden="1" customHeight="1" outlineLevel="1" x14ac:dyDescent="0.3">
      <c r="C232" s="261" t="str">
        <f>_xlfn.CONCAT(_xlfn.XLOOKUP("[S08_ActivityDataIssuesDetail]["&amp;ROW(B232)-ROW($B$156)&amp;"][AnnexIActivity]",Submission!$O:$O,Submission!$H:$N,""))</f>
        <v/>
      </c>
      <c r="D232" s="263"/>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4" t="str">
        <f>_xlfn.CONCAT(_xlfn.XLOOKUP("[S08_ActivityDataIssuesDetail]["&amp;ROW(B232)-ROW($B$156)&amp;"][NumberOfInstallationsConEst]",Submission!$O:$O,Submission!$H:$N,""))</f>
        <v/>
      </c>
      <c r="I232" s="465"/>
    </row>
    <row r="233" spans="1:9" ht="54" hidden="1" customHeight="1" outlineLevel="1" x14ac:dyDescent="0.3">
      <c r="C233" s="261" t="str">
        <f>_xlfn.CONCAT(_xlfn.XLOOKUP("[S08_ActivityDataIssuesDetail]["&amp;ROW(B233)-ROW($B$156)&amp;"][AnnexIActivity]",Submission!$O:$O,Submission!$H:$N,""))</f>
        <v/>
      </c>
      <c r="D233" s="263"/>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4" t="str">
        <f>_xlfn.CONCAT(_xlfn.XLOOKUP("[S08_ActivityDataIssuesDetail]["&amp;ROW(B233)-ROW($B$156)&amp;"][NumberOfInstallationsConEst]",Submission!$O:$O,Submission!$H:$N,""))</f>
        <v/>
      </c>
      <c r="I233" s="465"/>
    </row>
    <row r="234" spans="1:9" ht="54" hidden="1" customHeight="1" outlineLevel="1" x14ac:dyDescent="0.3">
      <c r="C234" s="261" t="str">
        <f>_xlfn.CONCAT(_xlfn.XLOOKUP("[S08_ActivityDataIssuesDetail]["&amp;ROW(B234)-ROW($B$156)&amp;"][AnnexIActivity]",Submission!$O:$O,Submission!$H:$N,""))</f>
        <v/>
      </c>
      <c r="D234" s="263"/>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4" t="str">
        <f>_xlfn.CONCAT(_xlfn.XLOOKUP("[S08_ActivityDataIssuesDetail]["&amp;ROW(B234)-ROW($B$156)&amp;"][NumberOfInstallationsConEst]",Submission!$O:$O,Submission!$H:$N,""))</f>
        <v/>
      </c>
      <c r="I234" s="465"/>
    </row>
    <row r="235" spans="1:9" ht="54" hidden="1" customHeight="1" outlineLevel="1" x14ac:dyDescent="0.3">
      <c r="C235" s="261" t="str">
        <f>_xlfn.CONCAT(_xlfn.XLOOKUP("[S08_ActivityDataIssuesDetail]["&amp;ROW(B235)-ROW($B$156)&amp;"][AnnexIActivity]",Submission!$O:$O,Submission!$H:$N,""))</f>
        <v/>
      </c>
      <c r="D235" s="263"/>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4" t="str">
        <f>_xlfn.CONCAT(_xlfn.XLOOKUP("[S08_ActivityDataIssuesDetail]["&amp;ROW(B235)-ROW($B$156)&amp;"][NumberOfInstallationsConEst]",Submission!$O:$O,Submission!$H:$N,""))</f>
        <v/>
      </c>
      <c r="I235" s="465"/>
    </row>
    <row r="236" spans="1:9" ht="54" hidden="1" customHeight="1" outlineLevel="1" x14ac:dyDescent="0.3">
      <c r="C236" s="261" t="str">
        <f>_xlfn.CONCAT(_xlfn.XLOOKUP("[S08_ActivityDataIssuesDetail]["&amp;ROW(B236)-ROW($B$156)&amp;"][AnnexIActivity]",Submission!$O:$O,Submission!$H:$N,""))</f>
        <v/>
      </c>
      <c r="D236" s="263"/>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4" t="str">
        <f>_xlfn.CONCAT(_xlfn.XLOOKUP("[S08_ActivityDataIssuesDetail]["&amp;ROW(B236)-ROW($B$156)&amp;"][NumberOfInstallationsConEst]",Submission!$O:$O,Submission!$H:$N,""))</f>
        <v/>
      </c>
      <c r="I236" s="465"/>
    </row>
    <row r="237" spans="1:9" collapsed="1" x14ac:dyDescent="0.3">
      <c r="B237" s="26" t="s">
        <v>1000</v>
      </c>
    </row>
    <row r="238" spans="1:9" ht="27.6" customHeight="1" x14ac:dyDescent="0.3">
      <c r="C238" s="469" t="s">
        <v>1205</v>
      </c>
      <c r="D238" s="469"/>
      <c r="E238" s="469"/>
      <c r="F238" s="469"/>
      <c r="G238" s="469"/>
      <c r="H238" s="469"/>
      <c r="I238" s="469"/>
    </row>
    <row r="240" spans="1:9" ht="18" customHeight="1" x14ac:dyDescent="0.3">
      <c r="A240" s="12" t="s">
        <v>518</v>
      </c>
      <c r="B240" s="341" t="s">
        <v>1206</v>
      </c>
      <c r="C240" s="311"/>
      <c r="D240" s="311"/>
      <c r="E240" s="311"/>
      <c r="F240" s="311"/>
      <c r="G240" s="311"/>
      <c r="H240" s="348"/>
      <c r="I240" s="41" t="str">
        <f>_xlfn.CONCAT(_xlfn.XLOOKUP("[ActivityReportRejected][0][ActivityReportRejected]",Submission!$O:$O,Submission!$H:$N,""))</f>
        <v>No</v>
      </c>
    </row>
    <row r="241" spans="1:9" ht="17.399999999999999" customHeight="1" x14ac:dyDescent="0.3">
      <c r="B241" s="470" t="s">
        <v>1207</v>
      </c>
      <c r="C241" s="470"/>
      <c r="D241" s="470"/>
      <c r="E241" s="470"/>
      <c r="F241" s="470"/>
      <c r="G241" s="470"/>
      <c r="H241" s="470"/>
      <c r="I241" s="470"/>
    </row>
    <row r="242" spans="1:9" x14ac:dyDescent="0.3">
      <c r="C242" s="499" t="s">
        <v>519</v>
      </c>
      <c r="D242" s="500"/>
      <c r="E242" s="500"/>
      <c r="F242" s="500"/>
      <c r="G242" s="500"/>
      <c r="H242" s="500"/>
      <c r="I242" s="501"/>
    </row>
    <row r="243" spans="1:9" s="58" customFormat="1" ht="48" customHeight="1" x14ac:dyDescent="0.3">
      <c r="A243" s="75"/>
      <c r="C243" s="249" t="s">
        <v>1208</v>
      </c>
      <c r="D243" s="275"/>
      <c r="E243" s="276"/>
      <c r="F243" s="354" t="str">
        <f>_xlfn.CONCAT(_xlfn.XLOOKUP("[S08_ActivityReportRejectedDetail][1][NumberActivityReportRejected]",Submission!$O:$O,Submission!$H:$N,""))</f>
        <v/>
      </c>
      <c r="G243" s="364"/>
      <c r="H243" s="493"/>
      <c r="I243" s="494"/>
    </row>
    <row r="244" spans="1:9" s="58" customFormat="1" ht="48" customHeight="1" x14ac:dyDescent="0.3">
      <c r="A244" s="75"/>
      <c r="C244" s="249" t="s">
        <v>1209</v>
      </c>
      <c r="D244" s="275"/>
      <c r="E244" s="276"/>
      <c r="F244" s="354" t="str">
        <f>_xlfn.CONCAT(_xlfn.XLOOKUP("[S08_ActivityReportRejectedDetail][2][NumberActivityReportRejected]",Submission!$O:$O,Submission!$H:$N,""))</f>
        <v/>
      </c>
      <c r="G244" s="364"/>
      <c r="H244" s="354" t="str">
        <f>_xlfn.CONCAT(_xlfn.XLOOKUP("[S08_ActivityReportRejectedDetail][2][ReasonForRejection]",Submission!$O:$O,Submission!$H:$N,""))</f>
        <v/>
      </c>
      <c r="I244" s="364"/>
    </row>
    <row r="245" spans="1:9" s="58" customFormat="1" ht="48" customHeight="1" x14ac:dyDescent="0.3">
      <c r="A245" s="75"/>
      <c r="C245" s="249" t="s">
        <v>1210</v>
      </c>
      <c r="D245" s="275"/>
      <c r="E245" s="276"/>
      <c r="F245" s="261" t="str">
        <f>_xlfn.CONCAT(_xlfn.XLOOKUP("[S08_ActivityReportRejectedDetail][3][ActionsTaken]",Submission!$O:$O,Submission!$H:$N,""))</f>
        <v/>
      </c>
      <c r="G245" s="356"/>
      <c r="H245" s="356"/>
      <c r="I245" s="263"/>
    </row>
    <row r="246" spans="1:9" s="58" customFormat="1" ht="48" customHeight="1" x14ac:dyDescent="0.3">
      <c r="A246" s="75"/>
      <c r="C246" s="249" t="s">
        <v>1211</v>
      </c>
      <c r="D246" s="275"/>
      <c r="E246" s="276"/>
      <c r="F246" s="261" t="str">
        <f>_xlfn.CONCAT(_xlfn.XLOOKUP("[S08_ActivityReportRejectedDetail][4][ActionsTaken]",Submission!$O:$O,Submission!$H:$N,""))</f>
        <v/>
      </c>
      <c r="G246" s="356"/>
      <c r="H246" s="356"/>
      <c r="I246" s="263"/>
    </row>
    <row r="248" spans="1:9" ht="17.399999999999999" customHeight="1" x14ac:dyDescent="0.3">
      <c r="A248" s="12" t="s">
        <v>521</v>
      </c>
      <c r="B248" s="341" t="s">
        <v>1212</v>
      </c>
      <c r="C248" s="311"/>
      <c r="D248" s="311"/>
      <c r="E248" s="311"/>
      <c r="F248" s="311"/>
      <c r="G248" s="311"/>
      <c r="H248" s="348"/>
      <c r="I248" s="41" t="str">
        <f>_xlfn.CONCAT(_xlfn.XLOOKUP("[ActivityLevelVisitsWaived][0][ActivityLevelVisitsWaived]",Submission!$O:$O,Submission!$H:$N,""))</f>
        <v>Yes</v>
      </c>
    </row>
    <row r="249" spans="1:9" ht="16.95" customHeight="1" x14ac:dyDescent="0.3">
      <c r="B249" s="470" t="s">
        <v>1213</v>
      </c>
      <c r="C249" s="470"/>
      <c r="D249" s="470"/>
      <c r="E249" s="470"/>
      <c r="F249" s="470"/>
      <c r="G249" s="470"/>
      <c r="H249" s="470"/>
      <c r="I249" s="470"/>
    </row>
    <row r="250" spans="1:9" x14ac:dyDescent="0.3">
      <c r="C250" s="438" t="s">
        <v>1214</v>
      </c>
      <c r="D250" s="439"/>
      <c r="E250" s="439"/>
      <c r="F250" s="440"/>
      <c r="G250" s="438" t="s">
        <v>1045</v>
      </c>
      <c r="H250" s="439"/>
      <c r="I250" s="440"/>
    </row>
    <row r="251" spans="1:9" s="58" customFormat="1" ht="20.399999999999999" customHeight="1" x14ac:dyDescent="0.3">
      <c r="A251" s="75"/>
      <c r="C251" s="471" t="s">
        <v>2207</v>
      </c>
      <c r="D251" s="472"/>
      <c r="E251" s="472"/>
      <c r="F251" s="473"/>
      <c r="G251" s="464" t="str">
        <f>_xlfn.CONCAT(_xlfn.XLOOKUP("[S08_ActivityLevelVisitsWaivedDetail][1][NumberOfInstallations]",Submission!$O:$O,Submission!$H:$N,""))</f>
        <v/>
      </c>
      <c r="H251" s="468"/>
      <c r="I251" s="465"/>
    </row>
    <row r="252" spans="1:9" s="58" customFormat="1" ht="20.399999999999999" customHeight="1" x14ac:dyDescent="0.3">
      <c r="A252" s="75"/>
      <c r="C252" s="471" t="s">
        <v>2208</v>
      </c>
      <c r="D252" s="472"/>
      <c r="E252" s="472"/>
      <c r="F252" s="473"/>
      <c r="G252" s="464" t="str">
        <f>_xlfn.CONCAT(_xlfn.XLOOKUP("[S08_ActivityLevelVisitsWaivedDetail][2][NumberOfInstallations]",Submission!$O:$O,Submission!$H:$N,""))</f>
        <v/>
      </c>
      <c r="H252" s="468"/>
      <c r="I252" s="465"/>
    </row>
    <row r="253" spans="1:9" s="58" customFormat="1" ht="20.399999999999999" customHeight="1" x14ac:dyDescent="0.3">
      <c r="A253" s="75"/>
      <c r="C253" s="471" t="s">
        <v>2209</v>
      </c>
      <c r="D253" s="472"/>
      <c r="E253" s="472"/>
      <c r="F253" s="473"/>
      <c r="G253" s="464" t="str">
        <f>_xlfn.CONCAT(_xlfn.XLOOKUP("[S08_ActivityLevelVisitsWaivedDetail][3][NumberOfInstallations]",Submission!$O:$O,Submission!$H:$N,""))</f>
        <v>1</v>
      </c>
      <c r="H253" s="468"/>
      <c r="I253" s="465"/>
    </row>
    <row r="254" spans="1:9" s="58" customFormat="1" ht="20.399999999999999" customHeight="1" x14ac:dyDescent="0.3">
      <c r="A254" s="75"/>
      <c r="C254" s="471" t="s">
        <v>2210</v>
      </c>
      <c r="D254" s="472"/>
      <c r="E254" s="472"/>
      <c r="F254" s="473"/>
      <c r="G254" s="464" t="str">
        <f>_xlfn.CONCAT(_xlfn.XLOOKUP("[S08_ActivityLevelVisitsWaivedDetail][4][NumberOfInstallations]",Submission!$O:$O,Submission!$H:$N,""))</f>
        <v/>
      </c>
      <c r="H254" s="468"/>
      <c r="I254" s="465"/>
    </row>
    <row r="255" spans="1:9" s="58" customFormat="1" ht="20.399999999999999" customHeight="1" x14ac:dyDescent="0.3">
      <c r="A255" s="75"/>
      <c r="C255" s="471" t="s">
        <v>2211</v>
      </c>
      <c r="D255" s="472"/>
      <c r="E255" s="472"/>
      <c r="F255" s="473"/>
      <c r="G255" s="464" t="str">
        <f>_xlfn.CONCAT(_xlfn.XLOOKUP("[S08_ActivityLevelVisitsWaivedDetail][5][NumberOfInstallations]",Submission!$O:$O,Submission!$H:$N,""))</f>
        <v/>
      </c>
      <c r="H255" s="468"/>
      <c r="I255" s="465"/>
    </row>
    <row r="256" spans="1:9" x14ac:dyDescent="0.3">
      <c r="C256" s="469" t="s">
        <v>1215</v>
      </c>
      <c r="D256" s="469"/>
      <c r="E256" s="469"/>
      <c r="F256" s="469"/>
      <c r="G256" s="469"/>
      <c r="H256" s="469"/>
      <c r="I256" s="469"/>
    </row>
    <row r="258" spans="1:9" ht="31.2" customHeight="1" x14ac:dyDescent="0.3">
      <c r="A258" s="12" t="s">
        <v>528</v>
      </c>
      <c r="B258" s="341" t="s">
        <v>1216</v>
      </c>
      <c r="C258" s="311"/>
      <c r="D258" s="311"/>
      <c r="E258" s="311"/>
      <c r="F258" s="311"/>
      <c r="G258" s="311"/>
      <c r="H258" s="348"/>
      <c r="I258" s="41" t="str">
        <f>_xlfn.CONCAT(_xlfn.XLOOKUP("[VirtualVisitsActivityLevel][0][VirtualVisitsActivityLevel]",Submission!$O:$O,Submission!$H:$N,""))</f>
        <v>Yes</v>
      </c>
    </row>
    <row r="259" spans="1:9" ht="15.9" customHeight="1" x14ac:dyDescent="0.3">
      <c r="B259" s="341" t="s">
        <v>1070</v>
      </c>
      <c r="C259" s="311"/>
      <c r="D259" s="311"/>
      <c r="E259" s="311"/>
      <c r="F259" s="311"/>
      <c r="G259" s="311"/>
      <c r="H259" s="311"/>
      <c r="I259" s="311"/>
    </row>
    <row r="260" spans="1:9" ht="15.9" customHeight="1" x14ac:dyDescent="0.3">
      <c r="B260" s="15" t="s">
        <v>8</v>
      </c>
      <c r="C260" s="342" t="s">
        <v>1217</v>
      </c>
      <c r="D260" s="342"/>
      <c r="E260" s="342"/>
      <c r="F260" s="342"/>
      <c r="G260" s="342"/>
      <c r="H260" s="342"/>
      <c r="I260" s="342"/>
    </row>
    <row r="261" spans="1:9" ht="15.9" customHeight="1" x14ac:dyDescent="0.3">
      <c r="B261" s="15" t="s">
        <v>8</v>
      </c>
      <c r="C261" s="342" t="s">
        <v>1218</v>
      </c>
      <c r="D261" s="342"/>
      <c r="E261" s="342"/>
      <c r="F261" s="342"/>
      <c r="G261" s="342"/>
      <c r="H261" s="342"/>
      <c r="I261" s="342"/>
    </row>
    <row r="262" spans="1:9" ht="15.9" customHeight="1" x14ac:dyDescent="0.3">
      <c r="B262" s="15" t="s">
        <v>8</v>
      </c>
      <c r="C262" s="330" t="s">
        <v>1073</v>
      </c>
      <c r="D262" s="330"/>
      <c r="E262" s="330"/>
      <c r="F262" s="330"/>
      <c r="G262" s="330"/>
      <c r="H262" s="330"/>
      <c r="I262" s="330"/>
    </row>
    <row r="263" spans="1:9" ht="28.95" customHeight="1" x14ac:dyDescent="0.3">
      <c r="B263" s="11"/>
      <c r="C263" s="42" t="s">
        <v>1074</v>
      </c>
      <c r="D263" s="317" t="s">
        <v>1075</v>
      </c>
      <c r="E263" s="337"/>
      <c r="F263" s="317" t="s">
        <v>1219</v>
      </c>
      <c r="G263" s="337"/>
      <c r="H263" s="317" t="s">
        <v>1220</v>
      </c>
      <c r="I263" s="337"/>
    </row>
    <row r="264" spans="1:9" ht="27.6" customHeight="1" x14ac:dyDescent="0.3">
      <c r="B264" s="11"/>
      <c r="C264" s="91" t="str">
        <f>_xlfn.CONCAT(_xlfn.XLOOKUP("[S08_VirtualVisitsActivityLevelDetail][1][TypeForceMajeur]",Submission!$O:$O,Submission!$H:$N,""))</f>
        <v>Obostrzenia COVID</v>
      </c>
      <c r="D264" s="338" t="str">
        <f>_xlfn.CONCAT(_xlfn.XLOOKUP("[S08_VirtualVisitsActivityLevelDetail][1][NumberOfInstallationsVV]",Submission!$O:$O,Submission!$H:$N,""))</f>
        <v>56</v>
      </c>
      <c r="E264" s="340"/>
      <c r="F264" s="422" t="str">
        <f>_xlfn.CONCAT(_xlfn.XLOOKUP("[S08_VirtualVisitsActivityLevelDetail][1][AuthorityApproval]",Submission!$O:$O,Submission!$H:$N,""))</f>
        <v>Approval by competent authority</v>
      </c>
      <c r="G264" s="424"/>
      <c r="H264" s="422" t="str">
        <f>_xlfn.CONCAT(_xlfn.XLOOKUP("[S08_VirtualVisitsActivityLevelDetail][1][ConfirmationConditionsMet]",Submission!$O:$O,Submission!$H:$N,""))</f>
        <v>Właściwy organ zezwolił na wirtualne wizyty w obiekcie bez potrzeby indywidualnego zatwierdzania zgodnie z art. 34a ust. 4 AVR</v>
      </c>
      <c r="I264" s="424"/>
    </row>
    <row r="265" spans="1:9" ht="27.6" customHeight="1" x14ac:dyDescent="0.3">
      <c r="B265" s="11"/>
      <c r="C265" s="91" t="str">
        <f>_xlfn.CONCAT(_xlfn.XLOOKUP("[S08_VirtualVisitsActivityLevelDetail][2][TypeForceMajeur]",Submission!$O:$O,Submission!$H:$N,""))</f>
        <v/>
      </c>
      <c r="D265" s="338" t="str">
        <f>_xlfn.CONCAT(_xlfn.XLOOKUP("[S08_VirtualVisitsActivityLevelDetail][2][NumberOfInstallationsVV]",Submission!$O:$O,Submission!$H:$N,""))</f>
        <v/>
      </c>
      <c r="E265" s="340"/>
      <c r="F265" s="422" t="str">
        <f>_xlfn.CONCAT(_xlfn.XLOOKUP("[S08_VirtualVisitsActivityLevelDetail][2][AuthorityApproval]",Submission!$O:$O,Submission!$H:$N,""))</f>
        <v/>
      </c>
      <c r="G265" s="424"/>
      <c r="H265" s="422" t="str">
        <f>_xlfn.CONCAT(_xlfn.XLOOKUP("[S08_VirtualVisitsActivityLevelDetail][2][ConfirmationConditionsMet]",Submission!$O:$O,Submission!$H:$N,""))</f>
        <v/>
      </c>
      <c r="I265" s="424"/>
    </row>
    <row r="266" spans="1:9" ht="27.6" customHeight="1" x14ac:dyDescent="0.3">
      <c r="B266" s="11"/>
      <c r="C266" s="91" t="str">
        <f>_xlfn.CONCAT(_xlfn.XLOOKUP("[S08_VirtualVisitsActivityLevelDetail][3][TypeForceMajeur]",Submission!$O:$O,Submission!$H:$N,""))</f>
        <v/>
      </c>
      <c r="D266" s="338" t="str">
        <f>_xlfn.CONCAT(_xlfn.XLOOKUP("[S08_VirtualVisitsActivityLevelDetail][3][NumberOfInstallationsVV]",Submission!$O:$O,Submission!$H:$N,""))</f>
        <v/>
      </c>
      <c r="E266" s="340"/>
      <c r="F266" s="422" t="str">
        <f>_xlfn.CONCAT(_xlfn.XLOOKUP("[S08_VirtualVisitsActivityLevelDetail][3][AuthorityApproval]",Submission!$O:$O,Submission!$H:$N,""))</f>
        <v/>
      </c>
      <c r="G266" s="424"/>
      <c r="H266" s="422" t="str">
        <f>_xlfn.CONCAT(_xlfn.XLOOKUP("[S08_VirtualVisitsActivityLevelDetail][3][ConfirmationConditionsMet]",Submission!$O:$O,Submission!$H:$N,""))</f>
        <v/>
      </c>
      <c r="I266" s="424"/>
    </row>
    <row r="267" spans="1:9" ht="27.6" customHeight="1" x14ac:dyDescent="0.3">
      <c r="B267" s="11"/>
      <c r="C267" s="91" t="str">
        <f>_xlfn.CONCAT(_xlfn.XLOOKUP("[S08_VirtualVisitsActivityLevelDetail][4][TypeForceMajeur]",Submission!$O:$O,Submission!$H:$N,""))</f>
        <v/>
      </c>
      <c r="D267" s="338" t="str">
        <f>_xlfn.CONCAT(_xlfn.XLOOKUP("[S08_VirtualVisitsActivityLevelDetail][4][NumberOfInstallationsVV]",Submission!$O:$O,Submission!$H:$N,""))</f>
        <v/>
      </c>
      <c r="E267" s="340"/>
      <c r="F267" s="422" t="str">
        <f>_xlfn.CONCAT(_xlfn.XLOOKUP("[S08_VirtualVisitsActivityLevelDetail][4][AuthorityApproval]",Submission!$O:$O,Submission!$H:$N,""))</f>
        <v/>
      </c>
      <c r="G267" s="424"/>
      <c r="H267" s="422" t="str">
        <f>_xlfn.CONCAT(_xlfn.XLOOKUP("[S08_VirtualVisitsActivityLevelDetail][4][ConfirmationConditionsMet]",Submission!$O:$O,Submission!$H:$N,""))</f>
        <v/>
      </c>
      <c r="I267" s="424"/>
    </row>
    <row r="268" spans="1:9" ht="27.6" hidden="1" customHeight="1" outlineLevel="1" x14ac:dyDescent="0.3">
      <c r="B268" s="11"/>
      <c r="C268" s="91" t="str">
        <f>_xlfn.CONCAT(_xlfn.XLOOKUP("[S08_VirtualVisitsActivityLevelDetail][5][TypeForceMajeur]",Submission!$O:$O,Submission!$H:$N,""))</f>
        <v/>
      </c>
      <c r="D268" s="338" t="str">
        <f>_xlfn.CONCAT(_xlfn.XLOOKUP("[S08_VirtualVisitsActivityLevelDetail][5][NumberOfInstallationsVV]",Submission!$O:$O,Submission!$H:$N,""))</f>
        <v/>
      </c>
      <c r="E268" s="340"/>
      <c r="F268" s="422" t="str">
        <f>_xlfn.CONCAT(_xlfn.XLOOKUP("[S08_VirtualVisitsActivityLevelDetail][5][AuthorityApproval]",Submission!$O:$O,Submission!$H:$N,""))</f>
        <v/>
      </c>
      <c r="G268" s="424"/>
      <c r="H268" s="422" t="str">
        <f>_xlfn.CONCAT(_xlfn.XLOOKUP("[S08_VirtualVisitsActivityLevelDetail][5][ConfirmationConditionsMet]",Submission!$O:$O,Submission!$H:$N,""))</f>
        <v/>
      </c>
      <c r="I268" s="424"/>
    </row>
    <row r="269" spans="1:9" ht="27.6" hidden="1" customHeight="1" outlineLevel="1" x14ac:dyDescent="0.3">
      <c r="B269" s="11"/>
      <c r="C269" s="91" t="str">
        <f>_xlfn.CONCAT(_xlfn.XLOOKUP("[S08_VirtualVisitsActivityLevelDetail][6][TypeForceMajeur]",Submission!$O:$O,Submission!$H:$N,""))</f>
        <v/>
      </c>
      <c r="D269" s="338" t="str">
        <f>_xlfn.CONCAT(_xlfn.XLOOKUP("[S08_VirtualVisitsActivityLevelDetail][6][NumberOfInstallationsVV]",Submission!$O:$O,Submission!$H:$N,""))</f>
        <v/>
      </c>
      <c r="E269" s="340"/>
      <c r="F269" s="422" t="str">
        <f>_xlfn.CONCAT(_xlfn.XLOOKUP("[S08_VirtualVisitsActivityLevelDetail][6][AuthorityApproval]",Submission!$O:$O,Submission!$H:$N,""))</f>
        <v/>
      </c>
      <c r="G269" s="424"/>
      <c r="H269" s="422" t="str">
        <f>_xlfn.CONCAT(_xlfn.XLOOKUP("[S08_VirtualVisitsActivityLevelDetail][6][ConfirmationConditionsMet]",Submission!$O:$O,Submission!$H:$N,""))</f>
        <v/>
      </c>
      <c r="I269" s="424"/>
    </row>
    <row r="270" spans="1:9" ht="27.6" hidden="1" customHeight="1" outlineLevel="1" x14ac:dyDescent="0.3">
      <c r="B270" s="11"/>
      <c r="C270" s="91" t="str">
        <f>_xlfn.CONCAT(_xlfn.XLOOKUP("[S08_VirtualVisitsActivityLevelDetail][7][TypeForceMajeur]",Submission!$O:$O,Submission!$H:$N,""))</f>
        <v/>
      </c>
      <c r="D270" s="338" t="str">
        <f>_xlfn.CONCAT(_xlfn.XLOOKUP("[S08_VirtualVisitsActivityLevelDetail][7][NumberOfInstallationsVV]",Submission!$O:$O,Submission!$H:$N,""))</f>
        <v/>
      </c>
      <c r="E270" s="340"/>
      <c r="F270" s="422" t="str">
        <f>_xlfn.CONCAT(_xlfn.XLOOKUP("[S08_VirtualVisitsActivityLevelDetail][7][AuthorityApproval]",Submission!$O:$O,Submission!$H:$N,""))</f>
        <v/>
      </c>
      <c r="G270" s="424"/>
      <c r="H270" s="422" t="str">
        <f>_xlfn.CONCAT(_xlfn.XLOOKUP("[S08_VirtualVisitsActivityLevelDetail][7][ConfirmationConditionsMet]",Submission!$O:$O,Submission!$H:$N,""))</f>
        <v/>
      </c>
      <c r="I270" s="424"/>
    </row>
    <row r="271" spans="1:9" ht="27.6" hidden="1" customHeight="1" outlineLevel="1" x14ac:dyDescent="0.3">
      <c r="B271" s="11"/>
      <c r="C271" s="91" t="str">
        <f>_xlfn.CONCAT(_xlfn.XLOOKUP("[S08_VirtualVisitsActivityLevelDetail][8][TypeForceMajeur]",Submission!$O:$O,Submission!$H:$N,""))</f>
        <v/>
      </c>
      <c r="D271" s="338" t="str">
        <f>_xlfn.CONCAT(_xlfn.XLOOKUP("[S08_VirtualVisitsActivityLevelDetail][8][NumberOfInstallationsVV]",Submission!$O:$O,Submission!$H:$N,""))</f>
        <v/>
      </c>
      <c r="E271" s="340"/>
      <c r="F271" s="422" t="str">
        <f>_xlfn.CONCAT(_xlfn.XLOOKUP("[S08_VirtualVisitsActivityLevelDetail][8][AuthorityApproval]",Submission!$O:$O,Submission!$H:$N,""))</f>
        <v/>
      </c>
      <c r="G271" s="424"/>
      <c r="H271" s="422" t="str">
        <f>_xlfn.CONCAT(_xlfn.XLOOKUP("[S08_VirtualVisitsActivityLevelDetail][8][ConfirmationConditionsMet]",Submission!$O:$O,Submission!$H:$N,""))</f>
        <v/>
      </c>
      <c r="I271" s="424"/>
    </row>
    <row r="272" spans="1:9" ht="27.6" hidden="1" customHeight="1" outlineLevel="1" x14ac:dyDescent="0.3">
      <c r="B272" s="11"/>
      <c r="C272" s="91" t="str">
        <f>_xlfn.CONCAT(_xlfn.XLOOKUP("[S08_VirtualVisitsActivityLevelDetail][9][TypeForceMajeur]",Submission!$O:$O,Submission!$H:$N,""))</f>
        <v/>
      </c>
      <c r="D272" s="338" t="str">
        <f>_xlfn.CONCAT(_xlfn.XLOOKUP("[S08_VirtualVisitsActivityLevelDetail][9][NumberOfInstallationsVV]",Submission!$O:$O,Submission!$H:$N,""))</f>
        <v/>
      </c>
      <c r="E272" s="340"/>
      <c r="F272" s="422" t="str">
        <f>_xlfn.CONCAT(_xlfn.XLOOKUP("[S08_VirtualVisitsActivityLevelDetail][9][AuthorityApproval]",Submission!$O:$O,Submission!$H:$N,""))</f>
        <v/>
      </c>
      <c r="G272" s="424"/>
      <c r="H272" s="422" t="str">
        <f>_xlfn.CONCAT(_xlfn.XLOOKUP("[S08_VirtualVisitsActivityLevelDetail][9][ConfirmationConditionsMet]",Submission!$O:$O,Submission!$H:$N,""))</f>
        <v/>
      </c>
      <c r="I272" s="424"/>
    </row>
    <row r="273" spans="1:10" ht="27.6" hidden="1" customHeight="1" outlineLevel="1" x14ac:dyDescent="0.3">
      <c r="B273" s="11"/>
      <c r="C273" s="91" t="str">
        <f>_xlfn.CONCAT(_xlfn.XLOOKUP("[S08_VirtualVisitsActivityLevelDetail][10][TypeForceMajeur]",Submission!$O:$O,Submission!$H:$N,""))</f>
        <v/>
      </c>
      <c r="D273" s="338" t="str">
        <f>_xlfn.CONCAT(_xlfn.XLOOKUP("[S08_VirtualVisitsActivityLevelDetail][10][NumberOfInstallationsVV]",Submission!$O:$O,Submission!$H:$N,""))</f>
        <v/>
      </c>
      <c r="E273" s="340"/>
      <c r="F273" s="422" t="str">
        <f>_xlfn.CONCAT(_xlfn.XLOOKUP("[S08_VirtualVisitsActivityLevelDetail][10][AuthorityApproval]",Submission!$O:$O,Submission!$H:$N,""))</f>
        <v/>
      </c>
      <c r="G273" s="424"/>
      <c r="H273" s="422" t="str">
        <f>_xlfn.CONCAT(_xlfn.XLOOKUP("[S08_VirtualVisitsActivityLevelDetail][10][ConfirmationConditionsMet]",Submission!$O:$O,Submission!$H:$N,""))</f>
        <v/>
      </c>
      <c r="I273" s="424"/>
    </row>
    <row r="274" spans="1:10" ht="27.6" hidden="1" customHeight="1" outlineLevel="1" x14ac:dyDescent="0.3">
      <c r="B274" s="11"/>
      <c r="C274" s="91" t="str">
        <f>_xlfn.CONCAT(_xlfn.XLOOKUP("[S08_VirtualVisitsActivityLevelDetail][11][TypeForceMajeur]",Submission!$O:$O,Submission!$H:$N,""))</f>
        <v/>
      </c>
      <c r="D274" s="338" t="str">
        <f>_xlfn.CONCAT(_xlfn.XLOOKUP("[S08_VirtualVisitsActivityLevelDetail][11][NumberOfInstallationsVV]",Submission!$O:$O,Submission!$H:$N,""))</f>
        <v/>
      </c>
      <c r="E274" s="340"/>
      <c r="F274" s="422" t="str">
        <f>_xlfn.CONCAT(_xlfn.XLOOKUP("[S08_VirtualVisitsActivityLevelDetail][11][AuthorityApproval]",Submission!$O:$O,Submission!$H:$N,""))</f>
        <v/>
      </c>
      <c r="G274" s="424"/>
      <c r="H274" s="422" t="str">
        <f>_xlfn.CONCAT(_xlfn.XLOOKUP("[S08_VirtualVisitsActivityLevelDetail][11][ConfirmationConditionsMet]",Submission!$O:$O,Submission!$H:$N,""))</f>
        <v/>
      </c>
      <c r="I274" s="424"/>
    </row>
    <row r="275" spans="1:10" ht="27.6" hidden="1" customHeight="1" outlineLevel="1" x14ac:dyDescent="0.3">
      <c r="B275" s="11"/>
      <c r="C275" s="91" t="str">
        <f>_xlfn.CONCAT(_xlfn.XLOOKUP("[S08_VirtualVisitsActivityLevelDetail][12][TypeForceMajeur]",Submission!$O:$O,Submission!$H:$N,""))</f>
        <v/>
      </c>
      <c r="D275" s="338" t="str">
        <f>_xlfn.CONCAT(_xlfn.XLOOKUP("[S08_VirtualVisitsActivityLevelDetail][12][NumberOfInstallationsVV]",Submission!$O:$O,Submission!$H:$N,""))</f>
        <v/>
      </c>
      <c r="E275" s="340"/>
      <c r="F275" s="422" t="str">
        <f>_xlfn.CONCAT(_xlfn.XLOOKUP("[S08_VirtualVisitsActivityLevelDetail][12][AuthorityApproval]",Submission!$O:$O,Submission!$H:$N,""))</f>
        <v/>
      </c>
      <c r="G275" s="424"/>
      <c r="H275" s="422" t="str">
        <f>_xlfn.CONCAT(_xlfn.XLOOKUP("[S08_VirtualVisitsActivityLevelDetail][12][ConfirmationConditionsMet]",Submission!$O:$O,Submission!$H:$N,""))</f>
        <v/>
      </c>
      <c r="I275" s="424"/>
    </row>
    <row r="276" spans="1:10" collapsed="1" x14ac:dyDescent="0.3">
      <c r="B276" s="26" t="s">
        <v>1000</v>
      </c>
      <c r="C276" s="16"/>
      <c r="D276" s="19"/>
      <c r="E276" s="11"/>
      <c r="F276" s="11"/>
      <c r="G276" s="11"/>
      <c r="H276" s="11"/>
      <c r="I276" s="11"/>
    </row>
    <row r="277" spans="1:10" x14ac:dyDescent="0.3">
      <c r="C277" s="421" t="s">
        <v>1221</v>
      </c>
      <c r="D277" s="480"/>
      <c r="E277" s="480"/>
      <c r="F277" s="480"/>
      <c r="G277" s="480"/>
      <c r="H277" s="480"/>
      <c r="I277" s="480"/>
      <c r="J277" s="480"/>
    </row>
    <row r="278" spans="1:10" x14ac:dyDescent="0.3">
      <c r="C278" s="26"/>
      <c r="D278" s="16"/>
      <c r="E278" s="16"/>
      <c r="F278" s="16"/>
      <c r="G278" s="16"/>
      <c r="H278" s="16"/>
      <c r="I278" s="16"/>
      <c r="J278" s="16"/>
    </row>
    <row r="279" spans="1:10" x14ac:dyDescent="0.3">
      <c r="A279" s="12" t="s">
        <v>533</v>
      </c>
      <c r="B279" s="484" t="s">
        <v>1222</v>
      </c>
      <c r="C279" s="484"/>
      <c r="D279" s="484"/>
      <c r="E279" s="484"/>
      <c r="F279" s="484"/>
      <c r="G279" s="484"/>
      <c r="H279" s="484"/>
      <c r="I279" s="484"/>
    </row>
    <row r="280" spans="1:10" ht="31.2" customHeight="1" x14ac:dyDescent="0.3">
      <c r="A280" s="12"/>
      <c r="B280" s="341" t="s">
        <v>1223</v>
      </c>
      <c r="C280" s="311"/>
      <c r="D280" s="311"/>
      <c r="E280" s="311"/>
      <c r="F280" s="311"/>
      <c r="G280" s="311"/>
      <c r="H280" s="311"/>
      <c r="I280" s="311"/>
    </row>
    <row r="281" spans="1:10" x14ac:dyDescent="0.3">
      <c r="C281" s="487" t="s">
        <v>1224</v>
      </c>
      <c r="D281" s="488"/>
      <c r="E281" s="491" t="s">
        <v>1225</v>
      </c>
      <c r="F281" s="492"/>
      <c r="G281" s="491" t="s">
        <v>1226</v>
      </c>
      <c r="H281" s="492"/>
      <c r="I281" s="466" t="s">
        <v>1227</v>
      </c>
    </row>
    <row r="282" spans="1:10" x14ac:dyDescent="0.3">
      <c r="C282" s="418"/>
      <c r="D282" s="420"/>
      <c r="E282" s="52" t="s">
        <v>1228</v>
      </c>
      <c r="F282" s="52" t="s">
        <v>1229</v>
      </c>
      <c r="G282" s="52" t="s">
        <v>1228</v>
      </c>
      <c r="H282" s="52" t="s">
        <v>1229</v>
      </c>
      <c r="I282" s="467"/>
    </row>
    <row r="283" spans="1:10" ht="37.950000000000003" customHeight="1" x14ac:dyDescent="0.3">
      <c r="C283" s="249" t="s">
        <v>1230</v>
      </c>
      <c r="D283" s="276"/>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Zgodnie z art. 4 i 5 rozporządzenia 2019/331 aby złożyć wniosek o bezpłatny przydział uprawnień do emisji prowadzący instalację musi posiadać zatwierdzony plan metodyki monitorowania. Brak zatwierdzonego planu monitorowania powoduje ze wniosek jest niekompletny i KOBiZE wzywa prowadzącego instalację do usunięcia braków w terminie nie dłuższym niż 14 dni od dnia doręczenia wezwania, zgodnie z art. 26b ust. 3 i art. 64 ust. 2a ustawy z dnia 12 czerwca 2015 r. o systemie handlu uprawnieniami do emisji (t.j. Dz.U. 2022 poz. 1092)</v>
      </c>
    </row>
    <row r="284" spans="1:10" ht="58.2" customHeight="1" x14ac:dyDescent="0.3">
      <c r="C284" s="249" t="s">
        <v>1231</v>
      </c>
      <c r="D284" s="276"/>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Na podstawie art. 64a ust. 1 ustawy dnia 12 czerwca 2015 r. o systemie handlu uprawnieniami do emisji Krajowy ośrodek ocenia raport zgodnie z przepisami art. 7–12 rozporządzenia Komisji (UE) 2019/331. KOBiZE dokonuje zachowawczego oszacowania wartości parametrów, o których mowa w art. 3 ust. 4 rozporządzenia Komisji (UE) 2019/1842, w przypadkach wskazanych w tym przepisie, w tym w przypadku gdy raport jest niezgodny z przepisami rozporządzenia 2019/331  lub rozporzadzenia 2019/1842</v>
      </c>
    </row>
    <row r="285" spans="1:10" ht="58.2" customHeight="1" x14ac:dyDescent="0.3">
      <c r="C285" s="249" t="s">
        <v>1232</v>
      </c>
      <c r="D285" s="276"/>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1) Organ właściwy do wydania zezwolenia wszczyna z urzędu postępowanie w sprawie zatwierdzenia planu metodyki monitorowania, jeżeli prowadzący instalację nie wystąpił o zatwierdzenie istotnej zmiany planu metodyki monitorowania w terminie 21 dni od zgłoszenia zmiany. (art. 26g ust. 3 ustawy)
2) Niezgodności planu metodyki monitorowania i raportu ALC powoduje zgodnie z art. 64a ust. 2 dokonanie zachowawczego oszacowania wartości parametrów przez KOBiZE. KOBiZE wzywa prowadzącego instalację do: a) złożenia wyjaśnień lub b) przedstawienia informacji i danych potrzebnych do oszacowania parametru, który zgodnie z art. 3 ust. 2 rozporządzenia Komisji (UE) 2019/1842 powinien zawierać raport dotyczący poziomu działalności, lub weryfikatora do przedłożenia wewnętrznej dokumentacji z weryfikacji, o której mowa w art. 26 rozporządzenia Komisji (UE) 2018/2067, w terminie 7 dni od dnia doręczenia wezwania.</v>
      </c>
    </row>
    <row r="286" spans="1:10" ht="36" customHeight="1" x14ac:dyDescent="0.3">
      <c r="C286" s="489" t="s">
        <v>1233</v>
      </c>
      <c r="D286" s="490"/>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KOBiZE dokonuje zachowawczego oszacowania wartości parametrów, o których mowa w art. 3 ust. 4 rozporządzenia Komisji (UE) 2019/1842.</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41" t="s">
        <v>1238</v>
      </c>
      <c r="C293" s="311"/>
      <c r="D293" s="311"/>
      <c r="E293" s="311"/>
      <c r="F293" s="311"/>
      <c r="G293" s="311"/>
      <c r="H293" s="311"/>
      <c r="I293" s="311"/>
    </row>
    <row r="294" spans="1:9" x14ac:dyDescent="0.3">
      <c r="C294" s="487" t="s">
        <v>1239</v>
      </c>
      <c r="D294" s="488"/>
      <c r="E294" s="317" t="s">
        <v>1240</v>
      </c>
      <c r="F294" s="336"/>
      <c r="G294" s="337"/>
      <c r="H294" s="485" t="s">
        <v>1241</v>
      </c>
      <c r="I294" s="485" t="s">
        <v>1242</v>
      </c>
    </row>
    <row r="295" spans="1:9" ht="41.4" customHeight="1" x14ac:dyDescent="0.3">
      <c r="C295" s="418"/>
      <c r="D295" s="420"/>
      <c r="E295" s="53" t="s">
        <v>1225</v>
      </c>
      <c r="F295" s="53" t="s">
        <v>1226</v>
      </c>
      <c r="G295" s="53" t="s">
        <v>1227</v>
      </c>
      <c r="H295" s="486"/>
      <c r="I295" s="486"/>
    </row>
    <row r="296" spans="1:9" ht="39.6" customHeight="1" x14ac:dyDescent="0.3">
      <c r="C296" s="261" t="str">
        <f>_xlfn.CONCAT(_xlfn.XLOOKUP("[S08_InfringementsIncurredAllocation][1][InfringementType]",Submission!$O:$O,Submission!$H:$N,""))</f>
        <v/>
      </c>
      <c r="D296" s="263"/>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61" t="str">
        <f>_xlfn.CONCAT(_xlfn.XLOOKUP("[S08_InfringementsIncurredAllocation][2][InfringementType]",Submission!$O:$O,Submission!$H:$N,""))</f>
        <v/>
      </c>
      <c r="D297" s="263"/>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61" t="str">
        <f>_xlfn.CONCAT(_xlfn.XLOOKUP("[S08_InfringementsIncurredAllocation][3][InfringementType]",Submission!$O:$O,Submission!$H:$N,""))</f>
        <v/>
      </c>
      <c r="D298" s="263"/>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61" t="str">
        <f>_xlfn.CONCAT(_xlfn.XLOOKUP("[S08_InfringementsIncurredAllocation][4][InfringementType]",Submission!$O:$O,Submission!$H:$N,""))</f>
        <v/>
      </c>
      <c r="D299" s="263"/>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61" t="str">
        <f>_xlfn.CONCAT(_xlfn.XLOOKUP("[S08_InfringementsIncurredAllocation][5][InfringementType]",Submission!$O:$O,Submission!$H:$N,""))</f>
        <v/>
      </c>
      <c r="D300" s="263"/>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61" t="str">
        <f>_xlfn.CONCAT(_xlfn.XLOOKUP("[S08_InfringementsIncurredAllocation][6][InfringementType]",Submission!$O:$O,Submission!$H:$N,""))</f>
        <v/>
      </c>
      <c r="D301" s="263"/>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61" t="str">
        <f>_xlfn.CONCAT(_xlfn.XLOOKUP("[S08_InfringementsIncurredAllocation][7][InfringementType]",Submission!$O:$O,Submission!$H:$N,""))</f>
        <v/>
      </c>
      <c r="D302" s="263"/>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61" t="str">
        <f>_xlfn.CONCAT(_xlfn.XLOOKUP("[S08_InfringementsIncurredAllocation][8][InfringementType]",Submission!$O:$O,Submission!$H:$N,""))</f>
        <v/>
      </c>
      <c r="D303" s="263"/>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61" t="str">
        <f>_xlfn.CONCAT(_xlfn.XLOOKUP("[S08_InfringementsIncurredAllocation][9][InfringementType]",Submission!$O:$O,Submission!$H:$N,""))</f>
        <v/>
      </c>
      <c r="D304" s="263"/>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61" t="str">
        <f>_xlfn.CONCAT(_xlfn.XLOOKUP("[S08_InfringementsIncurredAllocation][10][InfringementType]",Submission!$O:$O,Submission!$H:$N,""))</f>
        <v/>
      </c>
      <c r="D305" s="263"/>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61" t="str">
        <f>_xlfn.CONCAT(_xlfn.XLOOKUP("[S08_InfringementsIncurredAllocation][11][InfringementType]",Submission!$O:$O,Submission!$H:$N,""))</f>
        <v/>
      </c>
      <c r="D306" s="263"/>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61" t="str">
        <f>_xlfn.CONCAT(_xlfn.XLOOKUP("[S08_InfringementsIncurredAllocation][12][InfringementType]",Submission!$O:$O,Submission!$H:$N,""))</f>
        <v/>
      </c>
      <c r="D307" s="263"/>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61" t="str">
        <f>_xlfn.CONCAT(_xlfn.XLOOKUP("[S08_InfringementsIncurredAllocation][13][InfringementType]",Submission!$O:$O,Submission!$H:$N,""))</f>
        <v/>
      </c>
      <c r="D308" s="263"/>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61" t="str">
        <f>_xlfn.CONCAT(_xlfn.XLOOKUP("[S08_InfringementsIncurredAllocation][14][InfringementType]",Submission!$O:$O,Submission!$H:$N,""))</f>
        <v/>
      </c>
      <c r="D309" s="263"/>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61" t="str">
        <f>_xlfn.CONCAT(_xlfn.XLOOKUP("[S08_InfringementsIncurredAllocation][15][InfringementType]",Submission!$O:$O,Submission!$H:$N,""))</f>
        <v/>
      </c>
      <c r="D310" s="263"/>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61" t="str">
        <f>_xlfn.CONCAT(_xlfn.XLOOKUP("[S08_InfringementsIncurredAllocation][16][InfringementType]",Submission!$O:$O,Submission!$H:$N,""))</f>
        <v/>
      </c>
      <c r="D311" s="263"/>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61" t="str">
        <f>_xlfn.CONCAT(_xlfn.XLOOKUP("[S08_InfringementsIncurredAllocation][17][InfringementType]",Submission!$O:$O,Submission!$H:$N,""))</f>
        <v/>
      </c>
      <c r="D312" s="263"/>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61" t="str">
        <f>_xlfn.CONCAT(_xlfn.XLOOKUP("[S08_InfringementsIncurredAllocation][18][InfringementType]",Submission!$O:$O,Submission!$H:$N,""))</f>
        <v/>
      </c>
      <c r="D313" s="263"/>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61" t="str">
        <f>_xlfn.CONCAT(_xlfn.XLOOKUP("[S08_InfringementsIncurredAllocation][19][InfringementType]",Submission!$O:$O,Submission!$H:$N,""))</f>
        <v/>
      </c>
      <c r="D314" s="263"/>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61" t="str">
        <f>_xlfn.CONCAT(_xlfn.XLOOKUP("[S08_InfringementsIncurredAllocation][20][InfringementType]",Submission!$O:$O,Submission!$H:$N,""))</f>
        <v/>
      </c>
      <c r="D315" s="263"/>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61" t="str">
        <f>_xlfn.CONCAT(_xlfn.XLOOKUP("[S08_InfringementsIncurredAllocation][21][InfringementType]",Submission!$O:$O,Submission!$H:$N,""))</f>
        <v/>
      </c>
      <c r="D316" s="263"/>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61" t="str">
        <f>_xlfn.CONCAT(_xlfn.XLOOKUP("[S08_InfringementsIncurredAllocation][22][InfringementType]",Submission!$O:$O,Submission!$H:$N,""))</f>
        <v/>
      </c>
      <c r="D317" s="263"/>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21" t="s">
        <v>1243</v>
      </c>
      <c r="D319" s="480"/>
      <c r="E319" s="480"/>
      <c r="F319" s="480"/>
      <c r="G319" s="480"/>
      <c r="H319" s="480"/>
      <c r="I319" s="480"/>
      <c r="J319" s="480"/>
    </row>
    <row r="321" spans="2:9" ht="15.6" customHeight="1" x14ac:dyDescent="0.3">
      <c r="B321" s="481" t="s">
        <v>1244</v>
      </c>
      <c r="C321" s="481"/>
      <c r="D321" s="481"/>
      <c r="E321" s="481"/>
      <c r="F321" s="481"/>
      <c r="G321" s="481"/>
      <c r="H321" s="482"/>
      <c r="I321" s="41" t="str">
        <f>_xlfn.CONCAT(_xlfn.XLOOKUP("[PriorPenaltiesEnforced][0][PriorPenaltiesEnforced]",Submission!$O:$O,Submission!$H:$N,""))</f>
        <v/>
      </c>
    </row>
    <row r="322" spans="2:9" ht="16.2" customHeight="1" x14ac:dyDescent="0.3">
      <c r="B322" s="341" t="s">
        <v>1245</v>
      </c>
      <c r="C322" s="311"/>
      <c r="D322" s="311"/>
      <c r="E322" s="311"/>
      <c r="F322" s="311"/>
      <c r="G322" s="311"/>
      <c r="H322" s="311"/>
      <c r="I322" s="311"/>
    </row>
    <row r="323" spans="2:9" x14ac:dyDescent="0.3">
      <c r="C323" s="438" t="s">
        <v>1224</v>
      </c>
      <c r="D323" s="439"/>
      <c r="E323" s="440"/>
      <c r="F323" s="438" t="s">
        <v>1246</v>
      </c>
      <c r="G323" s="440"/>
      <c r="H323" s="438" t="s">
        <v>1247</v>
      </c>
      <c r="I323" s="440"/>
    </row>
    <row r="324" spans="2:9" x14ac:dyDescent="0.3">
      <c r="C324" s="258" t="str">
        <f>_xlfn.CONCAT(_xlfn.XLOOKUP("[S08_PriorPenaltiesEnforcedDetail][1][TypeInfringement]",Submission!$O:$O,Submission!$H:$N,""))</f>
        <v/>
      </c>
      <c r="D324" s="463"/>
      <c r="E324" s="259"/>
      <c r="F324" s="258" t="str">
        <f>_xlfn.CONCAT(_xlfn.XLOOKUP("[S08_PriorPenaltiesEnforcedDetail][1][TypePenalty]",Submission!$O:$O,Submission!$H:$N,""))</f>
        <v/>
      </c>
      <c r="G324" s="259"/>
      <c r="H324" s="461" t="str">
        <f>_xlfn.CONCAT(_xlfn.XLOOKUP("[S08_PriorPenaltiesEnforcedDetail][1][ReportinYear]",Submission!$O:$O,Submission!$H:$N,""))</f>
        <v/>
      </c>
      <c r="I324" s="462"/>
    </row>
    <row r="325" spans="2:9" x14ac:dyDescent="0.3">
      <c r="C325" s="258" t="str">
        <f>_xlfn.CONCAT(_xlfn.XLOOKUP("[S08_PriorPenaltiesEnforcedDetail][2][TypeInfringement]",Submission!$O:$O,Submission!$H:$N,""))</f>
        <v/>
      </c>
      <c r="D325" s="463"/>
      <c r="E325" s="259"/>
      <c r="F325" s="258" t="str">
        <f>_xlfn.CONCAT(_xlfn.XLOOKUP("[S08_PriorPenaltiesEnforcedDetail][2][TypePenalty]",Submission!$O:$O,Submission!$H:$N,""))</f>
        <v/>
      </c>
      <c r="G325" s="259"/>
      <c r="H325" s="461" t="str">
        <f>_xlfn.CONCAT(_xlfn.XLOOKUP("[S08_PriorPenaltiesEnforcedDetail][2][ReportinYear]",Submission!$O:$O,Submission!$H:$N,""))</f>
        <v/>
      </c>
      <c r="I325" s="462"/>
    </row>
    <row r="326" spans="2:9" x14ac:dyDescent="0.3">
      <c r="C326" s="258" t="str">
        <f>_xlfn.CONCAT(_xlfn.XLOOKUP("[S08_PriorPenaltiesEnforcedDetail][3][TypeInfringement]",Submission!$O:$O,Submission!$H:$N,""))</f>
        <v/>
      </c>
      <c r="D326" s="463"/>
      <c r="E326" s="259"/>
      <c r="F326" s="258" t="str">
        <f>_xlfn.CONCAT(_xlfn.XLOOKUP("[S08_PriorPenaltiesEnforcedDetail][3][TypePenalty]",Submission!$O:$O,Submission!$H:$N,""))</f>
        <v/>
      </c>
      <c r="G326" s="259"/>
      <c r="H326" s="461" t="str">
        <f>_xlfn.CONCAT(_xlfn.XLOOKUP("[S08_PriorPenaltiesEnforcedDetail][3][ReportinYear]",Submission!$O:$O,Submission!$H:$N,""))</f>
        <v/>
      </c>
      <c r="I326" s="462"/>
    </row>
    <row r="327" spans="2:9" x14ac:dyDescent="0.3">
      <c r="C327" s="258" t="str">
        <f>_xlfn.CONCAT(_xlfn.XLOOKUP("[S08_PriorPenaltiesEnforcedDetail][4][TypeInfringement]",Submission!$O:$O,Submission!$H:$N,""))</f>
        <v/>
      </c>
      <c r="D327" s="463"/>
      <c r="E327" s="259"/>
      <c r="F327" s="258" t="str">
        <f>_xlfn.CONCAT(_xlfn.XLOOKUP("[S08_PriorPenaltiesEnforcedDetail][4][TypePenalty]",Submission!$O:$O,Submission!$H:$N,""))</f>
        <v/>
      </c>
      <c r="G327" s="259"/>
      <c r="H327" s="461" t="str">
        <f>_xlfn.CONCAT(_xlfn.XLOOKUP("[S08_PriorPenaltiesEnforcedDetail][4][ReportinYear]",Submission!$O:$O,Submission!$H:$N,""))</f>
        <v/>
      </c>
      <c r="I327" s="462"/>
    </row>
    <row r="328" spans="2:9" x14ac:dyDescent="0.3">
      <c r="C328" s="258" t="str">
        <f>_xlfn.CONCAT(_xlfn.XLOOKUP("[S08_PriorPenaltiesEnforcedDetail][5][TypeInfringement]",Submission!$O:$O,Submission!$H:$N,""))</f>
        <v/>
      </c>
      <c r="D328" s="463"/>
      <c r="E328" s="259"/>
      <c r="F328" s="258" t="str">
        <f>_xlfn.CONCAT(_xlfn.XLOOKUP("[S08_PriorPenaltiesEnforcedDetail][5][TypePenalty]",Submission!$O:$O,Submission!$H:$N,""))</f>
        <v/>
      </c>
      <c r="G328" s="259"/>
      <c r="H328" s="461" t="str">
        <f>_xlfn.CONCAT(_xlfn.XLOOKUP("[S08_PriorPenaltiesEnforcedDetail][5][ReportinYear]",Submission!$O:$O,Submission!$H:$N,""))</f>
        <v/>
      </c>
      <c r="I328" s="462"/>
    </row>
    <row r="329" spans="2:9" hidden="1" outlineLevel="1" x14ac:dyDescent="0.3">
      <c r="C329" s="258" t="str">
        <f>_xlfn.CONCAT(_xlfn.XLOOKUP("[S08_PriorPenaltiesEnforcedDetail][6][TypeInfringement]",Submission!$O:$O,Submission!$H:$N,""))</f>
        <v/>
      </c>
      <c r="D329" s="463"/>
      <c r="E329" s="259"/>
      <c r="F329" s="258" t="str">
        <f>_xlfn.CONCAT(_xlfn.XLOOKUP("[S08_PriorPenaltiesEnforcedDetail][6][TypePenalty]",Submission!$O:$O,Submission!$H:$N,""))</f>
        <v/>
      </c>
      <c r="G329" s="259"/>
      <c r="H329" s="461" t="str">
        <f>_xlfn.CONCAT(_xlfn.XLOOKUP("[S08_PriorPenaltiesEnforcedDetail][6][ReportinYear]",Submission!$O:$O,Submission!$H:$N,""))</f>
        <v/>
      </c>
      <c r="I329" s="462"/>
    </row>
    <row r="330" spans="2:9" hidden="1" outlineLevel="1" x14ac:dyDescent="0.3">
      <c r="C330" s="258" t="str">
        <f>_xlfn.CONCAT(_xlfn.XLOOKUP("[S08_PriorPenaltiesEnforcedDetail][7][TypeInfringement]",Submission!$O:$O,Submission!$H:$N,""))</f>
        <v/>
      </c>
      <c r="D330" s="463"/>
      <c r="E330" s="259"/>
      <c r="F330" s="258" t="str">
        <f>_xlfn.CONCAT(_xlfn.XLOOKUP("[S08_PriorPenaltiesEnforcedDetail][7][TypePenalty]",Submission!$O:$O,Submission!$H:$N,""))</f>
        <v/>
      </c>
      <c r="G330" s="259"/>
      <c r="H330" s="461" t="str">
        <f>_xlfn.CONCAT(_xlfn.XLOOKUP("[S08_PriorPenaltiesEnforcedDetail][7][ReportinYear]",Submission!$O:$O,Submission!$H:$N,""))</f>
        <v/>
      </c>
      <c r="I330" s="462"/>
    </row>
    <row r="331" spans="2:9" hidden="1" outlineLevel="1" x14ac:dyDescent="0.3">
      <c r="C331" s="258" t="str">
        <f>_xlfn.CONCAT(_xlfn.XLOOKUP("[S08_PriorPenaltiesEnforcedDetail][8][TypeInfringement]",Submission!$O:$O,Submission!$H:$N,""))</f>
        <v/>
      </c>
      <c r="D331" s="463"/>
      <c r="E331" s="259"/>
      <c r="F331" s="258" t="str">
        <f>_xlfn.CONCAT(_xlfn.XLOOKUP("[S08_PriorPenaltiesEnforcedDetail][8][TypePenalty]",Submission!$O:$O,Submission!$H:$N,""))</f>
        <v/>
      </c>
      <c r="G331" s="259"/>
      <c r="H331" s="461" t="str">
        <f>_xlfn.CONCAT(_xlfn.XLOOKUP("[S08_PriorPenaltiesEnforcedDetail][8][ReportinYear]",Submission!$O:$O,Submission!$H:$N,""))</f>
        <v/>
      </c>
      <c r="I331" s="462"/>
    </row>
    <row r="332" spans="2:9" hidden="1" outlineLevel="1" x14ac:dyDescent="0.3">
      <c r="C332" s="258" t="str">
        <f>_xlfn.CONCAT(_xlfn.XLOOKUP("[S08_PriorPenaltiesEnforcedDetail][9][TypeInfringement]",Submission!$O:$O,Submission!$H:$N,""))</f>
        <v/>
      </c>
      <c r="D332" s="463"/>
      <c r="E332" s="259"/>
      <c r="F332" s="258" t="str">
        <f>_xlfn.CONCAT(_xlfn.XLOOKUP("[S08_PriorPenaltiesEnforcedDetail][9][TypePenalty]",Submission!$O:$O,Submission!$H:$N,""))</f>
        <v/>
      </c>
      <c r="G332" s="259"/>
      <c r="H332" s="461" t="str">
        <f>_xlfn.CONCAT(_xlfn.XLOOKUP("[S08_PriorPenaltiesEnforcedDetail][9][ReportinYear]",Submission!$O:$O,Submission!$H:$N,""))</f>
        <v/>
      </c>
      <c r="I332" s="462"/>
    </row>
    <row r="333" spans="2:9" hidden="1" outlineLevel="1" x14ac:dyDescent="0.3">
      <c r="C333" s="258" t="str">
        <f>_xlfn.CONCAT(_xlfn.XLOOKUP("[S08_PriorPenaltiesEnforcedDetail][10][TypeInfringement]",Submission!$O:$O,Submission!$H:$N,""))</f>
        <v/>
      </c>
      <c r="D333" s="463"/>
      <c r="E333" s="259"/>
      <c r="F333" s="258" t="str">
        <f>_xlfn.CONCAT(_xlfn.XLOOKUP("[S08_PriorPenaltiesEnforcedDetail][10][TypePenalty]",Submission!$O:$O,Submission!$H:$N,""))</f>
        <v/>
      </c>
      <c r="G333" s="259"/>
      <c r="H333" s="461" t="str">
        <f>_xlfn.CONCAT(_xlfn.XLOOKUP("[S08_PriorPenaltiesEnforcedDetail][10][ReportinYear]",Submission!$O:$O,Submission!$H:$N,""))</f>
        <v/>
      </c>
      <c r="I333" s="462"/>
    </row>
    <row r="334" spans="2:9" hidden="1" outlineLevel="1" x14ac:dyDescent="0.3">
      <c r="C334" s="258" t="str">
        <f>_xlfn.CONCAT(_xlfn.XLOOKUP("[S08_PriorPenaltiesEnforcedDetail][11][TypeInfringement]",Submission!$O:$O,Submission!$H:$N,""))</f>
        <v/>
      </c>
      <c r="D334" s="463"/>
      <c r="E334" s="259"/>
      <c r="F334" s="258" t="str">
        <f>_xlfn.CONCAT(_xlfn.XLOOKUP("[S08_PriorPenaltiesEnforcedDetail][11][TypePenalty]",Submission!$O:$O,Submission!$H:$N,""))</f>
        <v/>
      </c>
      <c r="G334" s="259"/>
      <c r="H334" s="461" t="str">
        <f>_xlfn.CONCAT(_xlfn.XLOOKUP("[S08_PriorPenaltiesEnforcedDetail][11][ReportinYear]",Submission!$O:$O,Submission!$H:$N,""))</f>
        <v/>
      </c>
      <c r="I334" s="462"/>
    </row>
    <row r="335" spans="2:9" hidden="1" outlineLevel="1" x14ac:dyDescent="0.3">
      <c r="C335" s="258" t="str">
        <f>_xlfn.CONCAT(_xlfn.XLOOKUP("[S08_PriorPenaltiesEnforcedDetail][12][TypeInfringement]",Submission!$O:$O,Submission!$H:$N,""))</f>
        <v/>
      </c>
      <c r="D335" s="463"/>
      <c r="E335" s="259"/>
      <c r="F335" s="258" t="str">
        <f>_xlfn.CONCAT(_xlfn.XLOOKUP("[S08_PriorPenaltiesEnforcedDetail][12][TypePenalty]",Submission!$O:$O,Submission!$H:$N,""))</f>
        <v/>
      </c>
      <c r="G335" s="259"/>
      <c r="H335" s="461" t="str">
        <f>_xlfn.CONCAT(_xlfn.XLOOKUP("[S08_PriorPenaltiesEnforcedDetail][12][ReportinYear]",Submission!$O:$O,Submission!$H:$N,""))</f>
        <v/>
      </c>
      <c r="I335" s="462"/>
    </row>
    <row r="336" spans="2:9" hidden="1" outlineLevel="1" x14ac:dyDescent="0.3">
      <c r="C336" s="258" t="str">
        <f>_xlfn.CONCAT(_xlfn.XLOOKUP("[S08_PriorPenaltiesEnforcedDetail][13][TypeInfringement]",Submission!$O:$O,Submission!$H:$N,""))</f>
        <v/>
      </c>
      <c r="D336" s="463"/>
      <c r="E336" s="259"/>
      <c r="F336" s="258" t="str">
        <f>_xlfn.CONCAT(_xlfn.XLOOKUP("[S08_PriorPenaltiesEnforcedDetail][13][TypePenalty]",Submission!$O:$O,Submission!$H:$N,""))</f>
        <v/>
      </c>
      <c r="G336" s="259"/>
      <c r="H336" s="461" t="str">
        <f>_xlfn.CONCAT(_xlfn.XLOOKUP("[S08_PriorPenaltiesEnforcedDetail][13][ReportinYear]",Submission!$O:$O,Submission!$H:$N,""))</f>
        <v/>
      </c>
      <c r="I336" s="462"/>
    </row>
    <row r="337" spans="2:10" hidden="1" outlineLevel="1" x14ac:dyDescent="0.3">
      <c r="C337" s="258" t="str">
        <f>_xlfn.CONCAT(_xlfn.XLOOKUP("[S08_PriorPenaltiesEnforcedDetail][14][TypeInfringement]",Submission!$O:$O,Submission!$H:$N,""))</f>
        <v/>
      </c>
      <c r="D337" s="463"/>
      <c r="E337" s="259"/>
      <c r="F337" s="258" t="str">
        <f>_xlfn.CONCAT(_xlfn.XLOOKUP("[S08_PriorPenaltiesEnforcedDetail][14][TypePenalty]",Submission!$O:$O,Submission!$H:$N,""))</f>
        <v/>
      </c>
      <c r="G337" s="259"/>
      <c r="H337" s="461" t="str">
        <f>_xlfn.CONCAT(_xlfn.XLOOKUP("[S08_PriorPenaltiesEnforcedDetail][14][ReportinYear]",Submission!$O:$O,Submission!$H:$N,""))</f>
        <v/>
      </c>
      <c r="I337" s="462"/>
    </row>
    <row r="338" spans="2:10" hidden="1" outlineLevel="1" x14ac:dyDescent="0.3">
      <c r="C338" s="258" t="str">
        <f>_xlfn.CONCAT(_xlfn.XLOOKUP("[S08_PriorPenaltiesEnforcedDetail][15][TypeInfringement]",Submission!$O:$O,Submission!$H:$N,""))</f>
        <v/>
      </c>
      <c r="D338" s="463"/>
      <c r="E338" s="259"/>
      <c r="F338" s="258" t="str">
        <f>_xlfn.CONCAT(_xlfn.XLOOKUP("[S08_PriorPenaltiesEnforcedDetail][15][TypePenalty]",Submission!$O:$O,Submission!$H:$N,""))</f>
        <v/>
      </c>
      <c r="G338" s="259"/>
      <c r="H338" s="461" t="str">
        <f>_xlfn.CONCAT(_xlfn.XLOOKUP("[S08_PriorPenaltiesEnforcedDetail][15][ReportinYear]",Submission!$O:$O,Submission!$H:$N,""))</f>
        <v/>
      </c>
      <c r="I338" s="462"/>
    </row>
    <row r="339" spans="2:10" hidden="1" outlineLevel="1" x14ac:dyDescent="0.3">
      <c r="C339" s="258" t="str">
        <f>_xlfn.CONCAT(_xlfn.XLOOKUP("[S08_PriorPenaltiesEnforcedDetail][16][TypeInfringement]",Submission!$O:$O,Submission!$H:$N,""))</f>
        <v/>
      </c>
      <c r="D339" s="463"/>
      <c r="E339" s="259"/>
      <c r="F339" s="258" t="str">
        <f>_xlfn.CONCAT(_xlfn.XLOOKUP("[S08_PriorPenaltiesEnforcedDetail][16][TypePenalty]",Submission!$O:$O,Submission!$H:$N,""))</f>
        <v/>
      </c>
      <c r="G339" s="259"/>
      <c r="H339" s="461" t="str">
        <f>_xlfn.CONCAT(_xlfn.XLOOKUP("[S08_PriorPenaltiesEnforcedDetail][16][ReportinYear]",Submission!$O:$O,Submission!$H:$N,""))</f>
        <v/>
      </c>
      <c r="I339" s="462"/>
    </row>
    <row r="340" spans="2:10" hidden="1" outlineLevel="1" x14ac:dyDescent="0.3">
      <c r="C340" s="258" t="str">
        <f>_xlfn.CONCAT(_xlfn.XLOOKUP("[S08_PriorPenaltiesEnforcedDetail][17][TypeInfringement]",Submission!$O:$O,Submission!$H:$N,""))</f>
        <v/>
      </c>
      <c r="D340" s="463"/>
      <c r="E340" s="259"/>
      <c r="F340" s="258" t="str">
        <f>_xlfn.CONCAT(_xlfn.XLOOKUP("[S08_PriorPenaltiesEnforcedDetail][17][TypePenalty]",Submission!$O:$O,Submission!$H:$N,""))</f>
        <v/>
      </c>
      <c r="G340" s="259"/>
      <c r="H340" s="461" t="str">
        <f>_xlfn.CONCAT(_xlfn.XLOOKUP("[S08_PriorPenaltiesEnforcedDetail][17][ReportinYear]",Submission!$O:$O,Submission!$H:$N,""))</f>
        <v/>
      </c>
      <c r="I340" s="462"/>
    </row>
    <row r="341" spans="2:10" collapsed="1" x14ac:dyDescent="0.3">
      <c r="B341" s="26" t="s">
        <v>1000</v>
      </c>
      <c r="C341" s="16"/>
      <c r="D341" s="19"/>
      <c r="E341" s="11"/>
      <c r="F341" s="11"/>
      <c r="G341" s="11"/>
      <c r="H341" s="11"/>
      <c r="I341" s="11"/>
    </row>
    <row r="342" spans="2:10" x14ac:dyDescent="0.3">
      <c r="C342" s="421" t="s">
        <v>1248</v>
      </c>
      <c r="D342" s="480"/>
      <c r="E342" s="480"/>
      <c r="F342" s="480"/>
      <c r="G342" s="480"/>
      <c r="H342" s="480"/>
      <c r="I342" s="480"/>
      <c r="J342" s="480"/>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12" t="s">
        <v>545</v>
      </c>
      <c r="C3" s="312"/>
      <c r="D3" s="312"/>
      <c r="E3" s="312"/>
      <c r="F3" s="312"/>
      <c r="G3" s="312"/>
      <c r="H3" s="312"/>
      <c r="I3" s="312"/>
    </row>
    <row r="4" spans="1:9" s="7" customFormat="1" ht="18.899999999999999" customHeight="1" x14ac:dyDescent="0.35">
      <c r="A4" s="107" t="s">
        <v>546</v>
      </c>
      <c r="B4" s="526" t="s">
        <v>74</v>
      </c>
      <c r="C4" s="526"/>
      <c r="D4" s="526"/>
      <c r="E4" s="526"/>
      <c r="F4" s="526"/>
      <c r="G4" s="526"/>
      <c r="H4" s="526"/>
      <c r="I4" s="527"/>
    </row>
    <row r="5" spans="1:9" ht="15.9" customHeight="1" x14ac:dyDescent="0.25">
      <c r="A5" s="55" t="s">
        <v>547</v>
      </c>
      <c r="B5" s="395" t="s">
        <v>1249</v>
      </c>
      <c r="C5" s="396"/>
      <c r="D5" s="396"/>
      <c r="E5" s="396"/>
      <c r="F5" s="396"/>
      <c r="G5" s="396"/>
      <c r="H5" s="396"/>
      <c r="I5" s="396"/>
    </row>
    <row r="6" spans="1:9" ht="16.95" customHeight="1" x14ac:dyDescent="0.3">
      <c r="B6" s="341" t="s">
        <v>1250</v>
      </c>
      <c r="C6" s="311"/>
      <c r="D6" s="311"/>
      <c r="E6" s="311"/>
      <c r="F6" s="311"/>
      <c r="G6" s="311"/>
      <c r="H6" s="348"/>
      <c r="I6" s="41" t="str">
        <f>_xlfn.CONCAT(_xlfn.XLOOKUP("[InstallationOperatorFees][0][InstallationOperatorFees]",Submission!$O:$O,Submission!$H:$N,""))</f>
        <v>Yes</v>
      </c>
    </row>
    <row r="7" spans="1:9" ht="16.95" customHeight="1" x14ac:dyDescent="0.3">
      <c r="B7" s="310" t="s">
        <v>1251</v>
      </c>
      <c r="C7" s="470"/>
      <c r="D7" s="470"/>
      <c r="E7" s="470"/>
      <c r="F7" s="470"/>
      <c r="G7" s="470"/>
      <c r="H7" s="470"/>
      <c r="I7" s="470"/>
    </row>
    <row r="8" spans="1:9" x14ac:dyDescent="0.3">
      <c r="C8" s="438" t="s">
        <v>1145</v>
      </c>
      <c r="D8" s="439"/>
      <c r="E8" s="439"/>
      <c r="F8" s="440"/>
      <c r="G8" s="438" t="s">
        <v>1146</v>
      </c>
      <c r="H8" s="439"/>
      <c r="I8" s="440"/>
    </row>
    <row r="9" spans="1:9" x14ac:dyDescent="0.3">
      <c r="C9" s="471" t="s">
        <v>1252</v>
      </c>
      <c r="D9" s="472"/>
      <c r="E9" s="472"/>
      <c r="F9" s="473"/>
      <c r="G9" s="464" t="str">
        <f>_xlfn.CONCAT(_xlfn.XLOOKUP("[S09_InstallationOperatorFeesPermits][1][FeesAmount]",Submission!$O:$O,Submission!$H:$N,""))</f>
        <v>17.52</v>
      </c>
      <c r="H9" s="468"/>
      <c r="I9" s="465"/>
    </row>
    <row r="10" spans="1:9" x14ac:dyDescent="0.3">
      <c r="C10" s="471" t="s">
        <v>1253</v>
      </c>
      <c r="D10" s="472"/>
      <c r="E10" s="472"/>
      <c r="F10" s="473"/>
      <c r="G10" s="464" t="str">
        <f>_xlfn.CONCAT(_xlfn.XLOOKUP("[S09_InstallationOperatorFeesPermits][2][FeesAmount]",Submission!$O:$O,Submission!$H:$N,""))</f>
        <v>2.13</v>
      </c>
      <c r="H10" s="468"/>
      <c r="I10" s="465"/>
    </row>
    <row r="11" spans="1:9" x14ac:dyDescent="0.3">
      <c r="C11" s="471" t="s">
        <v>1254</v>
      </c>
      <c r="D11" s="472"/>
      <c r="E11" s="472"/>
      <c r="F11" s="473"/>
      <c r="G11" s="464" t="str">
        <f>_xlfn.CONCAT(_xlfn.XLOOKUP("[S09_InstallationOperatorFeesPermits][3][FeesAmount]",Submission!$O:$O,Submission!$H:$N,""))</f>
        <v>2.13</v>
      </c>
      <c r="H11" s="468"/>
      <c r="I11" s="465"/>
    </row>
    <row r="12" spans="1:9" x14ac:dyDescent="0.3">
      <c r="C12" s="471" t="s">
        <v>1255</v>
      </c>
      <c r="D12" s="472"/>
      <c r="E12" s="472"/>
      <c r="F12" s="473"/>
      <c r="G12" s="464" t="str">
        <f>_xlfn.CONCAT(_xlfn.XLOOKUP("[S09_InstallationOperatorFeesPermits][4][FeesAmount]",Submission!$O:$O,Submission!$H:$N,""))</f>
        <v>2.13</v>
      </c>
      <c r="H12" s="468"/>
      <c r="I12" s="465"/>
    </row>
    <row r="13" spans="1:9" x14ac:dyDescent="0.3">
      <c r="C13" s="471" t="s">
        <v>1256</v>
      </c>
      <c r="D13" s="472"/>
      <c r="E13" s="472"/>
      <c r="F13" s="473"/>
      <c r="G13" s="464" t="str">
        <f>_xlfn.CONCAT(_xlfn.XLOOKUP("[S09_InstallationOperatorFeesPermits][5][FeesAmount]",Submission!$O:$O,Submission!$H:$N,""))</f>
        <v/>
      </c>
      <c r="H13" s="468"/>
      <c r="I13" s="465"/>
    </row>
    <row r="14" spans="1:9" x14ac:dyDescent="0.3">
      <c r="C14" s="93" t="s">
        <v>697</v>
      </c>
      <c r="D14" s="523" t="str">
        <f>_xlfn.CONCAT(_xlfn.XLOOKUP("[S09_InstallationOperatorFeesPermits][6][FeesOther]",Submission!$O:$O,Submission!$H:$N,""))</f>
        <v>Zmiana zezwolenia obejmująca rozszerzenie działalności.</v>
      </c>
      <c r="E14" s="524"/>
      <c r="F14" s="525"/>
      <c r="G14" s="354" t="str">
        <f>_xlfn.CONCAT(_xlfn.XLOOKUP("[S09_InstallationOperatorFeesPermits][6][FeesAmount]",Submission!$O:$O,Submission!$H:$N,""))</f>
        <v>8.76</v>
      </c>
      <c r="H14" s="366"/>
      <c r="I14" s="364"/>
    </row>
    <row r="15" spans="1:9" hidden="1" outlineLevel="1" x14ac:dyDescent="0.3">
      <c r="C15" s="93" t="s">
        <v>1257</v>
      </c>
      <c r="D15" s="523" t="str">
        <f>_xlfn.CONCAT(_xlfn.XLOOKUP("[S09_InstallationOperatorFeesPermits][7][FeesOther]",Submission!$O:$O,Submission!$H:$N,""))</f>
        <v/>
      </c>
      <c r="E15" s="524"/>
      <c r="F15" s="525"/>
      <c r="G15" s="354" t="str">
        <f>_xlfn.CONCAT(_xlfn.XLOOKUP("[S09_InstallationOperatorFeesPermits][7][FeesAmount]",Submission!$O:$O,Submission!$H:$N,""))</f>
        <v/>
      </c>
      <c r="H15" s="366"/>
      <c r="I15" s="364"/>
    </row>
    <row r="16" spans="1:9" hidden="1" outlineLevel="1" x14ac:dyDescent="0.3">
      <c r="C16" s="93" t="s">
        <v>1258</v>
      </c>
      <c r="D16" s="523" t="str">
        <f>_xlfn.CONCAT(_xlfn.XLOOKUP("[S09_InstallationOperatorFeesPermits][8][FeesOther]",Submission!$O:$O,Submission!$H:$N,""))</f>
        <v/>
      </c>
      <c r="E16" s="524"/>
      <c r="F16" s="525"/>
      <c r="G16" s="354" t="str">
        <f>_xlfn.CONCAT(_xlfn.XLOOKUP("[S09_InstallationOperatorFeesPermits][8][FeesAmount]",Submission!$O:$O,Submission!$H:$N,""))</f>
        <v/>
      </c>
      <c r="H16" s="366"/>
      <c r="I16" s="364"/>
    </row>
    <row r="17" spans="1:9" hidden="1" outlineLevel="1" x14ac:dyDescent="0.3">
      <c r="C17" s="93" t="s">
        <v>1259</v>
      </c>
      <c r="D17" s="523" t="str">
        <f>_xlfn.CONCAT(_xlfn.XLOOKUP("[S09_InstallationOperatorFeesPermits][9][FeesOther]",Submission!$O:$O,Submission!$H:$N,""))</f>
        <v/>
      </c>
      <c r="E17" s="524"/>
      <c r="F17" s="525"/>
      <c r="G17" s="354" t="str">
        <f>_xlfn.CONCAT(_xlfn.XLOOKUP("[S09_InstallationOperatorFeesPermits][9][FeesAmount]",Submission!$O:$O,Submission!$H:$N,""))</f>
        <v/>
      </c>
      <c r="H17" s="366"/>
      <c r="I17" s="364"/>
    </row>
    <row r="18" spans="1:9" collapsed="1" x14ac:dyDescent="0.3">
      <c r="B18" s="26" t="s">
        <v>1000</v>
      </c>
      <c r="C18" s="16"/>
      <c r="D18" s="19"/>
      <c r="E18" s="11"/>
      <c r="F18" s="11"/>
      <c r="G18" s="11"/>
      <c r="H18" s="11"/>
      <c r="I18" s="11"/>
    </row>
    <row r="20" spans="1:9" x14ac:dyDescent="0.3">
      <c r="B20" s="470" t="s">
        <v>1260</v>
      </c>
      <c r="C20" s="470"/>
      <c r="D20" s="470"/>
      <c r="E20" s="470"/>
      <c r="F20" s="470"/>
      <c r="G20" s="470"/>
      <c r="H20" s="470"/>
      <c r="I20" s="470"/>
    </row>
    <row r="21" spans="1:9" x14ac:dyDescent="0.3">
      <c r="C21" s="360" t="s">
        <v>1145</v>
      </c>
      <c r="D21" s="360"/>
      <c r="E21" s="360"/>
      <c r="F21" s="360"/>
      <c r="G21" s="425" t="s">
        <v>1146</v>
      </c>
      <c r="H21" s="360"/>
      <c r="I21" s="360"/>
    </row>
    <row r="22" spans="1:9" x14ac:dyDescent="0.3">
      <c r="C22" s="386" t="s">
        <v>1261</v>
      </c>
      <c r="D22" s="386"/>
      <c r="E22" s="386"/>
      <c r="F22" s="386"/>
      <c r="G22" s="464" t="str">
        <f>_xlfn.CONCAT(_xlfn.XLOOKUP("[S09_InstallationOperatorFeesSubsistence][1][FeesAmount]",Submission!$O:$O,Submission!$H:$N,""))</f>
        <v/>
      </c>
      <c r="H22" s="468"/>
      <c r="I22" s="465"/>
    </row>
    <row r="23" spans="1:9" x14ac:dyDescent="0.3">
      <c r="C23" s="96" t="s">
        <v>1234</v>
      </c>
      <c r="D23" s="261" t="str">
        <f>_xlfn.CONCAT(_xlfn.XLOOKUP("[S09_InstallationOperatorFeesSubsistence][2][FeesOther]",Submission!$O:$O,Submission!$H:$N,""))</f>
        <v/>
      </c>
      <c r="E23" s="356"/>
      <c r="F23" s="263"/>
      <c r="G23" s="464" t="str">
        <f>_xlfn.CONCAT(_xlfn.XLOOKUP("[S09_InstallationOperatorFeesSubsistence][2][FeesAmount]",Submission!$O:$O,Submission!$H:$N,""))</f>
        <v/>
      </c>
      <c r="H23" s="468"/>
      <c r="I23" s="465"/>
    </row>
    <row r="24" spans="1:9" hidden="1" outlineLevel="1" x14ac:dyDescent="0.3">
      <c r="C24" s="93" t="s">
        <v>1257</v>
      </c>
      <c r="D24" s="523" t="str">
        <f>_xlfn.CONCAT(_xlfn.XLOOKUP("[S09_InstallationOperatorFeesSubsistence][3][FeesOther]",Submission!$O:$O,Submission!$H:$N,""))</f>
        <v/>
      </c>
      <c r="E24" s="524"/>
      <c r="F24" s="525"/>
      <c r="G24" s="354" t="str">
        <f>_xlfn.CONCAT(_xlfn.XLOOKUP("[S09_InstallationOperatorFeesSubsistence][3][FeesAmount]",Submission!$O:$O,Submission!$H:$N,""))</f>
        <v/>
      </c>
      <c r="H24" s="366"/>
      <c r="I24" s="364"/>
    </row>
    <row r="25" spans="1:9" hidden="1" outlineLevel="1" x14ac:dyDescent="0.3">
      <c r="C25" s="93" t="s">
        <v>1258</v>
      </c>
      <c r="D25" s="523" t="str">
        <f>_xlfn.CONCAT(_xlfn.XLOOKUP("[S09_InstallationOperatorFeesSubsistence][4][FeesOther]",Submission!$O:$O,Submission!$H:$N,""))</f>
        <v/>
      </c>
      <c r="E25" s="524"/>
      <c r="F25" s="525"/>
      <c r="G25" s="354" t="str">
        <f>_xlfn.CONCAT(_xlfn.XLOOKUP("[S09_InstallationOperatorFeesSubsistence][4][FeesAmount]",Submission!$O:$O,Submission!$H:$N,""))</f>
        <v/>
      </c>
      <c r="H25" s="366"/>
      <c r="I25" s="364"/>
    </row>
    <row r="26" spans="1:9" hidden="1" outlineLevel="1" x14ac:dyDescent="0.3">
      <c r="C26" s="93" t="s">
        <v>1259</v>
      </c>
      <c r="D26" s="523" t="str">
        <f>_xlfn.CONCAT(_xlfn.XLOOKUP("[S09_InstallationOperatorFeesSubsistence][5][FeesOther]",Submission!$O:$O,Submission!$H:$N,""))</f>
        <v/>
      </c>
      <c r="E26" s="524"/>
      <c r="F26" s="525"/>
      <c r="G26" s="354" t="str">
        <f>_xlfn.CONCAT(_xlfn.XLOOKUP("[S09_InstallationOperatorFeesSubsistence][5][FeesAmount]",Submission!$O:$O,Submission!$H:$N,""))</f>
        <v/>
      </c>
      <c r="H26" s="366"/>
      <c r="I26" s="364"/>
    </row>
    <row r="27" spans="1:9" collapsed="1" x14ac:dyDescent="0.3">
      <c r="B27" s="26" t="s">
        <v>1000</v>
      </c>
      <c r="C27" s="16"/>
      <c r="D27" s="19"/>
      <c r="E27" s="11"/>
      <c r="F27" s="11"/>
      <c r="G27" s="11"/>
      <c r="H27" s="11"/>
      <c r="I27" s="11"/>
    </row>
    <row r="29" spans="1:9" s="11" customFormat="1" ht="18.899999999999999" customHeight="1" x14ac:dyDescent="0.35">
      <c r="A29" s="107" t="s">
        <v>552</v>
      </c>
      <c r="B29" s="526" t="s">
        <v>97</v>
      </c>
      <c r="C29" s="526"/>
      <c r="D29" s="526"/>
      <c r="E29" s="526"/>
      <c r="F29" s="526"/>
      <c r="G29" s="526"/>
      <c r="H29" s="526"/>
      <c r="I29" s="527"/>
    </row>
    <row r="30" spans="1:9" ht="15.9" customHeight="1" x14ac:dyDescent="0.25">
      <c r="A30" s="55" t="s">
        <v>553</v>
      </c>
      <c r="B30" s="395" t="s">
        <v>1262</v>
      </c>
      <c r="C30" s="396"/>
      <c r="D30" s="396"/>
      <c r="E30" s="396"/>
      <c r="F30" s="396"/>
      <c r="G30" s="396"/>
      <c r="H30" s="396"/>
      <c r="I30" s="396"/>
    </row>
    <row r="31" spans="1:9" ht="16.95" customHeight="1" x14ac:dyDescent="0.3">
      <c r="B31" s="341" t="s">
        <v>1263</v>
      </c>
      <c r="C31" s="311"/>
      <c r="D31" s="311"/>
      <c r="E31" s="311"/>
      <c r="F31" s="311"/>
      <c r="G31" s="311"/>
      <c r="H31" s="348"/>
      <c r="I31" s="41" t="str">
        <f>_xlfn.CONCAT(_xlfn.XLOOKUP("[AircraftOperatorFees][0][AircraftOperatorFees]",Submission!$O:$O,Submission!$H:$N,""))</f>
        <v>Yes</v>
      </c>
    </row>
    <row r="32" spans="1:9" ht="16.95" customHeight="1" x14ac:dyDescent="0.3">
      <c r="B32" s="310" t="s">
        <v>1264</v>
      </c>
      <c r="C32" s="470"/>
      <c r="D32" s="470"/>
      <c r="E32" s="470"/>
      <c r="F32" s="470"/>
      <c r="G32" s="470"/>
      <c r="H32" s="470"/>
      <c r="I32" s="470"/>
    </row>
    <row r="33" spans="2:9" x14ac:dyDescent="0.3">
      <c r="C33" s="438" t="s">
        <v>1145</v>
      </c>
      <c r="D33" s="439"/>
      <c r="E33" s="439"/>
      <c r="F33" s="440"/>
      <c r="G33" s="438" t="s">
        <v>1146</v>
      </c>
      <c r="H33" s="439"/>
      <c r="I33" s="440"/>
    </row>
    <row r="34" spans="2:9" x14ac:dyDescent="0.3">
      <c r="C34" s="471" t="s">
        <v>1265</v>
      </c>
      <c r="D34" s="472"/>
      <c r="E34" s="472"/>
      <c r="F34" s="473"/>
      <c r="G34" s="464" t="str">
        <f>_xlfn.CONCAT(_xlfn.XLOOKUP("[S09_AircraftOperatorFeesMonitoringPlans][1][FeesAmount]",Submission!$O:$O,Submission!$H:$N,""))</f>
        <v>2.13</v>
      </c>
      <c r="H34" s="468"/>
      <c r="I34" s="465"/>
    </row>
    <row r="35" spans="2:9" x14ac:dyDescent="0.3">
      <c r="C35" s="471" t="s">
        <v>1266</v>
      </c>
      <c r="D35" s="472"/>
      <c r="E35" s="472"/>
      <c r="F35" s="473"/>
      <c r="G35" s="464" t="str">
        <f>_xlfn.CONCAT(_xlfn.XLOOKUP("[S09_AircraftOperatorFeesMonitoringPlans][2][FeesAmount]",Submission!$O:$O,Submission!$H:$N,""))</f>
        <v>2.13</v>
      </c>
      <c r="H35" s="468"/>
      <c r="I35" s="465"/>
    </row>
    <row r="36" spans="2:9" x14ac:dyDescent="0.3">
      <c r="C36" s="471" t="s">
        <v>1267</v>
      </c>
      <c r="D36" s="472"/>
      <c r="E36" s="472"/>
      <c r="F36" s="473"/>
      <c r="G36" s="464" t="str">
        <f>_xlfn.CONCAT(_xlfn.XLOOKUP("[S09_AircraftOperatorFeesMonitoringPlans][3][FeesAmount]",Submission!$O:$O,Submission!$H:$N,""))</f>
        <v>2.13</v>
      </c>
      <c r="H36" s="468"/>
      <c r="I36" s="465"/>
    </row>
    <row r="37" spans="2:9" x14ac:dyDescent="0.3">
      <c r="C37" s="471" t="s">
        <v>1268</v>
      </c>
      <c r="D37" s="472"/>
      <c r="E37" s="472"/>
      <c r="F37" s="473"/>
      <c r="G37" s="464" t="str">
        <f>_xlfn.CONCAT(_xlfn.XLOOKUP("[S09_AircraftOperatorFeesMonitoringPlans][4][FeesAmount]",Submission!$O:$O,Submission!$H:$N,""))</f>
        <v>2.13</v>
      </c>
      <c r="H37" s="468"/>
      <c r="I37" s="465"/>
    </row>
    <row r="38" spans="2:9" x14ac:dyDescent="0.3">
      <c r="C38" s="471" t="s">
        <v>1269</v>
      </c>
      <c r="D38" s="472"/>
      <c r="E38" s="472"/>
      <c r="F38" s="473"/>
      <c r="G38" s="464" t="str">
        <f>_xlfn.CONCAT(_xlfn.XLOOKUP("[S09_AircraftOperatorFeesMonitoringPlans][5][FeesAmount]",Submission!$O:$O,Submission!$H:$N,""))</f>
        <v/>
      </c>
      <c r="H38" s="468"/>
      <c r="I38" s="465"/>
    </row>
    <row r="39" spans="2:9" x14ac:dyDescent="0.3">
      <c r="C39" s="471" t="s">
        <v>1270</v>
      </c>
      <c r="D39" s="472"/>
      <c r="E39" s="472"/>
      <c r="F39" s="473"/>
      <c r="G39" s="464" t="str">
        <f>_xlfn.CONCAT(_xlfn.XLOOKUP("[S09_AircraftOperatorFeesMonitoringPlans][6][FeesAmount]",Submission!$O:$O,Submission!$H:$N,""))</f>
        <v/>
      </c>
      <c r="H39" s="468"/>
      <c r="I39" s="465"/>
    </row>
    <row r="40" spans="2:9" x14ac:dyDescent="0.3">
      <c r="C40" s="93" t="s">
        <v>1234</v>
      </c>
      <c r="D40" s="523" t="str">
        <f>_xlfn.CONCAT(_xlfn.XLOOKUP("[S09_AircraftOperatorFeesMonitoringPlans][7][FeesOther]",Submission!$O:$O,Submission!$H:$N,""))</f>
        <v/>
      </c>
      <c r="E40" s="524"/>
      <c r="F40" s="525"/>
      <c r="G40" s="464" t="str">
        <f>_xlfn.CONCAT(_xlfn.XLOOKUP("[S09_AircraftOperatorFeesMonitoringPlans][7][FeesAmount]",Submission!$O:$O,Submission!$H:$N,""))</f>
        <v/>
      </c>
      <c r="H40" s="468"/>
      <c r="I40" s="465"/>
    </row>
    <row r="41" spans="2:9" hidden="1" outlineLevel="1" x14ac:dyDescent="0.3">
      <c r="C41" s="93" t="s">
        <v>1257</v>
      </c>
      <c r="D41" s="523" t="str">
        <f>_xlfn.CONCAT(_xlfn.XLOOKUP("[S09_AircraftOperatorFeesMonitoringPlans][8][FeesOther]",Submission!$O:$O,Submission!$H:$N,""))</f>
        <v/>
      </c>
      <c r="E41" s="524"/>
      <c r="F41" s="525"/>
      <c r="G41" s="354" t="str">
        <f>_xlfn.CONCAT(_xlfn.XLOOKUP("[S09_AircraftOperatorFeesMonitoringPlans][8][FeesAmount]",Submission!$O:$O,Submission!$H:$N,""))</f>
        <v/>
      </c>
      <c r="H41" s="366"/>
      <c r="I41" s="364"/>
    </row>
    <row r="42" spans="2:9" hidden="1" outlineLevel="1" x14ac:dyDescent="0.3">
      <c r="C42" s="93" t="s">
        <v>1258</v>
      </c>
      <c r="D42" s="523" t="str">
        <f>_xlfn.CONCAT(_xlfn.XLOOKUP("[S09_AircraftOperatorFeesMonitoringPlans][9][FeesOther]",Submission!$O:$O,Submission!$H:$N,""))</f>
        <v/>
      </c>
      <c r="E42" s="524"/>
      <c r="F42" s="525"/>
      <c r="G42" s="354" t="str">
        <f>_xlfn.CONCAT(_xlfn.XLOOKUP("[S09_AircraftOperatorFeesMonitoringPlans][9][FeesAmount]",Submission!$O:$O,Submission!$H:$N,""))</f>
        <v/>
      </c>
      <c r="H42" s="366"/>
      <c r="I42" s="364"/>
    </row>
    <row r="43" spans="2:9" hidden="1" outlineLevel="1" x14ac:dyDescent="0.3">
      <c r="C43" s="93" t="s">
        <v>1259</v>
      </c>
      <c r="D43" s="523" t="str">
        <f>_xlfn.CONCAT(_xlfn.XLOOKUP("[S09_AircraftOperatorFeesMonitoringPlans][10][FeesOther]",Submission!$O:$O,Submission!$H:$N,""))</f>
        <v/>
      </c>
      <c r="E43" s="524"/>
      <c r="F43" s="525"/>
      <c r="G43" s="354" t="str">
        <f>_xlfn.CONCAT(_xlfn.XLOOKUP("[S09_AircraftOperatorFeesMonitoringPlans][10][FeesAmount]",Submission!$O:$O,Submission!$H:$N,""))</f>
        <v/>
      </c>
      <c r="H43" s="366"/>
      <c r="I43" s="364"/>
    </row>
    <row r="44" spans="2:9" collapsed="1" x14ac:dyDescent="0.3">
      <c r="B44" s="26" t="s">
        <v>1000</v>
      </c>
      <c r="C44" s="16"/>
      <c r="D44" s="19"/>
      <c r="E44" s="11"/>
      <c r="F44" s="11"/>
      <c r="G44" s="11"/>
      <c r="H44" s="11"/>
      <c r="I44" s="11"/>
    </row>
    <row r="46" spans="2:9" x14ac:dyDescent="0.3">
      <c r="B46" s="470" t="s">
        <v>1271</v>
      </c>
      <c r="C46" s="470"/>
      <c r="D46" s="470"/>
      <c r="E46" s="470"/>
      <c r="F46" s="470"/>
      <c r="G46" s="470"/>
      <c r="H46" s="470"/>
      <c r="I46" s="470"/>
    </row>
    <row r="47" spans="2:9" x14ac:dyDescent="0.3">
      <c r="C47" s="360" t="s">
        <v>1145</v>
      </c>
      <c r="D47" s="360"/>
      <c r="E47" s="360"/>
      <c r="F47" s="360"/>
      <c r="G47" s="425" t="s">
        <v>1146</v>
      </c>
      <c r="H47" s="360"/>
      <c r="I47" s="360"/>
    </row>
    <row r="48" spans="2:9" x14ac:dyDescent="0.3">
      <c r="C48" s="386" t="s">
        <v>1261</v>
      </c>
      <c r="D48" s="386"/>
      <c r="E48" s="386"/>
      <c r="F48" s="386"/>
      <c r="G48" s="464" t="str">
        <f>_xlfn.CONCAT(_xlfn.XLOOKUP("[S09_AircraftOperatorFeesSubsistence][1][FeesAmount]",Submission!$O:$O,Submission!$H:$N,""))</f>
        <v/>
      </c>
      <c r="H48" s="468"/>
      <c r="I48" s="465"/>
    </row>
    <row r="49" spans="1:9" x14ac:dyDescent="0.3">
      <c r="C49" s="93" t="s">
        <v>1234</v>
      </c>
      <c r="D49" s="528" t="str">
        <f>_xlfn.CONCAT(_xlfn.XLOOKUP("[S09_AircraftOperatorFeesSubsistence][2][FeesOther]",Submission!$O:$O,Submission!$H:$N,""))</f>
        <v/>
      </c>
      <c r="E49" s="372"/>
      <c r="F49" s="262"/>
      <c r="G49" s="464" t="str">
        <f>_xlfn.CONCAT(_xlfn.XLOOKUP("[S09_AircraftOperatorFeesSubsistence][2][FeesAmount]",Submission!$O:$O,Submission!$H:$N,""))</f>
        <v/>
      </c>
      <c r="H49" s="468"/>
      <c r="I49" s="465"/>
    </row>
    <row r="50" spans="1:9" hidden="1" outlineLevel="1" x14ac:dyDescent="0.3">
      <c r="C50" s="93" t="s">
        <v>1257</v>
      </c>
      <c r="D50" s="523" t="str">
        <f>_xlfn.CONCAT(_xlfn.XLOOKUP("[S09_AircraftOperatorFeesSubsistence][3][FeesOther]",Submission!$O:$O,Submission!$H:$N,""))</f>
        <v/>
      </c>
      <c r="E50" s="524"/>
      <c r="F50" s="525"/>
      <c r="G50" s="354" t="str">
        <f>_xlfn.CONCAT(_xlfn.XLOOKUP("[S09_AircraftOperatorFeesSubsistence][3][FeesAmount]",Submission!$O:$O,Submission!$H:$N,""))</f>
        <v/>
      </c>
      <c r="H50" s="366"/>
      <c r="I50" s="364"/>
    </row>
    <row r="51" spans="1:9" hidden="1" outlineLevel="1" x14ac:dyDescent="0.3">
      <c r="C51" s="93" t="s">
        <v>1258</v>
      </c>
      <c r="D51" s="523" t="str">
        <f>_xlfn.CONCAT(_xlfn.XLOOKUP("[S09_AircraftOperatorFeesSubsistence][4][FeesOther]",Submission!$O:$O,Submission!$H:$N,""))</f>
        <v/>
      </c>
      <c r="E51" s="524"/>
      <c r="F51" s="525"/>
      <c r="G51" s="354" t="str">
        <f>_xlfn.CONCAT(_xlfn.XLOOKUP("[S09_AircraftOperatorFeesSubsistence][4][FeesAmount]",Submission!$O:$O,Submission!$H:$N,""))</f>
        <v/>
      </c>
      <c r="H51" s="366"/>
      <c r="I51" s="364"/>
    </row>
    <row r="52" spans="1:9" hidden="1" outlineLevel="1" x14ac:dyDescent="0.3">
      <c r="C52" s="93" t="s">
        <v>1259</v>
      </c>
      <c r="D52" s="523" t="str">
        <f>_xlfn.CONCAT(_xlfn.XLOOKUP("[S09_AircraftOperatorFeesSubsistence][5][FeesOther]",Submission!$O:$O,Submission!$H:$N,""))</f>
        <v/>
      </c>
      <c r="E52" s="524"/>
      <c r="F52" s="525"/>
      <c r="G52" s="354" t="str">
        <f>_xlfn.CONCAT(_xlfn.XLOOKUP("[S09_AircraftOperatorFeesSubsistence][5][FeesAmount]",Submission!$O:$O,Submission!$H:$N,""))</f>
        <v/>
      </c>
      <c r="H52" s="366"/>
      <c r="I52" s="364"/>
    </row>
    <row r="53" spans="1:9" collapsed="1" x14ac:dyDescent="0.3">
      <c r="B53" s="26" t="s">
        <v>1000</v>
      </c>
      <c r="C53" s="16"/>
      <c r="D53" s="19"/>
      <c r="E53" s="11"/>
      <c r="F53" s="11"/>
      <c r="G53" s="11"/>
      <c r="H53" s="11"/>
      <c r="I53" s="11"/>
    </row>
    <row r="55" spans="1:9" s="11" customFormat="1" ht="18.899999999999999" customHeight="1" x14ac:dyDescent="0.35">
      <c r="A55" s="107" t="s">
        <v>557</v>
      </c>
      <c r="B55" s="526" t="s">
        <v>558</v>
      </c>
      <c r="C55" s="526"/>
      <c r="D55" s="526"/>
      <c r="E55" s="526"/>
      <c r="F55" s="526"/>
      <c r="G55" s="526"/>
      <c r="H55" s="526"/>
      <c r="I55" s="527"/>
    </row>
    <row r="56" spans="1:9" ht="15.9" customHeight="1" x14ac:dyDescent="0.25">
      <c r="A56" s="55" t="s">
        <v>559</v>
      </c>
      <c r="B56" s="395" t="s">
        <v>1272</v>
      </c>
      <c r="C56" s="396"/>
      <c r="D56" s="396"/>
      <c r="E56" s="396"/>
      <c r="F56" s="396"/>
      <c r="G56" s="396"/>
      <c r="H56" s="396"/>
      <c r="I56" s="396"/>
    </row>
    <row r="57" spans="1:9" x14ac:dyDescent="0.3">
      <c r="B57" s="470" t="s">
        <v>1273</v>
      </c>
      <c r="C57" s="470"/>
      <c r="D57" s="470"/>
      <c r="E57" s="470"/>
      <c r="F57" s="470"/>
      <c r="G57" s="470"/>
      <c r="H57" s="470"/>
      <c r="I57" s="470"/>
    </row>
    <row r="58" spans="1:9" ht="15.6" customHeight="1" x14ac:dyDescent="0.3">
      <c r="B58" s="25"/>
      <c r="C58" s="522" t="s">
        <v>1274</v>
      </c>
      <c r="D58" s="522"/>
      <c r="E58" s="522"/>
      <c r="F58" s="522"/>
      <c r="G58" s="522"/>
      <c r="H58" s="522"/>
      <c r="I58" s="522"/>
    </row>
    <row r="59" spans="1:9" x14ac:dyDescent="0.3">
      <c r="C59" s="360" t="s">
        <v>1145</v>
      </c>
      <c r="D59" s="360"/>
      <c r="E59" s="360"/>
      <c r="F59" s="360"/>
      <c r="G59" s="425" t="s">
        <v>1146</v>
      </c>
      <c r="H59" s="360"/>
      <c r="I59" s="360"/>
    </row>
    <row r="60" spans="1:9" x14ac:dyDescent="0.3">
      <c r="C60" s="258" t="str">
        <f>_xlfn.CONCAT(_xlfn.XLOOKUP("[S09_RegistryAccountOneOffFees][1][OneOffFeeReason]",Submission!$O:$O,Submission!$H:$N,""))</f>
        <v>OpenAccounts - Opening accounts</v>
      </c>
      <c r="D60" s="463"/>
      <c r="E60" s="463"/>
      <c r="F60" s="259"/>
      <c r="G60" s="464" t="str">
        <f>_xlfn.CONCAT(_xlfn.XLOOKUP("[S09_RegistryAccountOneOffFees][1][OneOffFeeAmount]",Submission!$O:$O,Submission!$H:$N,""))</f>
        <v>427.56</v>
      </c>
      <c r="H60" s="468"/>
      <c r="I60" s="465"/>
    </row>
    <row r="61" spans="1:9" x14ac:dyDescent="0.3">
      <c r="C61" s="258" t="str">
        <f>_xlfn.CONCAT(_xlfn.XLOOKUP("[S09_RegistryAccountOneOffFees][2][OneOffFeeReason]",Submission!$O:$O,Submission!$H:$N,""))</f>
        <v/>
      </c>
      <c r="D61" s="463"/>
      <c r="E61" s="463"/>
      <c r="F61" s="259"/>
      <c r="G61" s="464" t="str">
        <f>_xlfn.CONCAT(_xlfn.XLOOKUP("[S09_RegistryAccountOneOffFees][2][OneOffFeeAmount]",Submission!$O:$O,Submission!$H:$N,""))</f>
        <v/>
      </c>
      <c r="H61" s="468"/>
      <c r="I61" s="465"/>
    </row>
    <row r="62" spans="1:9" x14ac:dyDescent="0.3">
      <c r="C62" s="258" t="str">
        <f>_xlfn.CONCAT(_xlfn.XLOOKUP("[S09_RegistryAccountOneOffFees][3][OneOffFeeReason]",Submission!$O:$O,Submission!$H:$N,""))</f>
        <v/>
      </c>
      <c r="D62" s="463"/>
      <c r="E62" s="463"/>
      <c r="F62" s="259"/>
      <c r="G62" s="464" t="str">
        <f>_xlfn.CONCAT(_xlfn.XLOOKUP("[S09_RegistryAccountOneOffFees][3][OneOffFeeAmount]",Submission!$O:$O,Submission!$H:$N,""))</f>
        <v/>
      </c>
      <c r="H62" s="468"/>
      <c r="I62" s="465"/>
    </row>
    <row r="63" spans="1:9" x14ac:dyDescent="0.3">
      <c r="C63" s="258" t="str">
        <f>_xlfn.CONCAT(_xlfn.XLOOKUP("[S09_RegistryAccountOneOffFees][4][OneOffFeeReason]",Submission!$O:$O,Submission!$H:$N,""))</f>
        <v/>
      </c>
      <c r="D63" s="463"/>
      <c r="E63" s="463"/>
      <c r="F63" s="259"/>
      <c r="G63" s="464" t="str">
        <f>_xlfn.CONCAT(_xlfn.XLOOKUP("[S09_RegistryAccountOneOffFees][4][OneOffFeeAmount]",Submission!$O:$O,Submission!$H:$N,""))</f>
        <v/>
      </c>
      <c r="H63" s="468"/>
      <c r="I63" s="465"/>
    </row>
    <row r="64" spans="1:9" x14ac:dyDescent="0.3">
      <c r="C64" s="258" t="str">
        <f>_xlfn.CONCAT(_xlfn.XLOOKUP("[S09_RegistryAccountOneOffFees][5][OneOffFeeReason]",Submission!$O:$O,Submission!$H:$N,""))</f>
        <v/>
      </c>
      <c r="D64" s="463"/>
      <c r="E64" s="463"/>
      <c r="F64" s="259"/>
      <c r="G64" s="464" t="str">
        <f>_xlfn.CONCAT(_xlfn.XLOOKUP("[S09_RegistryAccountOneOffFees][5][OneOffFeeAmount]",Submission!$O:$O,Submission!$H:$N,""))</f>
        <v/>
      </c>
      <c r="H64" s="468"/>
      <c r="I64" s="465"/>
    </row>
    <row r="65" spans="2:9" hidden="1" outlineLevel="1" x14ac:dyDescent="0.3">
      <c r="C65" s="258" t="str">
        <f>_xlfn.CONCAT(_xlfn.XLOOKUP("[S09_RegistryAccountOneOffFees][6][OneOffFeeReason]",Submission!$O:$O,Submission!$H:$N,""))</f>
        <v/>
      </c>
      <c r="D65" s="463"/>
      <c r="E65" s="463"/>
      <c r="F65" s="259"/>
      <c r="G65" s="464" t="str">
        <f>_xlfn.CONCAT(_xlfn.XLOOKUP("[S09_RegistryAccountOneOffFees][6][OneOffFeeAmount]",Submission!$O:$O,Submission!$H:$N,""))</f>
        <v/>
      </c>
      <c r="H65" s="468"/>
      <c r="I65" s="465"/>
    </row>
    <row r="66" spans="2:9" hidden="1" outlineLevel="1" x14ac:dyDescent="0.3">
      <c r="C66" s="258" t="str">
        <f>_xlfn.CONCAT(_xlfn.XLOOKUP("[S09_RegistryAccountOneOffFees][7][OneOffFeeReason]",Submission!$O:$O,Submission!$H:$N,""))</f>
        <v/>
      </c>
      <c r="D66" s="463"/>
      <c r="E66" s="463"/>
      <c r="F66" s="259"/>
      <c r="G66" s="464" t="str">
        <f>_xlfn.CONCAT(_xlfn.XLOOKUP("[S09_RegistryAccountOneOffFees][7][OneOffFeeAmount]",Submission!$O:$O,Submission!$H:$N,""))</f>
        <v/>
      </c>
      <c r="H66" s="468"/>
      <c r="I66" s="465"/>
    </row>
    <row r="67" spans="2:9" hidden="1" outlineLevel="1" x14ac:dyDescent="0.3">
      <c r="C67" s="258" t="str">
        <f>_xlfn.CONCAT(_xlfn.XLOOKUP("[S09_RegistryAccountOneOffFees][8][OneOffFeeReason]",Submission!$O:$O,Submission!$H:$N,""))</f>
        <v/>
      </c>
      <c r="D67" s="463"/>
      <c r="E67" s="463"/>
      <c r="F67" s="259"/>
      <c r="G67" s="464" t="str">
        <f>_xlfn.CONCAT(_xlfn.XLOOKUP("[S09_RegistryAccountOneOffFees][8][OneOffFeeAmount]",Submission!$O:$O,Submission!$H:$N,""))</f>
        <v/>
      </c>
      <c r="H67" s="468"/>
      <c r="I67" s="465"/>
    </row>
    <row r="68" spans="2:9" hidden="1" outlineLevel="1" x14ac:dyDescent="0.3">
      <c r="C68" s="258" t="str">
        <f>_xlfn.CONCAT(_xlfn.XLOOKUP("[S09_RegistryAccountOneOffFees][9][OneOffFeeReason]",Submission!$O:$O,Submission!$H:$N,""))</f>
        <v/>
      </c>
      <c r="D68" s="463"/>
      <c r="E68" s="463"/>
      <c r="F68" s="259"/>
      <c r="G68" s="464" t="str">
        <f>_xlfn.CONCAT(_xlfn.XLOOKUP("[S09_RegistryAccountOneOffFees][9][OneOffFeeAmount]",Submission!$O:$O,Submission!$H:$N,""))</f>
        <v/>
      </c>
      <c r="H68" s="468"/>
      <c r="I68" s="465"/>
    </row>
    <row r="69" spans="2:9" hidden="1" outlineLevel="1" x14ac:dyDescent="0.3">
      <c r="C69" s="258" t="str">
        <f>_xlfn.CONCAT(_xlfn.XLOOKUP("[S09_RegistryAccountOneOffFees][10][OneOffFeeReason]",Submission!$O:$O,Submission!$H:$N,""))</f>
        <v/>
      </c>
      <c r="D69" s="463"/>
      <c r="E69" s="463"/>
      <c r="F69" s="259"/>
      <c r="G69" s="464" t="str">
        <f>_xlfn.CONCAT(_xlfn.XLOOKUP("[S09_RegistryAccountOneOffFees][10][OneOffFeeAmount]",Submission!$O:$O,Submission!$H:$N,""))</f>
        <v/>
      </c>
      <c r="H69" s="468"/>
      <c r="I69" s="465"/>
    </row>
    <row r="70" spans="2:9" collapsed="1" x14ac:dyDescent="0.3">
      <c r="B70" s="26" t="s">
        <v>1000</v>
      </c>
    </row>
    <row r="72" spans="2:9" x14ac:dyDescent="0.3">
      <c r="B72" s="25"/>
      <c r="C72" s="521" t="s">
        <v>1275</v>
      </c>
      <c r="D72" s="521"/>
      <c r="E72" s="521"/>
      <c r="F72" s="521"/>
      <c r="G72" s="521"/>
      <c r="H72" s="521"/>
      <c r="I72" s="521"/>
    </row>
    <row r="73" spans="2:9" x14ac:dyDescent="0.3">
      <c r="C73" s="360" t="s">
        <v>1145</v>
      </c>
      <c r="D73" s="360"/>
      <c r="E73" s="360"/>
      <c r="F73" s="360"/>
      <c r="G73" s="425" t="s">
        <v>1146</v>
      </c>
      <c r="H73" s="360"/>
      <c r="I73" s="360"/>
    </row>
    <row r="74" spans="2:9" x14ac:dyDescent="0.3">
      <c r="C74" s="258" t="str">
        <f>_xlfn.CONCAT(_xlfn.XLOOKUP("[S09_RegistryAccountAnnualFees][1][AnnualFeeReason]",Submission!$O:$O,Submission!$H:$N,""))</f>
        <v>Maintenance</v>
      </c>
      <c r="D74" s="463"/>
      <c r="E74" s="463"/>
      <c r="F74" s="259"/>
      <c r="G74" s="464" t="str">
        <f>_xlfn.CONCAT(_xlfn.XLOOKUP("[S09_RegistryAccountAnnualFees][1][AnnualFeeAmount]",Submission!$O:$O,Submission!$H:$N,""))</f>
        <v>106.89</v>
      </c>
      <c r="H74" s="468"/>
      <c r="I74" s="465"/>
    </row>
    <row r="75" spans="2:9" x14ac:dyDescent="0.3">
      <c r="C75" s="258" t="str">
        <f>_xlfn.CONCAT(_xlfn.XLOOKUP("[S09_RegistryAccountAnnualFees][2][AnnualFeeReason]",Submission!$O:$O,Submission!$H:$N,""))</f>
        <v/>
      </c>
      <c r="D75" s="463"/>
      <c r="E75" s="463"/>
      <c r="F75" s="259"/>
      <c r="G75" s="464" t="str">
        <f>_xlfn.CONCAT(_xlfn.XLOOKUP("[S09_RegistryAccountAnnualFees][2][AnnualFeeAmount]",Submission!$O:$O,Submission!$H:$N,""))</f>
        <v/>
      </c>
      <c r="H75" s="468"/>
      <c r="I75" s="465"/>
    </row>
    <row r="76" spans="2:9" x14ac:dyDescent="0.3">
      <c r="C76" s="258" t="str">
        <f>_xlfn.CONCAT(_xlfn.XLOOKUP("[S09_RegistryAccountAnnualFees][3][AnnualFeeReason]",Submission!$O:$O,Submission!$H:$N,""))</f>
        <v/>
      </c>
      <c r="D76" s="463"/>
      <c r="E76" s="463"/>
      <c r="F76" s="259"/>
      <c r="G76" s="464" t="str">
        <f>_xlfn.CONCAT(_xlfn.XLOOKUP("[S09_RegistryAccountAnnualFees][3][AnnualFeeAmount]",Submission!$O:$O,Submission!$H:$N,""))</f>
        <v/>
      </c>
      <c r="H76" s="468"/>
      <c r="I76" s="465"/>
    </row>
    <row r="77" spans="2:9" x14ac:dyDescent="0.3">
      <c r="C77" s="258" t="str">
        <f>_xlfn.CONCAT(_xlfn.XLOOKUP("[S09_RegistryAccountAnnualFees][4][AnnualFeeReason]",Submission!$O:$O,Submission!$H:$N,""))</f>
        <v/>
      </c>
      <c r="D77" s="463"/>
      <c r="E77" s="463"/>
      <c r="F77" s="259"/>
      <c r="G77" s="464" t="str">
        <f>_xlfn.CONCAT(_xlfn.XLOOKUP("[S09_RegistryAccountAnnualFees][4][AnnualFeeAmount]",Submission!$O:$O,Submission!$H:$N,""))</f>
        <v/>
      </c>
      <c r="H77" s="468"/>
      <c r="I77" s="465"/>
    </row>
    <row r="78" spans="2:9" x14ac:dyDescent="0.3">
      <c r="C78" s="258" t="str">
        <f>_xlfn.CONCAT(_xlfn.XLOOKUP("[S09_RegistryAccountAnnualFees][5][AnnualFeeReason]",Submission!$O:$O,Submission!$H:$N,""))</f>
        <v/>
      </c>
      <c r="D78" s="463"/>
      <c r="E78" s="463"/>
      <c r="F78" s="259"/>
      <c r="G78" s="464" t="str">
        <f>_xlfn.CONCAT(_xlfn.XLOOKUP("[S09_RegistryAccountAnnualFees][5][AnnualFeeAmount]",Submission!$O:$O,Submission!$H:$N,""))</f>
        <v/>
      </c>
      <c r="H78" s="468"/>
      <c r="I78" s="465"/>
    </row>
    <row r="79" spans="2:9" hidden="1" outlineLevel="1" x14ac:dyDescent="0.3">
      <c r="C79" s="258" t="str">
        <f>_xlfn.CONCAT(_xlfn.XLOOKUP("[S09_RegistryAccountAnnualFees][6][AnnualFeeReason]",Submission!$O:$O,Submission!$H:$N,""))</f>
        <v/>
      </c>
      <c r="D79" s="463"/>
      <c r="E79" s="463"/>
      <c r="F79" s="259"/>
      <c r="G79" s="464" t="str">
        <f>_xlfn.CONCAT(_xlfn.XLOOKUP("[S09_RegistryAccountAnnualFees][6][AnnualFeeAmount]",Submission!$O:$O,Submission!$H:$N,""))</f>
        <v/>
      </c>
      <c r="H79" s="468"/>
      <c r="I79" s="465"/>
    </row>
    <row r="80" spans="2:9" hidden="1" outlineLevel="1" x14ac:dyDescent="0.3">
      <c r="C80" s="258" t="str">
        <f>_xlfn.CONCAT(_xlfn.XLOOKUP("[S09_RegistryAccountAnnualFees][7][AnnualFeeReason]",Submission!$O:$O,Submission!$H:$N,""))</f>
        <v/>
      </c>
      <c r="D80" s="463"/>
      <c r="E80" s="463"/>
      <c r="F80" s="259"/>
      <c r="G80" s="464" t="str">
        <f>_xlfn.CONCAT(_xlfn.XLOOKUP("[S09_RegistryAccountAnnualFees][7][AnnualFeeAmount]",Submission!$O:$O,Submission!$H:$N,""))</f>
        <v/>
      </c>
      <c r="H80" s="468"/>
      <c r="I80" s="465"/>
    </row>
    <row r="81" spans="2:9" hidden="1" outlineLevel="1" x14ac:dyDescent="0.3">
      <c r="C81" s="258" t="str">
        <f>_xlfn.CONCAT(_xlfn.XLOOKUP("[S09_RegistryAccountAnnualFees][8][AnnualFeeReason]",Submission!$O:$O,Submission!$H:$N,""))</f>
        <v/>
      </c>
      <c r="D81" s="463"/>
      <c r="E81" s="463"/>
      <c r="F81" s="259"/>
      <c r="G81" s="464" t="str">
        <f>_xlfn.CONCAT(_xlfn.XLOOKUP("[S09_RegistryAccountAnnualFees][8][AnnualFeeAmount]",Submission!$O:$O,Submission!$H:$N,""))</f>
        <v/>
      </c>
      <c r="H81" s="468"/>
      <c r="I81" s="465"/>
    </row>
    <row r="82" spans="2:9" hidden="1" outlineLevel="1" x14ac:dyDescent="0.3">
      <c r="C82" s="258" t="str">
        <f>_xlfn.CONCAT(_xlfn.XLOOKUP("[S09_RegistryAccountAnnualFees][9][AnnualFeeReason]",Submission!$O:$O,Submission!$H:$N,""))</f>
        <v/>
      </c>
      <c r="D82" s="463"/>
      <c r="E82" s="463"/>
      <c r="F82" s="259"/>
      <c r="G82" s="464" t="str">
        <f>_xlfn.CONCAT(_xlfn.XLOOKUP("[S09_RegistryAccountAnnualFees][9][AnnualFeeAmount]",Submission!$O:$O,Submission!$H:$N,""))</f>
        <v/>
      </c>
      <c r="H82" s="468"/>
      <c r="I82" s="465"/>
    </row>
    <row r="83" spans="2:9" hidden="1" outlineLevel="1" x14ac:dyDescent="0.3">
      <c r="C83" s="258" t="str">
        <f>_xlfn.CONCAT(_xlfn.XLOOKUP("[S09_RegistryAccountAnnualFees][10][AnnualFeeReason]",Submission!$O:$O,Submission!$H:$N,""))</f>
        <v/>
      </c>
      <c r="D83" s="463"/>
      <c r="E83" s="463"/>
      <c r="F83" s="259"/>
      <c r="G83" s="464" t="str">
        <f>_xlfn.CONCAT(_xlfn.XLOOKUP("[S09_RegistryAccountAnnualFees][10][AnnualFeeAmount]",Submission!$O:$O,Submission!$H:$N,""))</f>
        <v/>
      </c>
      <c r="H83" s="468"/>
      <c r="I83" s="465"/>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27" activePane="bottomLeft" state="frozen"/>
      <selection sqref="A1:I1"/>
      <selection pane="bottomLeft" activeCell="D55" sqref="D55"/>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12" t="s">
        <v>1276</v>
      </c>
      <c r="C3" s="312"/>
      <c r="D3" s="312"/>
      <c r="E3" s="312"/>
      <c r="F3" s="312"/>
      <c r="G3" s="312"/>
      <c r="H3" s="312"/>
      <c r="I3" s="312"/>
    </row>
    <row r="4" spans="1:9" s="7" customFormat="1" ht="18.899999999999999" customHeight="1" x14ac:dyDescent="0.35">
      <c r="A4" s="48" t="s">
        <v>1277</v>
      </c>
      <c r="B4" s="313" t="s">
        <v>74</v>
      </c>
      <c r="C4" s="313"/>
      <c r="D4" s="313"/>
      <c r="E4" s="313"/>
      <c r="F4" s="313"/>
      <c r="G4" s="313"/>
      <c r="H4" s="313"/>
      <c r="I4" s="314"/>
    </row>
    <row r="5" spans="1:9" ht="32.1" customHeight="1" x14ac:dyDescent="0.3">
      <c r="A5" s="17" t="s">
        <v>567</v>
      </c>
      <c r="B5" s="278" t="s">
        <v>1278</v>
      </c>
      <c r="C5" s="279"/>
      <c r="D5" s="279"/>
      <c r="E5" s="279"/>
      <c r="F5" s="279"/>
      <c r="G5" s="279"/>
      <c r="H5" s="279"/>
      <c r="I5" s="279"/>
    </row>
    <row r="6" spans="1:9" ht="15.9" customHeight="1" x14ac:dyDescent="0.3">
      <c r="C6" s="320" t="s">
        <v>1279</v>
      </c>
      <c r="D6" s="373"/>
      <c r="E6" s="373"/>
      <c r="F6" s="373"/>
      <c r="G6" s="321"/>
      <c r="H6" s="53" t="s">
        <v>709</v>
      </c>
      <c r="I6" s="54" t="s">
        <v>1280</v>
      </c>
    </row>
    <row r="7" spans="1:9" s="58" customFormat="1" ht="25.2" customHeight="1" x14ac:dyDescent="0.3">
      <c r="A7" s="75"/>
      <c r="C7" s="249" t="s">
        <v>1281</v>
      </c>
      <c r="D7" s="275"/>
      <c r="E7" s="275"/>
      <c r="F7" s="275"/>
      <c r="G7" s="276"/>
      <c r="H7" s="47" t="str">
        <f>_xlfn.CONCAT(_xlfn.XLOOKUP("[S10_InstallationsComplianceMeasures][1][ComplianceMeasuresYesNo]",Submission!$O:$O,Submission!$H:$N,""))</f>
        <v>Yes</v>
      </c>
      <c r="I7" s="72" t="str">
        <f>_xlfn.CONCAT(_xlfn.XLOOKUP("[S10_InstallationsComplianceMeasures][1][ComplianceMeasuresComment]",Submission!$O:$O,Submission!$H:$N,""))</f>
        <v>67</v>
      </c>
    </row>
    <row r="8" spans="1:9" s="58" customFormat="1" ht="25.2" customHeight="1" x14ac:dyDescent="0.3">
      <c r="A8" s="75"/>
      <c r="C8" s="249" t="s">
        <v>1282</v>
      </c>
      <c r="D8" s="275"/>
      <c r="E8" s="275"/>
      <c r="F8" s="275"/>
      <c r="G8" s="276"/>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9" t="s">
        <v>1283</v>
      </c>
      <c r="D9" s="275"/>
      <c r="E9" s="275"/>
      <c r="F9" s="275"/>
      <c r="G9" s="276"/>
      <c r="H9" s="47" t="str">
        <f>_xlfn.CONCAT(_xlfn.XLOOKUP("[S10_InstallationsComplianceMeasures][3][ComplianceMeasuresYesNo]",Submission!$O:$O,Submission!$H:$N,""))</f>
        <v>Yes</v>
      </c>
      <c r="I9" s="72" t="str">
        <f>_xlfn.CONCAT(_xlfn.XLOOKUP("[S10_InstallationsComplianceMeasures][3][ComplianceMeasuresComment]",Submission!$O:$O,Submission!$H:$N,""))</f>
        <v>Wydano zarządzenie pokontrolne zgodnie z art. 12 ust. 1 pkt 1 ustawy z dnia 20 lipca 1991 r. o Inspekcji Ochrony Środowiska (Dz. U. z 2021 r. poz. 1070) zobowiązujące do uregulowania stanu formalnoprawnego instalacji, w związku ze stwierdzeniem naruszenia art. 51 ustawy o systemie handlu uprawnieniami do emisji gazów cieplarnianych (dalej: "ustawa") polegające na eksploatacji instalacji bez wymaganego zezwolenia.</v>
      </c>
    </row>
    <row r="10" spans="1:9" s="58" customFormat="1" ht="25.2" customHeight="1" x14ac:dyDescent="0.3">
      <c r="A10" s="75"/>
      <c r="C10" s="249" t="s">
        <v>1284</v>
      </c>
      <c r="D10" s="275"/>
      <c r="E10" s="275"/>
      <c r="F10" s="275"/>
      <c r="G10" s="276"/>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6"/>
      <c r="E11" s="261" t="str">
        <f>_xlfn.CONCAT(_xlfn.XLOOKUP("[S10_InstallationsComplianceMeasures][5][ComplianceMeasuresOther]",Submission!$O:$O,Submission!$H:$N,""))</f>
        <v/>
      </c>
      <c r="F11" s="356"/>
      <c r="G11" s="263"/>
      <c r="H11" s="47" t="str">
        <f>_xlfn.CONCAT(_xlfn.XLOOKUP("[S10_InstallationsComplianceMeasures][5][ComplianceMeasuresYesNo]",Submission!$O:$O,Submission!$H:$N,""))</f>
        <v>Yes</v>
      </c>
      <c r="I11" s="72" t="str">
        <f>_xlfn.CONCAT(_xlfn.XLOOKUP("[S10_InstallationsComplianceMeasures][5][ComplianceMeasuresComment]",Submission!$O:$O,Submission!$H:$N,""))</f>
        <v>Zawieszenie upoważnionym przedstawicielom dostępu do rachunku posiadania operatora w rejestrze Unii, jeżeli na tym rachunku pozostaje nierozliczona wielkość emisji, która powinna zostać rozliczona. (art. 92a ust. 1 ustawy).</v>
      </c>
    </row>
    <row r="12" spans="1:9" s="58" customFormat="1" ht="25.2" hidden="1" customHeight="1" outlineLevel="1" x14ac:dyDescent="0.3">
      <c r="A12" s="75"/>
      <c r="C12" s="249" t="s">
        <v>1257</v>
      </c>
      <c r="D12" s="276"/>
      <c r="E12" s="261" t="str">
        <f>_xlfn.CONCAT(_xlfn.XLOOKUP("[S10_InstallationsComplianceMeasures][6][ComplianceMeasuresOther]",Submission!$O:$O,Submission!$H:$N,""))</f>
        <v/>
      </c>
      <c r="F12" s="356"/>
      <c r="G12" s="263"/>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6"/>
      <c r="E13" s="261" t="str">
        <f>_xlfn.CONCAT(_xlfn.XLOOKUP("[S10_InstallationsComplianceMeasures][7][ComplianceMeasuresOther]",Submission!$O:$O,Submission!$H:$N,""))</f>
        <v/>
      </c>
      <c r="F13" s="356"/>
      <c r="G13" s="263"/>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6"/>
      <c r="E14" s="261" t="str">
        <f>_xlfn.CONCAT(_xlfn.XLOOKUP("[S10_InstallationsComplianceMeasures][8][ComplianceMeasuresOther]",Submission!$O:$O,Submission!$H:$N,""))</f>
        <v/>
      </c>
      <c r="F14" s="356"/>
      <c r="G14" s="263"/>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5" t="s">
        <v>1285</v>
      </c>
      <c r="C17" s="396"/>
      <c r="D17" s="396"/>
      <c r="E17" s="396"/>
      <c r="F17" s="396"/>
      <c r="G17" s="396"/>
      <c r="H17" s="396"/>
      <c r="I17" s="396"/>
    </row>
    <row r="18" spans="1:9" ht="32.1" customHeight="1" x14ac:dyDescent="0.3">
      <c r="A18" s="13"/>
      <c r="B18" s="341" t="s">
        <v>1286</v>
      </c>
      <c r="C18" s="311"/>
      <c r="D18" s="311"/>
      <c r="E18" s="311"/>
      <c r="F18" s="311"/>
      <c r="G18" s="311"/>
      <c r="H18" s="311"/>
      <c r="I18" s="311"/>
    </row>
    <row r="19" spans="1:9" x14ac:dyDescent="0.3">
      <c r="A19" s="13"/>
      <c r="C19" s="554" t="s">
        <v>1224</v>
      </c>
      <c r="D19" s="554"/>
      <c r="E19" s="554" t="s">
        <v>1225</v>
      </c>
      <c r="F19" s="554"/>
      <c r="G19" s="554" t="s">
        <v>1226</v>
      </c>
      <c r="H19" s="554"/>
      <c r="I19" s="535" t="s">
        <v>1227</v>
      </c>
    </row>
    <row r="20" spans="1:9" ht="15.9" customHeight="1" x14ac:dyDescent="0.3">
      <c r="A20" s="13"/>
      <c r="C20" s="554"/>
      <c r="D20" s="554"/>
      <c r="E20" s="43" t="s">
        <v>1228</v>
      </c>
      <c r="F20" s="43" t="s">
        <v>1229</v>
      </c>
      <c r="G20" s="43" t="s">
        <v>1228</v>
      </c>
      <c r="H20" s="43" t="s">
        <v>1229</v>
      </c>
      <c r="I20" s="536"/>
    </row>
    <row r="21" spans="1:9" ht="33" customHeight="1" x14ac:dyDescent="0.3">
      <c r="A21" s="13"/>
      <c r="C21" s="249" t="s">
        <v>1287</v>
      </c>
      <c r="D21" s="250"/>
      <c r="E21" s="105" t="str">
        <f>_xlfn.CONCAT(_xlfn.XLOOKUP("[S10_InstallationsInfringementPenalties]["&amp;ROW(B21)-ROW($B$20)&amp;"][MinFine]",Submission!$O:$O,Submission!$H:$N,""))</f>
        <v>10689.01</v>
      </c>
      <c r="F21" s="105" t="str">
        <f>_xlfn.CONCAT(_xlfn.XLOOKUP("[S10_InstallationsInfringementPenalties]["&amp;ROW(B21)-ROW($B$20)&amp;"][MaxFine]",Submission!$O:$O,Submission!$H:$N,""))</f>
        <v>10689.01</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xml:space="preserve">Wstrzymanie, w drodze decyzji organu Inspekcji Ochrony Środowiska, użytkowania instalacji eksploatowanej bez wymaganego zezwolenia (art. 63 ust. 1 ustawy) </v>
      </c>
    </row>
    <row r="22" spans="1:9" ht="33" customHeight="1" x14ac:dyDescent="0.3">
      <c r="A22" s="13"/>
      <c r="C22" s="249" t="s">
        <v>1288</v>
      </c>
      <c r="D22" s="250"/>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9" t="s">
        <v>1289</v>
      </c>
      <c r="D23" s="250"/>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9" t="s">
        <v>1290</v>
      </c>
      <c r="D24" s="250"/>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9" t="s">
        <v>1291</v>
      </c>
      <c r="D25" s="250"/>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9" t="s">
        <v>1292</v>
      </c>
      <c r="D26" s="250"/>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9" t="s">
        <v>1293</v>
      </c>
      <c r="D27" s="250"/>
      <c r="E27" s="105" t="str">
        <f>_xlfn.CONCAT(_xlfn.XLOOKUP("[S10_InstallationsInfringementPenalties]["&amp;ROW(B27)-ROW($B$20)&amp;"][MinFine]",Submission!$O:$O,Submission!$H:$N,""))</f>
        <v>2137.8</v>
      </c>
      <c r="F27" s="105" t="str">
        <f>_xlfn.CONCAT(_xlfn.XLOOKUP("[S10_InstallationsInfringementPenalties]["&amp;ROW(B27)-ROW($B$20)&amp;"][MaxFine]",Submission!$O:$O,Submission!$H:$N,""))</f>
        <v>2137.8</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9" t="s">
        <v>1294</v>
      </c>
      <c r="D28" s="250"/>
      <c r="E28" s="105" t="str">
        <f>_xlfn.CONCAT(_xlfn.XLOOKUP("[S10_InstallationsInfringementPenalties]["&amp;ROW(B28)-ROW($B$20)&amp;"][MinFine]",Submission!$O:$O,Submission!$H:$N,""))</f>
        <v>1068.9</v>
      </c>
      <c r="F28" s="105" t="str">
        <f>_xlfn.CONCAT(_xlfn.XLOOKUP("[S10_InstallationsInfringementPenalties]["&amp;ROW(B28)-ROW($B$20)&amp;"][MaxFine]",Submission!$O:$O,Submission!$H:$N,""))</f>
        <v>10689.01</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Jeżeli prowadzący instalację dostarczy raport w terminie do 15 kwietnia, administracyjną karę pieniężną wymierza się w wysokości 10% kary (art. 105 ust. 2 ustawy)</v>
      </c>
    </row>
    <row r="29" spans="1:9" ht="33" customHeight="1" x14ac:dyDescent="0.3">
      <c r="C29" s="249" t="s">
        <v>1295</v>
      </c>
      <c r="D29" s="250"/>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9" t="s">
        <v>1296</v>
      </c>
      <c r="D30" s="250"/>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9" t="s">
        <v>1297</v>
      </c>
      <c r="D31" s="250"/>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v>
      </c>
      <c r="E32" s="105" t="str">
        <f>_xlfn.CONCAT(_xlfn.XLOOKUP("[S10_InstallationsInfringementPenalties]["&amp;ROW(B32)-ROW($B$20)&amp;"][MinFine]",Submission!$O:$O,Submission!$H:$N,""))</f>
        <v>100</v>
      </c>
      <c r="F32" s="105" t="str">
        <f>_xlfn.CONCAT(_xlfn.XLOOKUP("[S10_InstallationsInfringementPenalties]["&amp;ROW(B32)-ROW($B$20)&amp;"][MaxFine]",Submission!$O:$O,Submission!$H:$N,""))</f>
        <v>100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xml:space="preserve">Niewystąpienie z wnioskiem o zmianę zezwolenia w przypadku zaistnienia zdarzenia powodującego konieczność zmiany planu monitorowania wielkości emisji, jeżeli zmiana ta ma charakter zmiany istotnej w rozumieniu art. 15 ust. 3 rozporządzenia (UE) 2018/2066 (art. 103 ust. 3 ustawy). </v>
      </c>
      <c r="E33" s="105" t="str">
        <f>_xlfn.CONCAT(_xlfn.XLOOKUP("[S10_InstallationsInfringementPenalties]["&amp;ROW(B33)-ROW($B$20)&amp;"][MinFine]",Submission!$O:$O,Submission!$H:$N,""))</f>
        <v>2137.8</v>
      </c>
      <c r="F33" s="105" t="str">
        <f>_xlfn.CONCAT(_xlfn.XLOOKUP("[S10_InstallationsInfringementPenalties]["&amp;ROW(B33)-ROW($B$20)&amp;"][MaxFine]",Submission!$O:$O,Submission!$H:$N,""))</f>
        <v>2137.8</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xml:space="preserve">W przypadku prowadzącego instalację, która powstała w wyniku połączenia lub podziału, kara za nieprzekazanie w terminie informacji i dokumentów, o których mowa w art. 25 ust. 1 i 2 rozporządzenia Komisji (UE) 2019/331 (art. 105 ust. 4 ustawy). </v>
      </c>
      <c r="E34" s="105" t="str">
        <f>_xlfn.CONCAT(_xlfn.XLOOKUP("[S10_InstallationsInfringementPenalties]["&amp;ROW(B34)-ROW($B$20)&amp;"][MinFine]",Submission!$O:$O,Submission!$H:$N,""))</f>
        <v>1069.06</v>
      </c>
      <c r="F34" s="105" t="str">
        <f>_xlfn.CONCAT(_xlfn.XLOOKUP("[S10_InstallationsInfringementPenalties]["&amp;ROW(B34)-ROW($B$20)&amp;"][MaxFine]",Submission!$O:$O,Submission!$H:$N,""))</f>
        <v>1069.06</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41" t="s">
        <v>1298</v>
      </c>
      <c r="C59" s="311"/>
      <c r="D59" s="311"/>
      <c r="E59" s="311"/>
      <c r="F59" s="311"/>
      <c r="G59" s="311"/>
      <c r="H59" s="311"/>
      <c r="I59" s="311"/>
    </row>
    <row r="60" spans="1:9" ht="15.9" customHeight="1" x14ac:dyDescent="0.3">
      <c r="B60" s="18"/>
      <c r="C60" s="534" t="str">
        <f>_xlfn.CONCAT(_xlfn.XLOOKUP("[InstallationsNationalLaw][0][InstallationsNationalLaw]",Submission!$O:$O,Submission!$H:$N,""))</f>
        <v>Ustawa z dnia 12 czerwca 2015 r. o systemie handlu uprawnieniami do emisji gazów cieplarnianych (t.j. Dz.U. 2022 poz. 1092).</v>
      </c>
      <c r="D60" s="534"/>
      <c r="E60" s="534"/>
      <c r="F60" s="534"/>
      <c r="G60" s="534"/>
      <c r="H60" s="534"/>
      <c r="I60" s="534"/>
    </row>
    <row r="61" spans="1:9" ht="15.9" customHeight="1" x14ac:dyDescent="0.3"/>
    <row r="62" spans="1:9" ht="32.1" customHeight="1" x14ac:dyDescent="0.3">
      <c r="A62" s="12" t="s">
        <v>579</v>
      </c>
      <c r="B62" s="341" t="s">
        <v>1238</v>
      </c>
      <c r="C62" s="311"/>
      <c r="D62" s="311"/>
      <c r="E62" s="311"/>
      <c r="F62" s="311"/>
      <c r="G62" s="311"/>
      <c r="H62" s="311"/>
      <c r="I62" s="311"/>
    </row>
    <row r="63" spans="1:9" ht="15.9" customHeight="1" x14ac:dyDescent="0.3">
      <c r="A63" s="13"/>
      <c r="C63" s="533" t="s">
        <v>1299</v>
      </c>
      <c r="D63" s="533"/>
      <c r="E63" s="533"/>
      <c r="F63" s="533"/>
      <c r="G63" s="533"/>
      <c r="H63" s="533"/>
      <c r="I63" s="533"/>
    </row>
    <row r="64" spans="1:9" ht="25.5" customHeight="1" x14ac:dyDescent="0.3">
      <c r="A64" s="13"/>
      <c r="C64" s="529" t="s">
        <v>1224</v>
      </c>
      <c r="D64" s="530"/>
      <c r="E64" s="320" t="s">
        <v>1240</v>
      </c>
      <c r="F64" s="373"/>
      <c r="G64" s="321"/>
      <c r="H64" s="560" t="s">
        <v>1300</v>
      </c>
      <c r="I64" s="560" t="s">
        <v>1242</v>
      </c>
    </row>
    <row r="65" spans="1:9" ht="31.2" customHeight="1" x14ac:dyDescent="0.3">
      <c r="A65" s="13"/>
      <c r="C65" s="531"/>
      <c r="D65" s="532"/>
      <c r="E65" s="46" t="s">
        <v>1225</v>
      </c>
      <c r="F65" s="46" t="s">
        <v>1226</v>
      </c>
      <c r="G65" s="46" t="s">
        <v>1227</v>
      </c>
      <c r="H65" s="561"/>
      <c r="I65" s="561"/>
    </row>
    <row r="66" spans="1:9" ht="41.4" customHeight="1" x14ac:dyDescent="0.3">
      <c r="A66" s="13"/>
      <c r="C66" s="261" t="str">
        <f>_xlfn.CONCAT(_xlfn.XLOOKUP("[S10_InstallationsPenaltiesImposed][1][InfringementType]",Submission!$O:$O,Submission!$H:$N,""))</f>
        <v>Failure to submit a verified emission report by 31 March or earlier if the competent authority set an earlier deadline</v>
      </c>
      <c r="D66" s="263"/>
      <c r="E66" s="105" t="str">
        <f>_xlfn.CONCAT(_xlfn.XLOOKUP("[S10_InstallationsPenaltiesImposed][1][ActualFines]",Submission!$O:$O,Submission!$H:$N,""))</f>
        <v>1068.9</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No</v>
      </c>
      <c r="I66" s="89" t="str">
        <f>_xlfn.CONCAT(_xlfn.XLOOKUP("[S10_InstallationsPenaltiesImposed][1][PenaltyEnforcedWithinPeriod]",Submission!$O:$O,Submission!$H:$N,""))</f>
        <v>Yes</v>
      </c>
    </row>
    <row r="67" spans="1:9" ht="41.4" customHeight="1" x14ac:dyDescent="0.3">
      <c r="A67" s="13"/>
      <c r="C67" s="261" t="str">
        <f>_xlfn.CONCAT(_xlfn.XLOOKUP("[S10_InstallationsPenaltiesImposed][2][InfringementType]",Submission!$O:$O,Submission!$H:$N,""))</f>
        <v>Failure to submit a verified emission report by 31 March or earlier if the competent authority set an earlier deadline</v>
      </c>
      <c r="D67" s="263"/>
      <c r="E67" s="105" t="str">
        <f>_xlfn.CONCAT(_xlfn.XLOOKUP("[S10_InstallationsPenaltiesImposed][2][ActualFines]",Submission!$O:$O,Submission!$H:$N,""))</f>
        <v>1068.9</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No</v>
      </c>
      <c r="I67" s="89" t="str">
        <f>_xlfn.CONCAT(_xlfn.XLOOKUP("[S10_InstallationsPenaltiesImposed][2][PenaltyEnforcedWithinPeriod]",Submission!$O:$O,Submission!$H:$N,""))</f>
        <v>No</v>
      </c>
    </row>
    <row r="68" spans="1:9" ht="41.4" customHeight="1" x14ac:dyDescent="0.3">
      <c r="A68" s="13"/>
      <c r="C68" s="261" t="str">
        <f>_xlfn.CONCAT(_xlfn.XLOOKUP("[S10_InstallationsPenaltiesImposed][3][InfringementType]",Submission!$O:$O,Submission!$H:$N,""))</f>
        <v>Failure to submit a verified emission report by 31 March or earlier if the competent authority set an earlier deadline</v>
      </c>
      <c r="D68" s="263"/>
      <c r="E68" s="105" t="str">
        <f>_xlfn.CONCAT(_xlfn.XLOOKUP("[S10_InstallationsPenaltiesImposed][3][ActualFines]",Submission!$O:$O,Submission!$H:$N,""))</f>
        <v>1068.9</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No</v>
      </c>
      <c r="I68" s="89" t="str">
        <f>_xlfn.CONCAT(_xlfn.XLOOKUP("[S10_InstallationsPenaltiesImposed][3][PenaltyEnforcedWithinPeriod]",Submission!$O:$O,Submission!$H:$N,""))</f>
        <v>No</v>
      </c>
    </row>
    <row r="69" spans="1:9" ht="41.4" customHeight="1" x14ac:dyDescent="0.3">
      <c r="A69" s="13"/>
      <c r="C69" s="261" t="str">
        <f>_xlfn.CONCAT(_xlfn.XLOOKUP("[S10_InstallationsPenaltiesImposed][4][InfringementType]",Submission!$O:$O,Submission!$H:$N,""))</f>
        <v>Failure to submit a verified emission report by 31 March or earlier if the competent authority set an earlier deadline</v>
      </c>
      <c r="D69" s="263"/>
      <c r="E69" s="105" t="str">
        <f>_xlfn.CONCAT(_xlfn.XLOOKUP("[S10_InstallationsPenaltiesImposed][4][ActualFines]",Submission!$O:$O,Submission!$H:$N,""))</f>
        <v>1068.9</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Yes</v>
      </c>
      <c r="I69" s="89" t="str">
        <f>_xlfn.CONCAT(_xlfn.XLOOKUP("[S10_InstallationsPenaltiesImposed][4][PenaltyEnforcedWithinPeriod]",Submission!$O:$O,Submission!$H:$N,""))</f>
        <v>No</v>
      </c>
    </row>
    <row r="70" spans="1:9" ht="41.4" customHeight="1" x14ac:dyDescent="0.3">
      <c r="A70" s="13"/>
      <c r="C70" s="261" t="str">
        <f>_xlfn.CONCAT(_xlfn.XLOOKUP("[S10_InstallationsPenaltiesImposed][5][InfringementType]",Submission!$O:$O,Submission!$H:$N,""))</f>
        <v>Failure to submit a verified emission report by 31 March or earlier if the competent authority set an earlier deadline</v>
      </c>
      <c r="D70" s="263"/>
      <c r="E70" s="105" t="str">
        <f>_xlfn.CONCAT(_xlfn.XLOOKUP("[S10_InstallationsPenaltiesImposed][5][ActualFines]",Submission!$O:$O,Submission!$H:$N,""))</f>
        <v>1068.9</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Yes</v>
      </c>
      <c r="I70" s="89" t="str">
        <f>_xlfn.CONCAT(_xlfn.XLOOKUP("[S10_InstallationsPenaltiesImposed][5][PenaltyEnforcedWithinPeriod]",Submission!$O:$O,Submission!$H:$N,""))</f>
        <v>No</v>
      </c>
    </row>
    <row r="71" spans="1:9" ht="41.4" hidden="1" customHeight="1" outlineLevel="1" x14ac:dyDescent="0.3">
      <c r="A71" s="13"/>
      <c r="C71" s="261" t="str">
        <f>_xlfn.CONCAT(_xlfn.XLOOKUP("[S10_InstallationsPenaltiesImposed][6][InfringementType]",Submission!$O:$O,Submission!$H:$N,""))</f>
        <v>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v>
      </c>
      <c r="D71" s="263"/>
      <c r="E71" s="105" t="str">
        <f>_xlfn.CONCAT(_xlfn.XLOOKUP("[S10_InstallationsPenaltiesImposed][6][ActualFines]",Submission!$O:$O,Submission!$H:$N,""))</f>
        <v>3867889.56</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Yes</v>
      </c>
      <c r="I71" s="89" t="str">
        <f>_xlfn.CONCAT(_xlfn.XLOOKUP("[S10_InstallationsPenaltiesImposed][6][PenaltyEnforcedWithinPeriod]",Submission!$O:$O,Submission!$H:$N,""))</f>
        <v>No</v>
      </c>
    </row>
    <row r="72" spans="1:9" ht="41.4" hidden="1" customHeight="1" outlineLevel="1" x14ac:dyDescent="0.3">
      <c r="A72" s="13"/>
      <c r="C72" s="261" t="str">
        <f>_xlfn.CONCAT(_xlfn.XLOOKUP("[S10_InstallationsPenaltiesImposed][7][InfringementType]",Submission!$O:$O,Submission!$H:$N,""))</f>
        <v/>
      </c>
      <c r="D72" s="263"/>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61" t="str">
        <f>_xlfn.CONCAT(_xlfn.XLOOKUP("[S10_InstallationsPenaltiesImposed][8][InfringementType]",Submission!$O:$O,Submission!$H:$N,""))</f>
        <v/>
      </c>
      <c r="D73" s="263"/>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61" t="str">
        <f>_xlfn.CONCAT(_xlfn.XLOOKUP("[S10_InstallationsPenaltiesImposed][9][InfringementType]",Submission!$O:$O,Submission!$H:$N,""))</f>
        <v/>
      </c>
      <c r="D74" s="263"/>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61" t="str">
        <f>_xlfn.CONCAT(_xlfn.XLOOKUP("[S10_InstallationsPenaltiesImposed][10][InfringementType]",Submission!$O:$O,Submission!$H:$N,""))</f>
        <v/>
      </c>
      <c r="D75" s="263"/>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61" t="str">
        <f>_xlfn.CONCAT(_xlfn.XLOOKUP("[S10_InstallationsPenaltiesImposed][11][InfringementType]",Submission!$O:$O,Submission!$H:$N,""))</f>
        <v/>
      </c>
      <c r="D76" s="263"/>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61" t="str">
        <f>_xlfn.CONCAT(_xlfn.XLOOKUP("[S10_InstallationsPenaltiesImposed][12][InfringementType]",Submission!$O:$O,Submission!$H:$N,""))</f>
        <v/>
      </c>
      <c r="D77" s="263"/>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61" t="str">
        <f>_xlfn.CONCAT(_xlfn.XLOOKUP("[S10_InstallationsPenaltiesImposed][13][InfringementType]",Submission!$O:$O,Submission!$H:$N,""))</f>
        <v/>
      </c>
      <c r="D78" s="263"/>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61" t="str">
        <f>_xlfn.CONCAT(_xlfn.XLOOKUP("[S10_InstallationsPenaltiesImposed][14][InfringementType]",Submission!$O:$O,Submission!$H:$N,""))</f>
        <v/>
      </c>
      <c r="D79" s="263"/>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61" t="str">
        <f>_xlfn.CONCAT(_xlfn.XLOOKUP("[S10_InstallationsPenaltiesImposed][15][InfringementType]",Submission!$O:$O,Submission!$H:$N,""))</f>
        <v/>
      </c>
      <c r="D80" s="263"/>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61" t="str">
        <f>_xlfn.CONCAT(_xlfn.XLOOKUP("[S10_InstallationsPenaltiesImposed][16][InfringementType]",Submission!$O:$O,Submission!$H:$N,""))</f>
        <v/>
      </c>
      <c r="D81" s="263"/>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61" t="str">
        <f>_xlfn.CONCAT(_xlfn.XLOOKUP("[S10_InstallationsPenaltiesImposed][17][InfringementType]",Submission!$O:$O,Submission!$H:$N,""))</f>
        <v/>
      </c>
      <c r="D82" s="263"/>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61" t="str">
        <f>_xlfn.CONCAT(_xlfn.XLOOKUP("[S10_InstallationsPenaltiesImposed][18][InfringementType]",Submission!$O:$O,Submission!$H:$N,""))</f>
        <v/>
      </c>
      <c r="D83" s="263"/>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61" t="str">
        <f>_xlfn.CONCAT(_xlfn.XLOOKUP("[S10_InstallationsPenaltiesImposed][19][InfringementType]",Submission!$O:$O,Submission!$H:$N,""))</f>
        <v/>
      </c>
      <c r="D84" s="263"/>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61" t="str">
        <f>_xlfn.CONCAT(_xlfn.XLOOKUP("[S10_InstallationsPenaltiesImposed][20][InfringementType]",Submission!$O:$O,Submission!$H:$N,""))</f>
        <v/>
      </c>
      <c r="D85" s="263"/>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61" t="str">
        <f>_xlfn.CONCAT(_xlfn.XLOOKUP("[S10_InstallationsPenaltiesImposed][21][InfringementType]",Submission!$O:$O,Submission!$H:$N,""))</f>
        <v/>
      </c>
      <c r="D86" s="263"/>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61" t="str">
        <f>_xlfn.CONCAT(_xlfn.XLOOKUP("[S10_InstallationsPenaltiesImposed][22][InfringementType]",Submission!$O:$O,Submission!$H:$N,""))</f>
        <v/>
      </c>
      <c r="D87" s="263"/>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81" t="s">
        <v>1244</v>
      </c>
      <c r="C90" s="481"/>
      <c r="D90" s="481"/>
      <c r="E90" s="481"/>
      <c r="F90" s="481"/>
      <c r="G90" s="481"/>
      <c r="H90" s="482"/>
      <c r="I90" s="41" t="str">
        <f>_xlfn.CONCAT(_xlfn.XLOOKUP("[InstallationsPriorPenaltiesEnforced][0][InstallationsPriorPenaltiesEnforced]",Submission!$O:$O,Submission!$H:$N,""))</f>
        <v>No</v>
      </c>
    </row>
    <row r="91" spans="1:9" ht="16.2" customHeight="1" x14ac:dyDescent="0.3">
      <c r="B91" s="341" t="s">
        <v>1245</v>
      </c>
      <c r="C91" s="311"/>
      <c r="D91" s="311"/>
      <c r="E91" s="311"/>
      <c r="F91" s="311"/>
      <c r="G91" s="311"/>
      <c r="H91" s="311"/>
      <c r="I91" s="311"/>
    </row>
    <row r="92" spans="1:9" x14ac:dyDescent="0.3">
      <c r="C92" s="438" t="s">
        <v>1224</v>
      </c>
      <c r="D92" s="439"/>
      <c r="E92" s="440"/>
      <c r="F92" s="438" t="s">
        <v>1246</v>
      </c>
      <c r="G92" s="440"/>
      <c r="H92" s="438" t="s">
        <v>1247</v>
      </c>
      <c r="I92" s="440"/>
    </row>
    <row r="93" spans="1:9" x14ac:dyDescent="0.3">
      <c r="C93" s="258" t="str">
        <f>_xlfn.CONCAT(_xlfn.XLOOKUP("[S10_InstallationsPriorPenaltiesEnforcedDetail][1][TypeInfringement]",Submission!$O:$O,Submission!$H:$N,""))</f>
        <v/>
      </c>
      <c r="D93" s="463"/>
      <c r="E93" s="259"/>
      <c r="F93" s="258" t="str">
        <f>_xlfn.CONCAT(_xlfn.XLOOKUP("[S10_InstallationsPriorPenaltiesEnforcedDetail][1][TypePenalty]",Submission!$O:$O,Submission!$H:$N,""))</f>
        <v/>
      </c>
      <c r="G93" s="259"/>
      <c r="H93" s="258" t="str">
        <f>_xlfn.CONCAT(_xlfn.XLOOKUP("[S10_InstallationsPriorPenaltiesEnforcedDetail][1][ReportinYear]",Submission!$O:$O,Submission!$H:$N,""))</f>
        <v/>
      </c>
      <c r="I93" s="259"/>
    </row>
    <row r="94" spans="1:9" x14ac:dyDescent="0.3">
      <c r="C94" s="258" t="str">
        <f>_xlfn.CONCAT(_xlfn.XLOOKUP("[S10_InstallationsPriorPenaltiesEnforcedDetail][2][TypeInfringement]",Submission!$O:$O,Submission!$H:$N,""))</f>
        <v/>
      </c>
      <c r="D94" s="463"/>
      <c r="E94" s="259"/>
      <c r="F94" s="258" t="str">
        <f>_xlfn.CONCAT(_xlfn.XLOOKUP("[S10_InstallationsPriorPenaltiesEnforcedDetail][2][TypePenalty]",Submission!$O:$O,Submission!$H:$N,""))</f>
        <v/>
      </c>
      <c r="G94" s="259"/>
      <c r="H94" s="258" t="str">
        <f>_xlfn.CONCAT(_xlfn.XLOOKUP("[S10_InstallationsPriorPenaltiesEnforcedDetail][2][ReportinYear]",Submission!$O:$O,Submission!$H:$N,""))</f>
        <v/>
      </c>
      <c r="I94" s="259"/>
    </row>
    <row r="95" spans="1:9" x14ac:dyDescent="0.3">
      <c r="C95" s="258" t="str">
        <f>_xlfn.CONCAT(_xlfn.XLOOKUP("[S10_InstallationsPriorPenaltiesEnforcedDetail][3][TypeInfringement]",Submission!$O:$O,Submission!$H:$N,""))</f>
        <v/>
      </c>
      <c r="D95" s="463"/>
      <c r="E95" s="259"/>
      <c r="F95" s="258" t="str">
        <f>_xlfn.CONCAT(_xlfn.XLOOKUP("[S10_InstallationsPriorPenaltiesEnforcedDetail][3][TypePenalty]",Submission!$O:$O,Submission!$H:$N,""))</f>
        <v/>
      </c>
      <c r="G95" s="259"/>
      <c r="H95" s="258" t="str">
        <f>_xlfn.CONCAT(_xlfn.XLOOKUP("[S10_InstallationsPriorPenaltiesEnforcedDetail][3][ReportinYear]",Submission!$O:$O,Submission!$H:$N,""))</f>
        <v/>
      </c>
      <c r="I95" s="259"/>
    </row>
    <row r="96" spans="1:9" x14ac:dyDescent="0.3">
      <c r="C96" s="258" t="str">
        <f>_xlfn.CONCAT(_xlfn.XLOOKUP("[S10_InstallationsPriorPenaltiesEnforcedDetail][4][TypeInfringement]",Submission!$O:$O,Submission!$H:$N,""))</f>
        <v/>
      </c>
      <c r="D96" s="463"/>
      <c r="E96" s="259"/>
      <c r="F96" s="258" t="str">
        <f>_xlfn.CONCAT(_xlfn.XLOOKUP("[S10_InstallationsPriorPenaltiesEnforcedDetail][4][TypePenalty]",Submission!$O:$O,Submission!$H:$N,""))</f>
        <v/>
      </c>
      <c r="G96" s="259"/>
      <c r="H96" s="258" t="str">
        <f>_xlfn.CONCAT(_xlfn.XLOOKUP("[S10_InstallationsPriorPenaltiesEnforcedDetail][4][ReportinYear]",Submission!$O:$O,Submission!$H:$N,""))</f>
        <v/>
      </c>
      <c r="I96" s="259"/>
    </row>
    <row r="97" spans="2:10" x14ac:dyDescent="0.3">
      <c r="C97" s="258" t="str">
        <f>_xlfn.CONCAT(_xlfn.XLOOKUP("[S10_InstallationsPriorPenaltiesEnforcedDetail][5][TypeInfringement]",Submission!$O:$O,Submission!$H:$N,""))</f>
        <v/>
      </c>
      <c r="D97" s="463"/>
      <c r="E97" s="259"/>
      <c r="F97" s="258" t="str">
        <f>_xlfn.CONCAT(_xlfn.XLOOKUP("[S10_InstallationsPriorPenaltiesEnforcedDetail][5][TypePenalty]",Submission!$O:$O,Submission!$H:$N,""))</f>
        <v/>
      </c>
      <c r="G97" s="259"/>
      <c r="H97" s="258" t="str">
        <f>_xlfn.CONCAT(_xlfn.XLOOKUP("[S10_InstallationsPriorPenaltiesEnforcedDetail][5][ReportinYear]",Submission!$O:$O,Submission!$H:$N,""))</f>
        <v/>
      </c>
      <c r="I97" s="259"/>
    </row>
    <row r="98" spans="2:10" hidden="1" outlineLevel="1" x14ac:dyDescent="0.3">
      <c r="C98" s="258" t="str">
        <f>_xlfn.CONCAT(_xlfn.XLOOKUP("[S10_InstallationsPriorPenaltiesEnforcedDetail][6][TypeInfringement]",Submission!$O:$O,Submission!$H:$N,""))</f>
        <v/>
      </c>
      <c r="D98" s="463"/>
      <c r="E98" s="259"/>
      <c r="F98" s="258" t="str">
        <f>_xlfn.CONCAT(_xlfn.XLOOKUP("[S10_InstallationsPriorPenaltiesEnforcedDetail][6][TypePenalty]",Submission!$O:$O,Submission!$H:$N,""))</f>
        <v/>
      </c>
      <c r="G98" s="259"/>
      <c r="H98" s="258" t="str">
        <f>_xlfn.CONCAT(_xlfn.XLOOKUP("[S10_InstallationsPriorPenaltiesEnforcedDetail][6][ReportinYear]",Submission!$O:$O,Submission!$H:$N,""))</f>
        <v/>
      </c>
      <c r="I98" s="259"/>
    </row>
    <row r="99" spans="2:10" hidden="1" outlineLevel="1" x14ac:dyDescent="0.3">
      <c r="C99" s="258" t="str">
        <f>_xlfn.CONCAT(_xlfn.XLOOKUP("[S10_InstallationsPriorPenaltiesEnforcedDetail][7][TypeInfringement]",Submission!$O:$O,Submission!$H:$N,""))</f>
        <v/>
      </c>
      <c r="D99" s="463"/>
      <c r="E99" s="259"/>
      <c r="F99" s="258" t="str">
        <f>_xlfn.CONCAT(_xlfn.XLOOKUP("[S10_InstallationsPriorPenaltiesEnforcedDetail][7][TypePenalty]",Submission!$O:$O,Submission!$H:$N,""))</f>
        <v/>
      </c>
      <c r="G99" s="259"/>
      <c r="H99" s="258" t="str">
        <f>_xlfn.CONCAT(_xlfn.XLOOKUP("[S10_InstallationsPriorPenaltiesEnforcedDetail][7][ReportinYear]",Submission!$O:$O,Submission!$H:$N,""))</f>
        <v/>
      </c>
      <c r="I99" s="259"/>
    </row>
    <row r="100" spans="2:10" hidden="1" outlineLevel="1" x14ac:dyDescent="0.3">
      <c r="C100" s="258" t="str">
        <f>_xlfn.CONCAT(_xlfn.XLOOKUP("[S10_InstallationsPriorPenaltiesEnforcedDetail][8][TypeInfringement]",Submission!$O:$O,Submission!$H:$N,""))</f>
        <v/>
      </c>
      <c r="D100" s="463"/>
      <c r="E100" s="259"/>
      <c r="F100" s="258" t="str">
        <f>_xlfn.CONCAT(_xlfn.XLOOKUP("[S10_InstallationsPriorPenaltiesEnforcedDetail][8][TypePenalty]",Submission!$O:$O,Submission!$H:$N,""))</f>
        <v/>
      </c>
      <c r="G100" s="259"/>
      <c r="H100" s="258" t="str">
        <f>_xlfn.CONCAT(_xlfn.XLOOKUP("[S10_InstallationsPriorPenaltiesEnforcedDetail][8][ReportinYear]",Submission!$O:$O,Submission!$H:$N,""))</f>
        <v/>
      </c>
      <c r="I100" s="259"/>
    </row>
    <row r="101" spans="2:10" hidden="1" outlineLevel="1" x14ac:dyDescent="0.3">
      <c r="C101" s="258" t="str">
        <f>_xlfn.CONCAT(_xlfn.XLOOKUP("[S10_InstallationsPriorPenaltiesEnforcedDetail][9][TypeInfringement]",Submission!$O:$O,Submission!$H:$N,""))</f>
        <v/>
      </c>
      <c r="D101" s="463"/>
      <c r="E101" s="259"/>
      <c r="F101" s="258" t="str">
        <f>_xlfn.CONCAT(_xlfn.XLOOKUP("[S10_InstallationsPriorPenaltiesEnforcedDetail][9][TypePenalty]",Submission!$O:$O,Submission!$H:$N,""))</f>
        <v/>
      </c>
      <c r="G101" s="259"/>
      <c r="H101" s="258" t="str">
        <f>_xlfn.CONCAT(_xlfn.XLOOKUP("[S10_InstallationsPriorPenaltiesEnforcedDetail][9][ReportinYear]",Submission!$O:$O,Submission!$H:$N,""))</f>
        <v/>
      </c>
      <c r="I101" s="259"/>
    </row>
    <row r="102" spans="2:10" hidden="1" outlineLevel="1" x14ac:dyDescent="0.3">
      <c r="C102" s="258" t="str">
        <f>_xlfn.CONCAT(_xlfn.XLOOKUP("[S10_InstallationsPriorPenaltiesEnforcedDetail][10][TypeInfringement]",Submission!$O:$O,Submission!$H:$N,""))</f>
        <v/>
      </c>
      <c r="D102" s="463"/>
      <c r="E102" s="259"/>
      <c r="F102" s="258" t="str">
        <f>_xlfn.CONCAT(_xlfn.XLOOKUP("[S10_InstallationsPriorPenaltiesEnforcedDetail][10][TypePenalty]",Submission!$O:$O,Submission!$H:$N,""))</f>
        <v/>
      </c>
      <c r="G102" s="259"/>
      <c r="H102" s="258" t="str">
        <f>_xlfn.CONCAT(_xlfn.XLOOKUP("[S10_InstallationsPriorPenaltiesEnforcedDetail][10][ReportinYear]",Submission!$O:$O,Submission!$H:$N,""))</f>
        <v/>
      </c>
      <c r="I102" s="259"/>
    </row>
    <row r="103" spans="2:10" hidden="1" outlineLevel="1" x14ac:dyDescent="0.3">
      <c r="C103" s="258" t="str">
        <f>_xlfn.CONCAT(_xlfn.XLOOKUP("[S10_InstallationsPriorPenaltiesEnforcedDetail][11][TypeInfringement]",Submission!$O:$O,Submission!$H:$N,""))</f>
        <v/>
      </c>
      <c r="D103" s="463"/>
      <c r="E103" s="259"/>
      <c r="F103" s="258" t="str">
        <f>_xlfn.CONCAT(_xlfn.XLOOKUP("[S10_InstallationsPriorPenaltiesEnforcedDetail][11][TypePenalty]",Submission!$O:$O,Submission!$H:$N,""))</f>
        <v/>
      </c>
      <c r="G103" s="259"/>
      <c r="H103" s="258" t="str">
        <f>_xlfn.CONCAT(_xlfn.XLOOKUP("[S10_InstallationsPriorPenaltiesEnforcedDetail][11][ReportinYear]",Submission!$O:$O,Submission!$H:$N,""))</f>
        <v/>
      </c>
      <c r="I103" s="259"/>
    </row>
    <row r="104" spans="2:10" hidden="1" outlineLevel="1" x14ac:dyDescent="0.3">
      <c r="C104" s="258" t="str">
        <f>_xlfn.CONCAT(_xlfn.XLOOKUP("[S10_InstallationsPriorPenaltiesEnforcedDetail][12][TypeInfringement]",Submission!$O:$O,Submission!$H:$N,""))</f>
        <v/>
      </c>
      <c r="D104" s="463"/>
      <c r="E104" s="259"/>
      <c r="F104" s="258" t="str">
        <f>_xlfn.CONCAT(_xlfn.XLOOKUP("[S10_InstallationsPriorPenaltiesEnforcedDetail][12][TypePenalty]",Submission!$O:$O,Submission!$H:$N,""))</f>
        <v/>
      </c>
      <c r="G104" s="259"/>
      <c r="H104" s="258" t="str">
        <f>_xlfn.CONCAT(_xlfn.XLOOKUP("[S10_InstallationsPriorPenaltiesEnforcedDetail][12][ReportinYear]",Submission!$O:$O,Submission!$H:$N,""))</f>
        <v/>
      </c>
      <c r="I104" s="259"/>
    </row>
    <row r="105" spans="2:10" hidden="1" outlineLevel="1" x14ac:dyDescent="0.3">
      <c r="C105" s="258" t="str">
        <f>_xlfn.CONCAT(_xlfn.XLOOKUP("[S10_InstallationsPriorPenaltiesEnforcedDetail][13][TypeInfringement]",Submission!$O:$O,Submission!$H:$N,""))</f>
        <v/>
      </c>
      <c r="D105" s="463"/>
      <c r="E105" s="259"/>
      <c r="F105" s="258" t="str">
        <f>_xlfn.CONCAT(_xlfn.XLOOKUP("[S10_InstallationsPriorPenaltiesEnforcedDetail][13][TypePenalty]",Submission!$O:$O,Submission!$H:$N,""))</f>
        <v/>
      </c>
      <c r="G105" s="259"/>
      <c r="H105" s="258" t="str">
        <f>_xlfn.CONCAT(_xlfn.XLOOKUP("[S10_InstallationsPriorPenaltiesEnforcedDetail][13][ReportinYear]",Submission!$O:$O,Submission!$H:$N,""))</f>
        <v/>
      </c>
      <c r="I105" s="259"/>
    </row>
    <row r="106" spans="2:10" hidden="1" outlineLevel="1" x14ac:dyDescent="0.3">
      <c r="C106" s="258" t="str">
        <f>_xlfn.CONCAT(_xlfn.XLOOKUP("[S10_InstallationsPriorPenaltiesEnforcedDetail][14][TypeInfringement]",Submission!$O:$O,Submission!$H:$N,""))</f>
        <v/>
      </c>
      <c r="D106" s="463"/>
      <c r="E106" s="259"/>
      <c r="F106" s="258" t="str">
        <f>_xlfn.CONCAT(_xlfn.XLOOKUP("[S10_InstallationsPriorPenaltiesEnforcedDetail][14][TypePenalty]",Submission!$O:$O,Submission!$H:$N,""))</f>
        <v/>
      </c>
      <c r="G106" s="259"/>
      <c r="H106" s="258" t="str">
        <f>_xlfn.CONCAT(_xlfn.XLOOKUP("[S10_InstallationsPriorPenaltiesEnforcedDetail][14][ReportinYear]",Submission!$O:$O,Submission!$H:$N,""))</f>
        <v/>
      </c>
      <c r="I106" s="259"/>
    </row>
    <row r="107" spans="2:10" hidden="1" outlineLevel="1" x14ac:dyDescent="0.3">
      <c r="C107" s="258" t="str">
        <f>_xlfn.CONCAT(_xlfn.XLOOKUP("[S10_InstallationsPriorPenaltiesEnforcedDetail][15][TypeInfringement]",Submission!$O:$O,Submission!$H:$N,""))</f>
        <v/>
      </c>
      <c r="D107" s="463"/>
      <c r="E107" s="259"/>
      <c r="F107" s="258" t="str">
        <f>_xlfn.CONCAT(_xlfn.XLOOKUP("[S10_InstallationsPriorPenaltiesEnforcedDetail][15][TypePenalty]",Submission!$O:$O,Submission!$H:$N,""))</f>
        <v/>
      </c>
      <c r="G107" s="259"/>
      <c r="H107" s="258" t="str">
        <f>_xlfn.CONCAT(_xlfn.XLOOKUP("[S10_InstallationsPriorPenaltiesEnforcedDetail][15][ReportinYear]",Submission!$O:$O,Submission!$H:$N,""))</f>
        <v/>
      </c>
      <c r="I107" s="259"/>
    </row>
    <row r="108" spans="2:10" hidden="1" outlineLevel="1" x14ac:dyDescent="0.3">
      <c r="C108" s="258" t="str">
        <f>_xlfn.CONCAT(_xlfn.XLOOKUP("[S10_InstallationsPriorPenaltiesEnforcedDetail][16][TypeInfringement]",Submission!$O:$O,Submission!$H:$N,""))</f>
        <v/>
      </c>
      <c r="D108" s="463"/>
      <c r="E108" s="259"/>
      <c r="F108" s="258" t="str">
        <f>_xlfn.CONCAT(_xlfn.XLOOKUP("[S10_InstallationsPriorPenaltiesEnforcedDetail][16][TypePenalty]",Submission!$O:$O,Submission!$H:$N,""))</f>
        <v/>
      </c>
      <c r="G108" s="259"/>
      <c r="H108" s="258" t="str">
        <f>_xlfn.CONCAT(_xlfn.XLOOKUP("[S10_InstallationsPriorPenaltiesEnforcedDetail][16][ReportinYear]",Submission!$O:$O,Submission!$H:$N,""))</f>
        <v/>
      </c>
      <c r="I108" s="259"/>
    </row>
    <row r="109" spans="2:10" hidden="1" outlineLevel="1" x14ac:dyDescent="0.3">
      <c r="C109" s="258" t="str">
        <f>_xlfn.CONCAT(_xlfn.XLOOKUP("[S10_InstallationsPriorPenaltiesEnforcedDetail][17][TypeInfringement]",Submission!$O:$O,Submission!$H:$N,""))</f>
        <v/>
      </c>
      <c r="D109" s="463"/>
      <c r="E109" s="259"/>
      <c r="F109" s="258" t="str">
        <f>_xlfn.CONCAT(_xlfn.XLOOKUP("[S10_InstallationsPriorPenaltiesEnforcedDetail][17][TypePenalty]",Submission!$O:$O,Submission!$H:$N,""))</f>
        <v/>
      </c>
      <c r="G109" s="259"/>
      <c r="H109" s="258" t="str">
        <f>_xlfn.CONCAT(_xlfn.XLOOKUP("[S10_InstallationsPriorPenaltiesEnforcedDetail][17][ReportinYear]",Submission!$O:$O,Submission!$H:$N,""))</f>
        <v/>
      </c>
      <c r="I109" s="259"/>
    </row>
    <row r="110" spans="2:10" collapsed="1" x14ac:dyDescent="0.3">
      <c r="B110" s="26" t="s">
        <v>1000</v>
      </c>
      <c r="C110" s="16"/>
      <c r="D110" s="19"/>
      <c r="E110" s="11"/>
      <c r="F110" s="11"/>
      <c r="G110" s="11"/>
      <c r="H110" s="11"/>
      <c r="I110" s="11"/>
    </row>
    <row r="111" spans="2:10" x14ac:dyDescent="0.3">
      <c r="C111" s="421" t="s">
        <v>1248</v>
      </c>
      <c r="D111" s="480"/>
      <c r="E111" s="480"/>
      <c r="F111" s="480"/>
      <c r="G111" s="480"/>
      <c r="H111" s="480"/>
      <c r="I111" s="480"/>
      <c r="J111" s="480"/>
    </row>
    <row r="112" spans="2:10" ht="15.9" customHeight="1" x14ac:dyDescent="0.3"/>
    <row r="113" spans="1:9" ht="32.1" customHeight="1" x14ac:dyDescent="0.3">
      <c r="A113" s="12" t="s">
        <v>582</v>
      </c>
      <c r="B113" s="278" t="s">
        <v>1301</v>
      </c>
      <c r="C113" s="279"/>
      <c r="D113" s="279"/>
      <c r="E113" s="279"/>
      <c r="F113" s="279"/>
      <c r="G113" s="279"/>
      <c r="H113" s="279"/>
      <c r="I113" s="279"/>
    </row>
    <row r="114" spans="1:9" ht="15.9" customHeight="1" x14ac:dyDescent="0.3">
      <c r="A114" s="12"/>
      <c r="B114" s="22"/>
      <c r="C114" s="317" t="s">
        <v>869</v>
      </c>
      <c r="D114" s="318"/>
      <c r="E114" s="319"/>
      <c r="F114" s="317" t="s">
        <v>1302</v>
      </c>
      <c r="G114" s="318"/>
      <c r="H114" s="318"/>
      <c r="I114" s="319"/>
    </row>
    <row r="115" spans="1:9" ht="15.9" customHeight="1" x14ac:dyDescent="0.3">
      <c r="A115" s="12"/>
      <c r="B115" s="23"/>
      <c r="C115" s="261" t="str">
        <f>_xlfn.CONCAT(_xlfn.XLOOKUP("[S10_InstallationPenalties][1][InstallationID]",Submission!$O:$O,Submission!$H:$N,""))</f>
        <v>PL000000000000025</v>
      </c>
      <c r="D115" s="356"/>
      <c r="E115" s="263"/>
      <c r="F115" s="261" t="str">
        <f>_xlfn.CONCAT(_xlfn.XLOOKUP("[S10_InstallationPenalties][1][OperatorName]",Submission!$O:$O,Submission!$H:$N,""))</f>
        <v>ELSEN 2 Sp. z o.o.</v>
      </c>
      <c r="G115" s="356"/>
      <c r="H115" s="356"/>
      <c r="I115" s="263"/>
    </row>
    <row r="116" spans="1:9" ht="15.9" customHeight="1" x14ac:dyDescent="0.3">
      <c r="A116" s="12"/>
      <c r="B116" s="23"/>
      <c r="C116" s="261" t="str">
        <f>_xlfn.CONCAT(_xlfn.XLOOKUP("[S10_InstallationPenalties][2][InstallationID]",Submission!$O:$O,Submission!$H:$N,""))</f>
        <v/>
      </c>
      <c r="D116" s="356"/>
      <c r="E116" s="263"/>
      <c r="F116" s="261" t="str">
        <f>_xlfn.CONCAT(_xlfn.XLOOKUP("[S10_InstallationPenalties][2][OperatorName]",Submission!$O:$O,Submission!$H:$N,""))</f>
        <v/>
      </c>
      <c r="G116" s="356"/>
      <c r="H116" s="356"/>
      <c r="I116" s="263"/>
    </row>
    <row r="117" spans="1:9" ht="15.9" hidden="1" customHeight="1" outlineLevel="1" x14ac:dyDescent="0.3">
      <c r="A117" s="12"/>
      <c r="B117" s="23"/>
      <c r="C117" s="261" t="str">
        <f>_xlfn.CONCAT(_xlfn.XLOOKUP("[S10_InstallationPenalties][3][InstallationID]",Submission!$O:$O,Submission!$H:$N,""))</f>
        <v/>
      </c>
      <c r="D117" s="356"/>
      <c r="E117" s="263"/>
      <c r="F117" s="261" t="str">
        <f>_xlfn.CONCAT(_xlfn.XLOOKUP("[S10_InstallationPenalties][3][OperatorName]",Submission!$O:$O,Submission!$H:$N,""))</f>
        <v/>
      </c>
      <c r="G117" s="356"/>
      <c r="H117" s="356"/>
      <c r="I117" s="263"/>
    </row>
    <row r="118" spans="1:9" ht="15.9" hidden="1" customHeight="1" outlineLevel="1" x14ac:dyDescent="0.3">
      <c r="A118" s="12"/>
      <c r="B118" s="23"/>
      <c r="C118" s="261" t="str">
        <f>_xlfn.CONCAT(_xlfn.XLOOKUP("[S10_InstallationPenalties][4][InstallationID]",Submission!$O:$O,Submission!$H:$N,""))</f>
        <v/>
      </c>
      <c r="D118" s="356"/>
      <c r="E118" s="263"/>
      <c r="F118" s="261" t="str">
        <f>_xlfn.CONCAT(_xlfn.XLOOKUP("[S10_InstallationPenalties][4][OperatorName]",Submission!$O:$O,Submission!$H:$N,""))</f>
        <v/>
      </c>
      <c r="G118" s="356"/>
      <c r="H118" s="356"/>
      <c r="I118" s="263"/>
    </row>
    <row r="119" spans="1:9" ht="15.9" hidden="1" customHeight="1" outlineLevel="1" x14ac:dyDescent="0.3">
      <c r="A119" s="12"/>
      <c r="B119" s="23"/>
      <c r="C119" s="261" t="str">
        <f>_xlfn.CONCAT(_xlfn.XLOOKUP("[S10_InstallationPenalties][5][InstallationID]",Submission!$O:$O,Submission!$H:$N,""))</f>
        <v/>
      </c>
      <c r="D119" s="356"/>
      <c r="E119" s="263"/>
      <c r="F119" s="261" t="str">
        <f>_xlfn.CONCAT(_xlfn.XLOOKUP("[S10_InstallationPenalties][5][OperatorName]",Submission!$O:$O,Submission!$H:$N,""))</f>
        <v/>
      </c>
      <c r="G119" s="356"/>
      <c r="H119" s="356"/>
      <c r="I119" s="263"/>
    </row>
    <row r="120" spans="1:9" ht="15.9" hidden="1" customHeight="1" outlineLevel="1" x14ac:dyDescent="0.3">
      <c r="A120" s="12"/>
      <c r="B120" s="23"/>
      <c r="C120" s="261" t="str">
        <f>_xlfn.CONCAT(_xlfn.XLOOKUP("[S10_InstallationPenalties][6][InstallationID]",Submission!$O:$O,Submission!$H:$N,""))</f>
        <v/>
      </c>
      <c r="D120" s="356"/>
      <c r="E120" s="263"/>
      <c r="F120" s="261" t="str">
        <f>_xlfn.CONCAT(_xlfn.XLOOKUP("[S10_InstallationPenalties][6][OperatorName]",Submission!$O:$O,Submission!$H:$N,""))</f>
        <v/>
      </c>
      <c r="G120" s="356"/>
      <c r="H120" s="356"/>
      <c r="I120" s="263"/>
    </row>
    <row r="121" spans="1:9" ht="15.9" hidden="1" customHeight="1" outlineLevel="1" x14ac:dyDescent="0.3">
      <c r="A121" s="12"/>
      <c r="B121" s="23"/>
      <c r="C121" s="261" t="str">
        <f>_xlfn.CONCAT(_xlfn.XLOOKUP("[S10_InstallationPenalties][7][InstallationID]",Submission!$O:$O,Submission!$H:$N,""))</f>
        <v/>
      </c>
      <c r="D121" s="356"/>
      <c r="E121" s="263"/>
      <c r="F121" s="261" t="str">
        <f>_xlfn.CONCAT(_xlfn.XLOOKUP("[S10_InstallationPenalties][7][OperatorName]",Submission!$O:$O,Submission!$H:$N,""))</f>
        <v/>
      </c>
      <c r="G121" s="356"/>
      <c r="H121" s="356"/>
      <c r="I121" s="263"/>
    </row>
    <row r="122" spans="1:9" ht="15.9" hidden="1" customHeight="1" outlineLevel="1" x14ac:dyDescent="0.3">
      <c r="A122" s="12"/>
      <c r="B122" s="23"/>
      <c r="C122" s="261" t="str">
        <f>_xlfn.CONCAT(_xlfn.XLOOKUP("[S10_InstallationPenalties][8][InstallationID]",Submission!$O:$O,Submission!$H:$N,""))</f>
        <v/>
      </c>
      <c r="D122" s="356"/>
      <c r="E122" s="263"/>
      <c r="F122" s="261" t="str">
        <f>_xlfn.CONCAT(_xlfn.XLOOKUP("[S10_InstallationPenalties][8][OperatorName]",Submission!$O:$O,Submission!$H:$N,""))</f>
        <v/>
      </c>
      <c r="G122" s="356"/>
      <c r="H122" s="356"/>
      <c r="I122" s="263"/>
    </row>
    <row r="123" spans="1:9" ht="15.9" hidden="1" customHeight="1" outlineLevel="1" x14ac:dyDescent="0.3">
      <c r="A123" s="12"/>
      <c r="B123" s="23"/>
      <c r="C123" s="261" t="str">
        <f>_xlfn.CONCAT(_xlfn.XLOOKUP("[S10_InstallationPenalties][9][InstallationID]",Submission!$O:$O,Submission!$H:$N,""))</f>
        <v/>
      </c>
      <c r="D123" s="356"/>
      <c r="E123" s="263"/>
      <c r="F123" s="261" t="str">
        <f>_xlfn.CONCAT(_xlfn.XLOOKUP("[S10_InstallationPenalties][9][OperatorName]",Submission!$O:$O,Submission!$H:$N,""))</f>
        <v/>
      </c>
      <c r="G123" s="356"/>
      <c r="H123" s="356"/>
      <c r="I123" s="263"/>
    </row>
    <row r="124" spans="1:9" ht="15.9" hidden="1" customHeight="1" outlineLevel="1" x14ac:dyDescent="0.3">
      <c r="A124" s="12"/>
      <c r="B124" s="23"/>
      <c r="C124" s="261" t="str">
        <f>_xlfn.CONCAT(_xlfn.XLOOKUP("[S10_InstallationPenalties][10][InstallationID]",Submission!$O:$O,Submission!$H:$N,""))</f>
        <v/>
      </c>
      <c r="D124" s="356"/>
      <c r="E124" s="263"/>
      <c r="F124" s="261" t="str">
        <f>_xlfn.CONCAT(_xlfn.XLOOKUP("[S10_InstallationPenalties][10][OperatorName]",Submission!$O:$O,Submission!$H:$N,""))</f>
        <v/>
      </c>
      <c r="G124" s="356"/>
      <c r="H124" s="356"/>
      <c r="I124" s="263"/>
    </row>
    <row r="125" spans="1:9" ht="15.9" hidden="1" customHeight="1" outlineLevel="1" x14ac:dyDescent="0.3">
      <c r="A125" s="12"/>
      <c r="B125" s="23"/>
      <c r="C125" s="261" t="str">
        <f>_xlfn.CONCAT(_xlfn.XLOOKUP("[S10_InstallationPenalties][11][InstallationID]",Submission!$O:$O,Submission!$H:$N,""))</f>
        <v/>
      </c>
      <c r="D125" s="356"/>
      <c r="E125" s="263"/>
      <c r="F125" s="261" t="str">
        <f>_xlfn.CONCAT(_xlfn.XLOOKUP("[S10_InstallationPenalties][11][OperatorName]",Submission!$O:$O,Submission!$H:$N,""))</f>
        <v/>
      </c>
      <c r="G125" s="356"/>
      <c r="H125" s="356"/>
      <c r="I125" s="263"/>
    </row>
    <row r="126" spans="1:9" ht="15.9" hidden="1" customHeight="1" outlineLevel="1" x14ac:dyDescent="0.3">
      <c r="A126" s="12"/>
      <c r="B126" s="23"/>
      <c r="C126" s="261" t="str">
        <f>_xlfn.CONCAT(_xlfn.XLOOKUP("[S10_InstallationPenalties][12][InstallationID]",Submission!$O:$O,Submission!$H:$N,""))</f>
        <v/>
      </c>
      <c r="D126" s="356"/>
      <c r="E126" s="263"/>
      <c r="F126" s="261" t="str">
        <f>_xlfn.CONCAT(_xlfn.XLOOKUP("[S10_InstallationPenalties][12][OperatorName]",Submission!$O:$O,Submission!$H:$N,""))</f>
        <v/>
      </c>
      <c r="G126" s="356"/>
      <c r="H126" s="356"/>
      <c r="I126" s="263"/>
    </row>
    <row r="127" spans="1:9" ht="15.9" customHeight="1" collapsed="1" x14ac:dyDescent="0.3">
      <c r="A127" s="13"/>
      <c r="B127" s="26" t="s">
        <v>1000</v>
      </c>
      <c r="C127" s="19"/>
    </row>
    <row r="128" spans="1:9" ht="15.9" customHeight="1" x14ac:dyDescent="0.3">
      <c r="A128" s="13"/>
      <c r="B128" s="16"/>
      <c r="C128" s="282" t="s">
        <v>1033</v>
      </c>
      <c r="D128" s="283"/>
      <c r="E128" s="283"/>
      <c r="F128" s="283"/>
      <c r="G128" s="283"/>
      <c r="H128" s="283"/>
      <c r="I128" s="283"/>
    </row>
    <row r="129" spans="1:9" ht="15.9" customHeight="1" x14ac:dyDescent="0.3">
      <c r="A129" s="13"/>
    </row>
    <row r="130" spans="1:9" s="7" customFormat="1" ht="18.899999999999999" customHeight="1" x14ac:dyDescent="0.35">
      <c r="A130" s="85" t="s">
        <v>1303</v>
      </c>
      <c r="B130" s="313" t="s">
        <v>97</v>
      </c>
      <c r="C130" s="313"/>
      <c r="D130" s="313"/>
      <c r="E130" s="313"/>
      <c r="F130" s="313"/>
      <c r="G130" s="313"/>
      <c r="H130" s="313"/>
      <c r="I130" s="314"/>
    </row>
    <row r="131" spans="1:9" ht="32.1" customHeight="1" x14ac:dyDescent="0.3">
      <c r="A131" s="12" t="s">
        <v>586</v>
      </c>
      <c r="B131" s="278" t="s">
        <v>1304</v>
      </c>
      <c r="C131" s="279"/>
      <c r="D131" s="279"/>
      <c r="E131" s="279"/>
      <c r="F131" s="279"/>
      <c r="G131" s="279"/>
      <c r="H131" s="279"/>
      <c r="I131" s="279"/>
    </row>
    <row r="132" spans="1:9" x14ac:dyDescent="0.3">
      <c r="A132" s="12"/>
      <c r="B132" s="23"/>
      <c r="C132" s="541" t="s">
        <v>1305</v>
      </c>
      <c r="D132" s="542"/>
      <c r="E132" s="542"/>
      <c r="F132" s="542"/>
      <c r="G132" s="543"/>
      <c r="H132" s="53" t="s">
        <v>709</v>
      </c>
      <c r="I132" s="53" t="s">
        <v>1306</v>
      </c>
    </row>
    <row r="133" spans="1:9" x14ac:dyDescent="0.3">
      <c r="A133" s="12"/>
      <c r="B133" s="23"/>
      <c r="C133" s="249" t="s">
        <v>1307</v>
      </c>
      <c r="D133" s="275"/>
      <c r="E133" s="275"/>
      <c r="F133" s="275"/>
      <c r="G133" s="276"/>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5"/>
      <c r="E134" s="275"/>
      <c r="F134" s="275"/>
      <c r="G134" s="276"/>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5"/>
      <c r="E135" s="275"/>
      <c r="F135" s="275"/>
      <c r="G135" s="276"/>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9" t="s">
        <v>1309</v>
      </c>
      <c r="D136" s="275"/>
      <c r="E136" s="275"/>
      <c r="F136" s="275"/>
      <c r="G136" s="276"/>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6"/>
      <c r="E137" s="261" t="str">
        <f>_xlfn.CONCAT(_xlfn.XLOOKUP("[S10_AircraftComplianceMeasures][5][ComplianceMeasuresOther]",Submission!$O:$O,Submission!$H:$N,""))</f>
        <v/>
      </c>
      <c r="F137" s="356"/>
      <c r="G137" s="263"/>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6"/>
      <c r="E138" s="261" t="str">
        <f>_xlfn.CONCAT(_xlfn.XLOOKUP("[S10_AircraftComplianceMeasures][6][ComplianceMeasuresOther]",Submission!$O:$O,Submission!$H:$N,""))</f>
        <v/>
      </c>
      <c r="F138" s="356"/>
      <c r="G138" s="263"/>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6"/>
      <c r="E139" s="261" t="str">
        <f>_xlfn.CONCAT(_xlfn.XLOOKUP("[S10_AircraftComplianceMeasures][7][ComplianceMeasuresOther]",Submission!$O:$O,Submission!$H:$N,""))</f>
        <v/>
      </c>
      <c r="F139" s="356"/>
      <c r="G139" s="263"/>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6"/>
      <c r="E140" s="261" t="str">
        <f>_xlfn.CONCAT(_xlfn.XLOOKUP("[S10_AircraftComplianceMeasures][8][ComplianceMeasuresOther]",Submission!$O:$O,Submission!$H:$N,""))</f>
        <v/>
      </c>
      <c r="F140" s="356"/>
      <c r="G140" s="263"/>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5" t="s">
        <v>1310</v>
      </c>
      <c r="C143" s="396"/>
      <c r="D143" s="396"/>
      <c r="E143" s="396"/>
      <c r="F143" s="396"/>
      <c r="G143" s="396"/>
      <c r="H143" s="396"/>
      <c r="I143" s="396"/>
    </row>
    <row r="144" spans="1:9" ht="33.6" customHeight="1" x14ac:dyDescent="0.3">
      <c r="A144" s="13"/>
      <c r="B144" s="341" t="s">
        <v>1286</v>
      </c>
      <c r="C144" s="311"/>
      <c r="D144" s="311"/>
      <c r="E144" s="311"/>
      <c r="F144" s="311"/>
      <c r="G144" s="311"/>
      <c r="H144" s="311"/>
      <c r="I144" s="311"/>
    </row>
    <row r="145" spans="1:9" x14ac:dyDescent="0.3">
      <c r="A145" s="13"/>
      <c r="C145" s="550" t="s">
        <v>1224</v>
      </c>
      <c r="D145" s="551"/>
      <c r="E145" s="554" t="s">
        <v>1225</v>
      </c>
      <c r="F145" s="554"/>
      <c r="G145" s="554" t="s">
        <v>1226</v>
      </c>
      <c r="H145" s="554"/>
      <c r="I145" s="535" t="s">
        <v>1227</v>
      </c>
    </row>
    <row r="146" spans="1:9" ht="15.9" customHeight="1" x14ac:dyDescent="0.3">
      <c r="A146" s="13"/>
      <c r="C146" s="552"/>
      <c r="D146" s="553"/>
      <c r="E146" s="43" t="s">
        <v>1311</v>
      </c>
      <c r="F146" s="43" t="s">
        <v>1229</v>
      </c>
      <c r="G146" s="43" t="s">
        <v>1228</v>
      </c>
      <c r="H146" s="43" t="s">
        <v>1229</v>
      </c>
      <c r="I146" s="536"/>
    </row>
    <row r="147" spans="1:9" ht="37.200000000000003" customHeight="1" x14ac:dyDescent="0.3">
      <c r="A147" s="13"/>
      <c r="C147" s="249" t="s">
        <v>1289</v>
      </c>
      <c r="D147" s="276"/>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9" t="s">
        <v>1290</v>
      </c>
      <c r="D148" s="276"/>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9" t="s">
        <v>1312</v>
      </c>
      <c r="D149" s="276"/>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9" t="s">
        <v>1293</v>
      </c>
      <c r="D150" s="276"/>
      <c r="E150" s="105" t="str">
        <f>_xlfn.CONCAT(_xlfn.XLOOKUP("[S10_AircraftInfringementPenalties][4][MinFine]",Submission!$O:$O,Submission!$H:$N,""))</f>
        <v>2137.8</v>
      </c>
      <c r="F150" s="105" t="str">
        <f>_xlfn.CONCAT(_xlfn.XLOOKUP("[S10_AircraftInfringementPenalties][4][MaxFine]",Submission!$O:$O,Submission!$H:$N,""))</f>
        <v>2137.8</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9" t="s">
        <v>1313</v>
      </c>
      <c r="D151" s="276"/>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9" t="s">
        <v>1294</v>
      </c>
      <c r="D152" s="276"/>
      <c r="E152" s="105" t="str">
        <f>_xlfn.CONCAT(_xlfn.XLOOKUP("[S10_AircraftInfringementPenalties][6][MinFine]",Submission!$O:$O,Submission!$H:$N,""))</f>
        <v>1068.9</v>
      </c>
      <c r="F152" s="105" t="str">
        <f>_xlfn.CONCAT(_xlfn.XLOOKUP("[S10_AircraftInfringementPenalties][6][MaxFine]",Submission!$O:$O,Submission!$H:$N,""))</f>
        <v>10689.01</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Jeżeli operator statku powietrznego dostarczy raport w terminie do 15 kwietnia, administracyjną karę pieniężną wymierza się w wysokości 10% kary (art. 105 ust. 2).</v>
      </c>
    </row>
    <row r="153" spans="1:9" ht="37.200000000000003" customHeight="1" x14ac:dyDescent="0.3">
      <c r="C153" s="249" t="s">
        <v>1295</v>
      </c>
      <c r="D153" s="276"/>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9" t="s">
        <v>1296</v>
      </c>
      <c r="D154" s="276"/>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9" t="s">
        <v>1297</v>
      </c>
      <c r="D155" s="276"/>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9" t="s">
        <v>1314</v>
      </c>
      <c r="D156" s="276"/>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9" t="s">
        <v>1315</v>
      </c>
      <c r="D157" s="276"/>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Jeśli operator statków powietrznych nie zwróci nadmiarowo wydanych uprawnień w terminie 30 dni od dnia otrzymania wniosku Krajowego ośrodka, Krajowy ośrodek przekazuje ministrowi właściwemu do spraw klimatu informację o operatorze statków powietrznych, który nie dopełnił obowiązku zwrotu. Minister właściwy do spraw klimatu wydaje decyzję w sprawie zwrotu równowartości nadmiarowo wydanych uprawnień do emisji, określając kwotę podlegającą zwrotowi oraz termin jej uiszczenia. (art. 18 ustawy)</v>
      </c>
    </row>
    <row r="158" spans="1:9" ht="37.200000000000003" customHeight="1" x14ac:dyDescent="0.3">
      <c r="C158" s="93" t="s">
        <v>697</v>
      </c>
      <c r="D158" s="97" t="str">
        <f>_xlfn.CONCAT(_xlfn.XLOOKUP("[S10_AircraftInfringementPenalties][12][InfringementOther]",Submission!$O:$O,Submission!$H:$N,""))</f>
        <v>Wykonywanie operacji lotniczych bez zatwierdzenia planu monitorowania wielkości emisji (art. 103 ust. 1 ustawy).</v>
      </c>
      <c r="E158" s="105" t="str">
        <f>_xlfn.CONCAT(_xlfn.XLOOKUP("[S10_AircraftInfringementPenalties][12][MinFine]",Submission!$O:$O,Submission!$H:$N,""))</f>
        <v>10689.01</v>
      </c>
      <c r="F158" s="105" t="str">
        <f>_xlfn.CONCAT(_xlfn.XLOOKUP("[S10_AircraftInfringementPenalties][12][MaxFine]",Submission!$O:$O,Submission!$H:$N,""))</f>
        <v>10689.01</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xml:space="preserve">Niedokonanie przez operatora statku powietrznego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 </v>
      </c>
      <c r="E159" s="105" t="str">
        <f>_xlfn.CONCAT(_xlfn.XLOOKUP("[S10_AircraftInfringementPenalties][13][MinFine]",Submission!$O:$O,Submission!$H:$N,""))</f>
        <v>100</v>
      </c>
      <c r="F159" s="105" t="str">
        <f>_xlfn.CONCAT(_xlfn.XLOOKUP("[S10_AircraftInfringementPenalties][13][MaxFine]",Submission!$O:$O,Submission!$H:$N,""))</f>
        <v>100</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41" t="s">
        <v>1298</v>
      </c>
      <c r="C164" s="311"/>
      <c r="D164" s="311"/>
      <c r="E164" s="311"/>
      <c r="F164" s="311"/>
      <c r="G164" s="311"/>
      <c r="H164" s="311"/>
      <c r="I164" s="311"/>
    </row>
    <row r="165" spans="1:9" ht="15.9" customHeight="1" x14ac:dyDescent="0.3">
      <c r="B165" s="18"/>
      <c r="C165" s="397" t="str">
        <f>_xlfn.CONCAT(_xlfn.XLOOKUP("[AircraftNationalLaw][0][AircraftNationalLaw]",Submission!$O:$O,Submission!$H:$N,""))</f>
        <v>Ustawa z dnia 12 czerwca 2015 r. o systemie handlu uprawnieniami do emisji gazów cieplarnianych (t.j. Dz.U. 2022 poz. 1092).</v>
      </c>
      <c r="D165" s="397"/>
      <c r="E165" s="397"/>
      <c r="F165" s="397"/>
      <c r="G165" s="397"/>
      <c r="H165" s="397"/>
      <c r="I165" s="397"/>
    </row>
    <row r="166" spans="1:9" ht="15.9" customHeight="1" x14ac:dyDescent="0.3">
      <c r="B166" s="16"/>
      <c r="C166" s="14"/>
      <c r="D166" s="14"/>
      <c r="E166" s="14"/>
      <c r="F166" s="14"/>
      <c r="G166" s="14"/>
      <c r="H166" s="14"/>
      <c r="I166" s="14"/>
    </row>
    <row r="167" spans="1:9" ht="32.1" customHeight="1" x14ac:dyDescent="0.3">
      <c r="A167" s="12" t="s">
        <v>594</v>
      </c>
      <c r="B167" s="341" t="s">
        <v>1316</v>
      </c>
      <c r="C167" s="311"/>
      <c r="D167" s="311"/>
      <c r="E167" s="311"/>
      <c r="F167" s="311"/>
      <c r="G167" s="311"/>
      <c r="H167" s="311"/>
      <c r="I167" s="311"/>
    </row>
    <row r="168" spans="1:9" ht="15.9" customHeight="1" x14ac:dyDescent="0.3">
      <c r="A168" s="13"/>
      <c r="C168" s="469" t="s">
        <v>1317</v>
      </c>
      <c r="D168" s="469"/>
      <c r="E168" s="469"/>
      <c r="F168" s="469"/>
      <c r="G168" s="469"/>
      <c r="H168" s="469"/>
      <c r="I168" s="469"/>
    </row>
    <row r="169" spans="1:9" ht="25.5" customHeight="1" x14ac:dyDescent="0.3">
      <c r="A169" s="13"/>
      <c r="C169" s="487" t="s">
        <v>1224</v>
      </c>
      <c r="D169" s="537"/>
      <c r="E169" s="272" t="s">
        <v>1240</v>
      </c>
      <c r="F169" s="273"/>
      <c r="G169" s="274"/>
      <c r="H169" s="485" t="s">
        <v>1241</v>
      </c>
      <c r="I169" s="485" t="s">
        <v>1318</v>
      </c>
    </row>
    <row r="170" spans="1:9" ht="29.25" customHeight="1" x14ac:dyDescent="0.3">
      <c r="A170" s="13"/>
      <c r="C170" s="538"/>
      <c r="D170" s="539"/>
      <c r="E170" s="42" t="s">
        <v>1225</v>
      </c>
      <c r="F170" s="42" t="s">
        <v>1226</v>
      </c>
      <c r="G170" s="42" t="s">
        <v>1227</v>
      </c>
      <c r="H170" s="540"/>
      <c r="I170" s="540"/>
    </row>
    <row r="171" spans="1:9" ht="39.6" customHeight="1" x14ac:dyDescent="0.3">
      <c r="A171" s="13"/>
      <c r="C171" s="261" t="str">
        <f>_xlfn.CONCAT(_xlfn.XLOOKUP("[S10_AircraftPenaltiesImposed][1][InfringementType]",Submission!$O:$O,Submission!$H:$N,""))</f>
        <v>Failure to submit a verified emission report by 31 March or earlier if the competent authority set an earlier deadline</v>
      </c>
      <c r="D171" s="263"/>
      <c r="E171" s="105" t="str">
        <f>_xlfn.CONCAT(_xlfn.XLOOKUP("[S10_AircraftPenaltiesImposed][1][ActualFines]",Submission!$O:$O,Submission!$H:$N,""))</f>
        <v>10689.01</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No</v>
      </c>
      <c r="I171" s="98" t="str">
        <f>_xlfn.CONCAT(_xlfn.XLOOKUP("[S10_AircraftPenaltiesImposed][1][PenaltyEnforcedWithinPeriod]",Submission!$O:$O,Submission!$H:$N,""))</f>
        <v>No</v>
      </c>
    </row>
    <row r="172" spans="1:9" ht="39.6" customHeight="1" x14ac:dyDescent="0.3">
      <c r="A172" s="13"/>
      <c r="C172" s="261" t="str">
        <f>_xlfn.CONCAT(_xlfn.XLOOKUP("[S10_AircraftPenaltiesImposed][2][InfringementType]",Submission!$O:$O,Submission!$H:$N,""))</f>
        <v/>
      </c>
      <c r="D172" s="263"/>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61" t="str">
        <f>_xlfn.CONCAT(_xlfn.XLOOKUP("[S10_AircraftPenaltiesImposed][3][InfringementType]",Submission!$O:$O,Submission!$H:$N,""))</f>
        <v/>
      </c>
      <c r="D173" s="263"/>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61" t="str">
        <f>_xlfn.CONCAT(_xlfn.XLOOKUP("[S10_AircraftPenaltiesImposed][4][InfringementType]",Submission!$O:$O,Submission!$H:$N,""))</f>
        <v/>
      </c>
      <c r="D174" s="263"/>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61" t="str">
        <f>_xlfn.CONCAT(_xlfn.XLOOKUP("[S10_AircraftPenaltiesImposed][5][InfringementType]",Submission!$O:$O,Submission!$H:$N,""))</f>
        <v/>
      </c>
      <c r="D175" s="263"/>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61" t="str">
        <f>_xlfn.CONCAT(_xlfn.XLOOKUP("[S10_AircraftPenaltiesImposed][6][InfringementType]",Submission!$O:$O,Submission!$H:$N,""))</f>
        <v/>
      </c>
      <c r="D176" s="263"/>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61" t="str">
        <f>_xlfn.CONCAT(_xlfn.XLOOKUP("[S10_AircraftPenaltiesImposed][7][InfringementType]",Submission!$O:$O,Submission!$H:$N,""))</f>
        <v/>
      </c>
      <c r="D177" s="263"/>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61" t="str">
        <f>_xlfn.CONCAT(_xlfn.XLOOKUP("[S10_AircraftPenaltiesImposed][8][InfringementType]",Submission!$O:$O,Submission!$H:$N,""))</f>
        <v/>
      </c>
      <c r="D178" s="263"/>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61" t="str">
        <f>_xlfn.CONCAT(_xlfn.XLOOKUP("[S10_AircraftPenaltiesImposed][9][InfringementType]",Submission!$O:$O,Submission!$H:$N,""))</f>
        <v/>
      </c>
      <c r="D179" s="263"/>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61" t="str">
        <f>_xlfn.CONCAT(_xlfn.XLOOKUP("[S10_AircraftPenaltiesImposed][10][InfringementType]",Submission!$O:$O,Submission!$H:$N,""))</f>
        <v/>
      </c>
      <c r="D180" s="263"/>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61" t="str">
        <f>_xlfn.CONCAT(_xlfn.XLOOKUP("[S10_AircraftPenaltiesImposed][11][InfringementType]",Submission!$O:$O,Submission!$H:$N,""))</f>
        <v/>
      </c>
      <c r="D181" s="263"/>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61" t="str">
        <f>_xlfn.CONCAT(_xlfn.XLOOKUP("[S10_AircraftPenaltiesImposed][12][InfringementType]",Submission!$O:$O,Submission!$H:$N,""))</f>
        <v/>
      </c>
      <c r="D182" s="263"/>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61" t="str">
        <f>_xlfn.CONCAT(_xlfn.XLOOKUP("[S10_AircraftPenaltiesImposed][13][InfringementType]",Submission!$O:$O,Submission!$H:$N,""))</f>
        <v/>
      </c>
      <c r="D183" s="263"/>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81" t="s">
        <v>1244</v>
      </c>
      <c r="C186" s="481"/>
      <c r="D186" s="481"/>
      <c r="E186" s="481"/>
      <c r="F186" s="481"/>
      <c r="G186" s="481"/>
      <c r="H186" s="482"/>
      <c r="I186" s="41" t="str">
        <f>_xlfn.CONCAT(_xlfn.XLOOKUP("[AircraftPriorPenaltiesEnforced][0][AircraftPriorPenaltiesEnforced]",Submission!$O:$O,Submission!$H:$N,""))</f>
        <v>No</v>
      </c>
    </row>
    <row r="187" spans="1:9" ht="16.2" customHeight="1" x14ac:dyDescent="0.3">
      <c r="B187" s="341" t="s">
        <v>1245</v>
      </c>
      <c r="C187" s="311"/>
      <c r="D187" s="311"/>
      <c r="E187" s="311"/>
      <c r="F187" s="311"/>
      <c r="G187" s="311"/>
      <c r="H187" s="311"/>
      <c r="I187" s="311"/>
    </row>
    <row r="188" spans="1:9" x14ac:dyDescent="0.3">
      <c r="C188" s="438" t="s">
        <v>1224</v>
      </c>
      <c r="D188" s="439"/>
      <c r="E188" s="440"/>
      <c r="F188" s="438" t="s">
        <v>1246</v>
      </c>
      <c r="G188" s="440"/>
      <c r="H188" s="438" t="s">
        <v>1247</v>
      </c>
      <c r="I188" s="440"/>
    </row>
    <row r="189" spans="1:9" x14ac:dyDescent="0.3">
      <c r="C189" s="547" t="str">
        <f>_xlfn.CONCAT(_xlfn.XLOOKUP("[S10_AircraftPriorPenaltiesEnforcedDetail][1][TypeInfringement]",Submission!$O:$O,Submission!$H:$N,""))</f>
        <v/>
      </c>
      <c r="D189" s="548"/>
      <c r="E189" s="549"/>
      <c r="F189" s="555" t="str">
        <f>_xlfn.CONCAT(_xlfn.XLOOKUP("[S10_AircraftPriorPenaltiesEnforcedDetail][1][TypePenalty]",Submission!$O:$O,Submission!$H:$N,""))</f>
        <v/>
      </c>
      <c r="G189" s="556"/>
      <c r="H189" s="547" t="str">
        <f>_xlfn.CONCAT(_xlfn.XLOOKUP("[S10_AircraftPriorPenaltiesEnforcedDetail][1][ReportinYear]",Submission!$O:$O,Submission!$H:$N,""))</f>
        <v/>
      </c>
      <c r="I189" s="549"/>
    </row>
    <row r="190" spans="1:9" x14ac:dyDescent="0.3">
      <c r="C190" s="547" t="str">
        <f>_xlfn.CONCAT(_xlfn.XLOOKUP("[S10_AircraftPriorPenaltiesEnforcedDetail][2][TypeInfringement]",Submission!$O:$O,Submission!$H:$N,""))</f>
        <v/>
      </c>
      <c r="D190" s="548"/>
      <c r="E190" s="549"/>
      <c r="F190" s="555" t="str">
        <f>_xlfn.CONCAT(_xlfn.XLOOKUP("[S10_AircraftPriorPenaltiesEnforcedDetail][2][TypePenalty]",Submission!$O:$O,Submission!$H:$N,""))</f>
        <v/>
      </c>
      <c r="G190" s="556"/>
      <c r="H190" s="547" t="str">
        <f>_xlfn.CONCAT(_xlfn.XLOOKUP("[S10_AircraftPriorPenaltiesEnforcedDetail][2][ReportinYear]",Submission!$O:$O,Submission!$H:$N,""))</f>
        <v/>
      </c>
      <c r="I190" s="549"/>
    </row>
    <row r="191" spans="1:9" hidden="1" outlineLevel="1" x14ac:dyDescent="0.3">
      <c r="C191" s="547" t="str">
        <f>_xlfn.CONCAT(_xlfn.XLOOKUP("[S10_AircraftPriorPenaltiesEnforcedDetail][3][TypeInfringement]",Submission!$O:$O,Submission!$H:$N,""))</f>
        <v/>
      </c>
      <c r="D191" s="548"/>
      <c r="E191" s="549"/>
      <c r="F191" s="555" t="str">
        <f>_xlfn.CONCAT(_xlfn.XLOOKUP("[S10_AircraftPriorPenaltiesEnforcedDetail][3][TypePenalty]",Submission!$O:$O,Submission!$H:$N,""))</f>
        <v/>
      </c>
      <c r="G191" s="556"/>
      <c r="H191" s="547" t="str">
        <f>_xlfn.CONCAT(_xlfn.XLOOKUP("[S10_AircraftPriorPenaltiesEnforcedDetail][3][ReportinYear]",Submission!$O:$O,Submission!$H:$N,""))</f>
        <v/>
      </c>
      <c r="I191" s="549"/>
    </row>
    <row r="192" spans="1:9" hidden="1" outlineLevel="1" x14ac:dyDescent="0.3">
      <c r="C192" s="547" t="str">
        <f>_xlfn.CONCAT(_xlfn.XLOOKUP("[S10_AircraftPriorPenaltiesEnforcedDetail][4][TypeInfringement]",Submission!$O:$O,Submission!$H:$N,""))</f>
        <v/>
      </c>
      <c r="D192" s="548"/>
      <c r="E192" s="549"/>
      <c r="F192" s="555" t="str">
        <f>_xlfn.CONCAT(_xlfn.XLOOKUP("[S10_AircraftPriorPenaltiesEnforcedDetail][4][TypePenalty]",Submission!$O:$O,Submission!$H:$N,""))</f>
        <v/>
      </c>
      <c r="G192" s="556"/>
      <c r="H192" s="547" t="str">
        <f>_xlfn.CONCAT(_xlfn.XLOOKUP("[S10_AircraftPriorPenaltiesEnforcedDetail][4][ReportinYear]",Submission!$O:$O,Submission!$H:$N,""))</f>
        <v/>
      </c>
      <c r="I192" s="549"/>
    </row>
    <row r="193" spans="1:10" hidden="1" outlineLevel="1" x14ac:dyDescent="0.3">
      <c r="C193" s="547" t="str">
        <f>_xlfn.CONCAT(_xlfn.XLOOKUP("[S10_AircraftPriorPenaltiesEnforcedDetail][5][TypeInfringement]",Submission!$O:$O,Submission!$H:$N,""))</f>
        <v/>
      </c>
      <c r="D193" s="548"/>
      <c r="E193" s="549"/>
      <c r="F193" s="555" t="str">
        <f>_xlfn.CONCAT(_xlfn.XLOOKUP("[S10_AircraftPriorPenaltiesEnforcedDetail][5][TypePenalty]",Submission!$O:$O,Submission!$H:$N,""))</f>
        <v/>
      </c>
      <c r="G193" s="556"/>
      <c r="H193" s="547" t="str">
        <f>_xlfn.CONCAT(_xlfn.XLOOKUP("[S10_AircraftPriorPenaltiesEnforcedDetail][5][ReportinYear]",Submission!$O:$O,Submission!$H:$N,""))</f>
        <v/>
      </c>
      <c r="I193" s="549"/>
    </row>
    <row r="194" spans="1:10" hidden="1" outlineLevel="1" x14ac:dyDescent="0.3">
      <c r="C194" s="547" t="str">
        <f>_xlfn.CONCAT(_xlfn.XLOOKUP("[S10_AircraftPriorPenaltiesEnforcedDetail][6][TypeInfringement]",Submission!$O:$O,Submission!$H:$N,""))</f>
        <v/>
      </c>
      <c r="D194" s="548"/>
      <c r="E194" s="549"/>
      <c r="F194" s="555" t="str">
        <f>_xlfn.CONCAT(_xlfn.XLOOKUP("[S10_AircraftPriorPenaltiesEnforcedDetail][6][TypePenalty]",Submission!$O:$O,Submission!$H:$N,""))</f>
        <v/>
      </c>
      <c r="G194" s="556"/>
      <c r="H194" s="547" t="str">
        <f>_xlfn.CONCAT(_xlfn.XLOOKUP("[S10_AircraftPriorPenaltiesEnforcedDetail][6][ReportinYear]",Submission!$O:$O,Submission!$H:$N,""))</f>
        <v/>
      </c>
      <c r="I194" s="549"/>
    </row>
    <row r="195" spans="1:10" hidden="1" outlineLevel="1" x14ac:dyDescent="0.3">
      <c r="C195" s="547" t="str">
        <f>_xlfn.CONCAT(_xlfn.XLOOKUP("[S10_AircraftPriorPenaltiesEnforcedDetail][7][TypeInfringement]",Submission!$O:$O,Submission!$H:$N,""))</f>
        <v/>
      </c>
      <c r="D195" s="548"/>
      <c r="E195" s="549"/>
      <c r="F195" s="555" t="str">
        <f>_xlfn.CONCAT(_xlfn.XLOOKUP("[S10_AircraftPriorPenaltiesEnforcedDetail][7][TypePenalty]",Submission!$O:$O,Submission!$H:$N,""))</f>
        <v/>
      </c>
      <c r="G195" s="556"/>
      <c r="H195" s="547" t="str">
        <f>_xlfn.CONCAT(_xlfn.XLOOKUP("[S10_AircraftPriorPenaltiesEnforcedDetail][7][ReportinYear]",Submission!$O:$O,Submission!$H:$N,""))</f>
        <v/>
      </c>
      <c r="I195" s="549"/>
    </row>
    <row r="196" spans="1:10" hidden="1" outlineLevel="1" x14ac:dyDescent="0.3">
      <c r="C196" s="547" t="str">
        <f>_xlfn.CONCAT(_xlfn.XLOOKUP("[S10_AircraftPriorPenaltiesEnforcedDetail][8][TypeInfringement]",Submission!$O:$O,Submission!$H:$N,""))</f>
        <v/>
      </c>
      <c r="D196" s="548"/>
      <c r="E196" s="549"/>
      <c r="F196" s="555" t="str">
        <f>_xlfn.CONCAT(_xlfn.XLOOKUP("[S10_AircraftPriorPenaltiesEnforcedDetail][8][TypePenalty]",Submission!$O:$O,Submission!$H:$N,""))</f>
        <v/>
      </c>
      <c r="G196" s="556"/>
      <c r="H196" s="547" t="str">
        <f>_xlfn.CONCAT(_xlfn.XLOOKUP("[S10_AircraftPriorPenaltiesEnforcedDetail][8][ReportinYear]",Submission!$O:$O,Submission!$H:$N,""))</f>
        <v/>
      </c>
      <c r="I196" s="549"/>
    </row>
    <row r="197" spans="1:10" collapsed="1" x14ac:dyDescent="0.3">
      <c r="B197" s="26" t="s">
        <v>1000</v>
      </c>
      <c r="C197" s="16"/>
      <c r="D197" s="19"/>
      <c r="E197" s="11"/>
      <c r="F197" s="11"/>
      <c r="G197" s="11"/>
      <c r="H197" s="11"/>
      <c r="I197" s="11"/>
    </row>
    <row r="198" spans="1:10" x14ac:dyDescent="0.3">
      <c r="C198" s="421" t="s">
        <v>1248</v>
      </c>
      <c r="D198" s="480"/>
      <c r="E198" s="480"/>
      <c r="F198" s="480"/>
      <c r="G198" s="480"/>
      <c r="H198" s="480"/>
      <c r="I198" s="480"/>
      <c r="J198" s="480"/>
    </row>
    <row r="199" spans="1:10" ht="15.9" customHeight="1" x14ac:dyDescent="0.3">
      <c r="A199" s="13"/>
      <c r="B199" s="16"/>
      <c r="C199" s="20"/>
      <c r="D199" s="20"/>
      <c r="E199" s="20"/>
      <c r="F199" s="20"/>
      <c r="G199" s="20"/>
      <c r="H199" s="20"/>
      <c r="I199" s="20"/>
    </row>
    <row r="200" spans="1:10" ht="32.1" customHeight="1" x14ac:dyDescent="0.3">
      <c r="A200" s="12" t="s">
        <v>598</v>
      </c>
      <c r="B200" s="341" t="s">
        <v>1319</v>
      </c>
      <c r="C200" s="341"/>
      <c r="D200" s="341"/>
      <c r="E200" s="341"/>
      <c r="F200" s="341"/>
      <c r="G200" s="341"/>
      <c r="H200" s="341"/>
      <c r="I200" s="341"/>
    </row>
    <row r="201" spans="1:10" ht="15.9" customHeight="1" x14ac:dyDescent="0.3">
      <c r="A201" s="12"/>
      <c r="B201" s="22"/>
      <c r="C201" s="317" t="s">
        <v>1082</v>
      </c>
      <c r="D201" s="336"/>
      <c r="E201" s="337"/>
      <c r="F201" s="317" t="s">
        <v>1320</v>
      </c>
      <c r="G201" s="336"/>
      <c r="H201" s="336"/>
      <c r="I201" s="337"/>
    </row>
    <row r="202" spans="1:10" ht="15.9" customHeight="1" x14ac:dyDescent="0.3">
      <c r="A202" s="12"/>
      <c r="B202" s="23"/>
      <c r="C202" s="544" t="str">
        <f>_xlfn.CONCAT(_xlfn.XLOOKUP("[S10_AircraftPenalties][1][AircraftID]",Submission!$O:$O,Submission!$H:$N,""))</f>
        <v>nd</v>
      </c>
      <c r="D202" s="545"/>
      <c r="E202" s="546"/>
      <c r="F202" s="544" t="str">
        <f>_xlfn.CONCAT(_xlfn.XLOOKUP("[S10_AircraftPenalties][1][OperatorName]",Submission!$O:$O,Submission!$H:$N,""))</f>
        <v/>
      </c>
      <c r="G202" s="545"/>
      <c r="H202" s="545"/>
      <c r="I202" s="546"/>
    </row>
    <row r="203" spans="1:10" ht="15.9" customHeight="1" x14ac:dyDescent="0.3">
      <c r="A203" s="12"/>
      <c r="B203" s="23"/>
      <c r="C203" s="544" t="str">
        <f>_xlfn.CONCAT(_xlfn.XLOOKUP("[S10_AircraftPenalties][2][AircraftID]",Submission!$O:$O,Submission!$H:$N,""))</f>
        <v/>
      </c>
      <c r="D203" s="545"/>
      <c r="E203" s="546"/>
      <c r="F203" s="544" t="str">
        <f>_xlfn.CONCAT(_xlfn.XLOOKUP("[S10_AircraftPenalties][2][OperatorName]",Submission!$O:$O,Submission!$H:$N,""))</f>
        <v/>
      </c>
      <c r="G203" s="545"/>
      <c r="H203" s="545"/>
      <c r="I203" s="546"/>
    </row>
    <row r="204" spans="1:10" ht="15.9" hidden="1" customHeight="1" outlineLevel="1" x14ac:dyDescent="0.3">
      <c r="A204" s="12"/>
      <c r="B204" s="23"/>
      <c r="C204" s="544" t="str">
        <f>_xlfn.CONCAT(_xlfn.XLOOKUP("[S10_AircraftPenalties][3][AircraftID]",Submission!$O:$O,Submission!$H:$N,""))</f>
        <v/>
      </c>
      <c r="D204" s="545"/>
      <c r="E204" s="546"/>
      <c r="F204" s="544" t="str">
        <f>_xlfn.CONCAT(_xlfn.XLOOKUP("[S10_AircraftPenalties][3][OperatorName]",Submission!$O:$O,Submission!$H:$N,""))</f>
        <v/>
      </c>
      <c r="G204" s="545"/>
      <c r="H204" s="545"/>
      <c r="I204" s="546"/>
    </row>
    <row r="205" spans="1:10" ht="15.9" hidden="1" customHeight="1" outlineLevel="1" x14ac:dyDescent="0.3">
      <c r="A205" s="12"/>
      <c r="B205" s="23"/>
      <c r="C205" s="544" t="str">
        <f>_xlfn.CONCAT(_xlfn.XLOOKUP("[S10_AircraftPenalties][4][AircraftID]",Submission!$O:$O,Submission!$H:$N,""))</f>
        <v/>
      </c>
      <c r="D205" s="545"/>
      <c r="E205" s="546"/>
      <c r="F205" s="544" t="str">
        <f>_xlfn.CONCAT(_xlfn.XLOOKUP("[S10_AircraftPenalties][4][OperatorName]",Submission!$O:$O,Submission!$H:$N,""))</f>
        <v/>
      </c>
      <c r="G205" s="545"/>
      <c r="H205" s="545"/>
      <c r="I205" s="546"/>
    </row>
    <row r="206" spans="1:10" ht="15.9" hidden="1" customHeight="1" outlineLevel="1" x14ac:dyDescent="0.3">
      <c r="A206" s="12"/>
      <c r="B206" s="23"/>
      <c r="C206" s="544" t="str">
        <f>_xlfn.CONCAT(_xlfn.XLOOKUP("[S10_AircraftPenalties][5][AircraftID]",Submission!$O:$O,Submission!$H:$N,""))</f>
        <v/>
      </c>
      <c r="D206" s="545"/>
      <c r="E206" s="546"/>
      <c r="F206" s="544" t="str">
        <f>_xlfn.CONCAT(_xlfn.XLOOKUP("[S10_AircraftPenalties][5][OperatorName]",Submission!$O:$O,Submission!$H:$N,""))</f>
        <v/>
      </c>
      <c r="G206" s="545"/>
      <c r="H206" s="545"/>
      <c r="I206" s="546"/>
    </row>
    <row r="207" spans="1:10" ht="15.9" hidden="1" customHeight="1" outlineLevel="1" x14ac:dyDescent="0.3">
      <c r="A207" s="12"/>
      <c r="B207" s="23"/>
      <c r="C207" s="544" t="str">
        <f>_xlfn.CONCAT(_xlfn.XLOOKUP("[S10_AircraftPenalties][6][AircraftID]",Submission!$O:$O,Submission!$H:$N,""))</f>
        <v/>
      </c>
      <c r="D207" s="545"/>
      <c r="E207" s="546"/>
      <c r="F207" s="544" t="str">
        <f>_xlfn.CONCAT(_xlfn.XLOOKUP("[S10_AircraftPenalties][6][OperatorName]",Submission!$O:$O,Submission!$H:$N,""))</f>
        <v/>
      </c>
      <c r="G207" s="545"/>
      <c r="H207" s="545"/>
      <c r="I207" s="546"/>
    </row>
    <row r="208" spans="1:10" ht="15.9" hidden="1" customHeight="1" outlineLevel="1" x14ac:dyDescent="0.3">
      <c r="A208" s="12"/>
      <c r="B208" s="23"/>
      <c r="C208" s="544" t="str">
        <f>_xlfn.CONCAT(_xlfn.XLOOKUP("[S10_AircraftPenalties][7][AircraftID]",Submission!$O:$O,Submission!$H:$N,""))</f>
        <v/>
      </c>
      <c r="D208" s="545"/>
      <c r="E208" s="546"/>
      <c r="F208" s="544" t="str">
        <f>_xlfn.CONCAT(_xlfn.XLOOKUP("[S10_AircraftPenalties][7][OperatorName]",Submission!$O:$O,Submission!$H:$N,""))</f>
        <v/>
      </c>
      <c r="G208" s="545"/>
      <c r="H208" s="545"/>
      <c r="I208" s="546"/>
    </row>
    <row r="209" spans="1:9" ht="15.9" hidden="1" customHeight="1" outlineLevel="1" x14ac:dyDescent="0.3">
      <c r="A209" s="12"/>
      <c r="B209" s="23"/>
      <c r="C209" s="544" t="str">
        <f>_xlfn.CONCAT(_xlfn.XLOOKUP("[S10_AircraftPenalties][8][AircraftID]",Submission!$O:$O,Submission!$H:$N,""))</f>
        <v/>
      </c>
      <c r="D209" s="545"/>
      <c r="E209" s="546"/>
      <c r="F209" s="544" t="str">
        <f>_xlfn.CONCAT(_xlfn.XLOOKUP("[S10_AircraftPenalties][8][OperatorName]",Submission!$O:$O,Submission!$H:$N,""))</f>
        <v/>
      </c>
      <c r="G209" s="545"/>
      <c r="H209" s="545"/>
      <c r="I209" s="546"/>
    </row>
    <row r="210" spans="1:9" ht="15.9" hidden="1" customHeight="1" outlineLevel="1" x14ac:dyDescent="0.3">
      <c r="A210" s="12"/>
      <c r="B210" s="23"/>
      <c r="C210" s="544" t="str">
        <f>_xlfn.CONCAT(_xlfn.XLOOKUP("[S10_AircraftPenalties][9][AircraftID]",Submission!$O:$O,Submission!$H:$N,""))</f>
        <v/>
      </c>
      <c r="D210" s="545"/>
      <c r="E210" s="546"/>
      <c r="F210" s="544" t="str">
        <f>_xlfn.CONCAT(_xlfn.XLOOKUP("[S10_AircraftPenalties][9][OperatorName]",Submission!$O:$O,Submission!$H:$N,""))</f>
        <v/>
      </c>
      <c r="G210" s="545"/>
      <c r="H210" s="545"/>
      <c r="I210" s="546"/>
    </row>
    <row r="211" spans="1:9" ht="15.9" hidden="1" customHeight="1" outlineLevel="1" x14ac:dyDescent="0.3">
      <c r="A211" s="12"/>
      <c r="B211" s="23"/>
      <c r="C211" s="544" t="str">
        <f>_xlfn.CONCAT(_xlfn.XLOOKUP("[S10_AircraftPenalties][10][AircraftID]",Submission!$O:$O,Submission!$H:$N,""))</f>
        <v/>
      </c>
      <c r="D211" s="545"/>
      <c r="E211" s="546"/>
      <c r="F211" s="544" t="str">
        <f>_xlfn.CONCAT(_xlfn.XLOOKUP("[S10_AircraftPenalties][10][OperatorName]",Submission!$O:$O,Submission!$H:$N,""))</f>
        <v/>
      </c>
      <c r="G211" s="545"/>
      <c r="H211" s="545"/>
      <c r="I211" s="546"/>
    </row>
    <row r="212" spans="1:9" ht="15.9" hidden="1" customHeight="1" outlineLevel="1" x14ac:dyDescent="0.3">
      <c r="A212" s="12"/>
      <c r="B212" s="23"/>
      <c r="C212" s="544" t="str">
        <f>_xlfn.CONCAT(_xlfn.XLOOKUP("[S10_AircraftPenalties][11][AircraftID]",Submission!$O:$O,Submission!$H:$N,""))</f>
        <v/>
      </c>
      <c r="D212" s="545"/>
      <c r="E212" s="546"/>
      <c r="F212" s="544" t="str">
        <f>_xlfn.CONCAT(_xlfn.XLOOKUP("[S10_AircraftPenalties][11][OperatorName]",Submission!$O:$O,Submission!$H:$N,""))</f>
        <v/>
      </c>
      <c r="G212" s="545"/>
      <c r="H212" s="545"/>
      <c r="I212" s="546"/>
    </row>
    <row r="213" spans="1:9" ht="15.9" hidden="1" customHeight="1" outlineLevel="1" x14ac:dyDescent="0.3">
      <c r="A213" s="12"/>
      <c r="B213" s="23"/>
      <c r="C213" s="544" t="str">
        <f>_xlfn.CONCAT(_xlfn.XLOOKUP("[S10_AircraftPenalties][12][AircraftID]",Submission!$O:$O,Submission!$H:$N,""))</f>
        <v/>
      </c>
      <c r="D213" s="545"/>
      <c r="E213" s="546"/>
      <c r="F213" s="544" t="str">
        <f>_xlfn.CONCAT(_xlfn.XLOOKUP("[S10_AircraftPenalties][12][OperatorName]",Submission!$O:$O,Submission!$H:$N,""))</f>
        <v/>
      </c>
      <c r="G213" s="545"/>
      <c r="H213" s="545"/>
      <c r="I213" s="546"/>
    </row>
    <row r="214" spans="1:9" ht="15.9" customHeight="1" collapsed="1" x14ac:dyDescent="0.3">
      <c r="A214" s="13"/>
      <c r="B214" s="26" t="s">
        <v>1000</v>
      </c>
      <c r="C214" s="19"/>
    </row>
    <row r="215" spans="1:9" ht="15.9" customHeight="1" x14ac:dyDescent="0.3">
      <c r="A215" s="13"/>
      <c r="B215" s="16"/>
      <c r="C215" s="282" t="s">
        <v>1087</v>
      </c>
      <c r="D215" s="283"/>
      <c r="E215" s="283"/>
      <c r="F215" s="283"/>
      <c r="G215" s="283"/>
      <c r="H215" s="283"/>
      <c r="I215" s="283"/>
    </row>
    <row r="216" spans="1:9" ht="15.9" customHeight="1" x14ac:dyDescent="0.3">
      <c r="A216" s="13"/>
      <c r="B216" s="16"/>
      <c r="C216" s="20"/>
      <c r="D216" s="24"/>
      <c r="E216" s="24"/>
      <c r="F216" s="24"/>
      <c r="G216" s="24"/>
      <c r="H216" s="24"/>
      <c r="I216" s="24"/>
    </row>
    <row r="217" spans="1:9" ht="15.9" customHeight="1" x14ac:dyDescent="0.25">
      <c r="A217" s="12" t="s">
        <v>602</v>
      </c>
      <c r="B217" s="395" t="s">
        <v>1321</v>
      </c>
      <c r="C217" s="396"/>
      <c r="D217" s="396"/>
      <c r="E217" s="396"/>
      <c r="F217" s="396"/>
      <c r="G217" s="396"/>
      <c r="H217" s="396"/>
      <c r="I217" s="396"/>
    </row>
    <row r="218" spans="1:9" ht="32.1" customHeight="1" x14ac:dyDescent="0.3">
      <c r="A218" s="13"/>
      <c r="B218" s="341" t="s">
        <v>1322</v>
      </c>
      <c r="C218" s="311"/>
      <c r="D218" s="311"/>
      <c r="E218" s="311"/>
      <c r="F218" s="311"/>
      <c r="G218" s="311"/>
      <c r="H218" s="311"/>
      <c r="I218" s="311"/>
    </row>
    <row r="219" spans="1:9" ht="31.95" customHeight="1" x14ac:dyDescent="0.3">
      <c r="C219" s="557" t="str">
        <f>_xlfn.CONCAT(_xlfn.XLOOKUP("[OperatingBanRequestMeasures][0][OperatingBanRequestMeasures]",Submission!$O:$O,Submission!$H:$N,""))</f>
        <v>Na operatora statków powietrznych musi zostać nałożona kara pieniężna na mocy ostatecznej decyzji administracyjnej za niedopełnienie obowiązku sporządzenia i przedłożenia do zatwierdzenia planu monitorowania emisji z operacji lotniczych albo uproszczonego planu monitorowania emisji z operacji lotniczych albo z powodu niezłożenia wniosku o zmianę tego planu lub nierozliczenia wielkości emisji. W terminie 30 dni od dnia, w którym decyzja o nałożeniu kary stała się ostateczna, organ Inspekcji Ochrony Środowiska przekazuje ministrowi właściwemu do spraw klimatu informacje o operatorach statków powietrznych, którzy nie dopełnili ww. obowiązków. Po otrzymaniu powyższych informacji i stwierdzeniu, że mimo nałożenia kary ww. obowiązki nie zostały dokonane przez operatora statku powietrznego, minister wł. ds. klimatu zawiadamia danego operatora statku powietrznego o wszczęciu postępowania w sprawie skierowania do Komisji Europejskiej wniosku o nałożenie zakazu prowadzenia przez tego operatora operacji lotniczych. Operator statku powietrznego może w terminie 14 dni od dnia otrzymania zawiadomienia, złożyć ministrowi właściwemu do spraw klimatu wyjaśnienia. Minister właściwy do spraw klimatu po powiadomieniu Rady Ministrów przesyła do Komisji Europejskiej wniosek o nałożenie zakazu prowadzenia przez tego operatora operacji lotniczych. (art. 109 ustawy).</v>
      </c>
      <c r="D219" s="558"/>
      <c r="E219" s="558"/>
      <c r="F219" s="558"/>
      <c r="G219" s="558"/>
      <c r="H219" s="558"/>
      <c r="I219" s="559"/>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I11" sqref="I11"/>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62" t="s">
        <v>607</v>
      </c>
      <c r="C3" s="562"/>
      <c r="D3" s="562"/>
      <c r="E3" s="562"/>
      <c r="F3" s="562"/>
      <c r="G3" s="562"/>
      <c r="H3" s="562"/>
      <c r="I3" s="562"/>
    </row>
    <row r="4" spans="1:11" ht="15.9" customHeight="1" x14ac:dyDescent="0.3">
      <c r="A4" s="8"/>
      <c r="B4" s="286" t="s">
        <v>1323</v>
      </c>
      <c r="C4" s="287"/>
      <c r="D4" s="287"/>
      <c r="E4" s="287"/>
      <c r="F4" s="287"/>
      <c r="G4" s="287"/>
      <c r="H4" s="287"/>
      <c r="I4" s="287"/>
    </row>
    <row r="5" spans="1:11" ht="15.9" customHeight="1" x14ac:dyDescent="0.3">
      <c r="A5" s="12" t="s">
        <v>608</v>
      </c>
      <c r="B5" s="341" t="s">
        <v>1324</v>
      </c>
      <c r="C5" s="311"/>
      <c r="D5" s="311"/>
      <c r="E5" s="311"/>
      <c r="F5" s="311"/>
      <c r="G5" s="311"/>
      <c r="H5" s="311"/>
      <c r="I5" s="311"/>
    </row>
    <row r="6" spans="1:11" ht="48" customHeight="1" x14ac:dyDescent="0.3">
      <c r="C6" s="261" t="str">
        <f>_xlfn.CONCAT(_xlfn.XLOOKUP("[LegalNatureOfEmissionAllowance][0][LegalNatureOfEmissionAllowance]",Submission!$O:$O,Submission!$H:$N,""))</f>
        <v xml:space="preserve">Uprawnienia do emisji mają charakter zbywalnych praw majątkowych przy zachowaniu ich administracyjnoprawnego charakteru. Mogą być przedmiotem zastawu. Na podstawie art. 2 ust. 1 pkt 2 lit. c) i j) ustawy z dnia 29 lipca 2005 r. o obrocie instrumentami finansowymi (Dz. U. z 2022 r., poz. 861, ze zm.), uprawnienia do emisji stanowią instrumenty finansowe niebędące papierami wartościowymi. </v>
      </c>
      <c r="D6" s="372"/>
      <c r="E6" s="372"/>
      <c r="F6" s="372"/>
      <c r="G6" s="372"/>
      <c r="H6" s="372"/>
      <c r="I6" s="262"/>
    </row>
    <row r="7" spans="1:11" ht="22.2" customHeight="1" x14ac:dyDescent="0.3">
      <c r="D7" s="11"/>
    </row>
    <row r="8" spans="1:11" ht="15.9" customHeight="1" x14ac:dyDescent="0.3">
      <c r="A8" s="12" t="s">
        <v>613</v>
      </c>
      <c r="B8" s="341" t="s">
        <v>1325</v>
      </c>
      <c r="C8" s="311"/>
      <c r="D8" s="311"/>
      <c r="E8" s="311"/>
      <c r="F8" s="311"/>
      <c r="G8" s="311"/>
      <c r="H8" s="311"/>
      <c r="I8" s="311"/>
    </row>
    <row r="9" spans="1:11" ht="48" customHeight="1" x14ac:dyDescent="0.3">
      <c r="C9" s="261" t="str">
        <f>_xlfn.CONCAT(_xlfn.XLOOKUP("[AccountingTreatmentOfEmissionAllowances][0][AccountingTreatmentOfEmissionAllowances]",Submission!$O:$O,Submission!$H:$N,""))</f>
        <v xml:space="preserve">Ujęcie przyznanych i nabytych praw do emisji przez prowadzących instalacje i operatorów statków powietrznych. Przyznane i nabyte prawa do emisji spełniają definicję wartości niematerialnych i prawnych. Prawa do emisji ujmuje się w księgach rachunkowych jednostki pod datą ich nabycia w cenie nabycia oraz wykazuje w sprawozdaniu finansowym (bilansie) w oddzielnej pozycji w grupie wartości niematerialnych i prawnych, bez względu na ich przeznaczenie (wykorzystanie na potrzeby własne lub inne rozporządzenie). Dla każdej instalacji prowadzi się odrębną ewidencję ilościowo-wartościową przyznanych i nabytych praw do emisji. Cenę nabycia praw do emisji wylicza się zgodnie z przepisami art. 28 ust. 2 ustawy z dnia 29 września 1994 r. o rachunkowości (Dz.U. z 2021 r., poz. 217, ze zm., dalej: "ustawa o rachunkowości"). W przypadku przyznanych praw do emisji cenę nabycia stanowi iloczyn jednostkowej ceny sprzedaży przyznanego prawa do emisji z dnia ich przyznania oraz liczby przyznanych praw (art. 28 ust. 2 ustawy o rachunkowości, zdanie ostatnie). Przyznane prawa do emisji ujmuje się - zgodnie z przepisami art. 41 ust. 2 w powiązaniu z ust. 1 pkt 2 ustawy o rachunkowości - jako rozliczenia międzyokresowe przychodów, które równolegle do odpisów amortyzacyjnych dokonywanych od tych praw zwiększają stopniowo pozostałe przychody operacyjne. Prawa do emisji, które jednostka zamierza sprzedać, ujmuje się w księgach rachunkowych i wykazuje w sprawozdaniu finansowym (bilansie) łącznie z prawami do emisji przeznaczonymi do wykorzystania na własne potrzeby. W informacji dodatkowej sprawozdania finansowego przedstawia się informacje o posiadanych prawach do emisji w podziale na prawa do emisji wykorzystywane na własne potrzeby oraz prawa do emisji przeznaczone do sprzedaży (z wyodrębnieniem uprawnień do emisji, jednostek poświadczonej redukcji emisji i jednostek redukcji emisji). Zbycie, w tym sprzedaż praw do emisji (zarówno wcześniej przeznaczonych i zakwalifikowanych do zbycia, jak i nie zakwalifikowanych pierwotnie do zbycia) wpływa na wynik finansowy tego okresu sprawozdawczego, w którym prawa te zostały zbyte; wynik sprzedaży wykazuje się odpowiednio jako zysk lub stratę w pozycji pozostałych przychodów/kosztów operacyjnych. Jeżeli ceny nabycia posiadanych praw do emisji są różne, to do wyceny rozchodu z tytułu ich wykorzystania, zwrotu lub innego rozporządzenia, jednostka przyjmuje jedną z metod określonych w art. 34 ust. 4 pkt 1-3 ustawy o rachunkowości tj. metodę cen przeciętnych, ustalonych w wysokości średniej ważonej cen praw do emisji, metodę pierwsze przyszło - pierwsze wyszło (FIFO) lub metodę ostanie przyszło - pierwsze wyszło - (LIFO). Ewentualny odpis z tytułu trwałej utraty wartości praw do emisji, dokonany zgodnie z art. 28 ust. 7 ustawy o rachunkowości, odnosi się w pozostałe koszty operacyjne tego okresu, w którym wystąpiły okoliczności uzasadniające dokonanie takiego odpisu. Ujęcie nabytych praw do emisji u innych jednostek (pośredników). W razie nabycia praw do emisji w celu ich późniejszej odprzedaży prawa te kwalifikuje się do inwestycji - odpowiednio długoterminowych lub krótkoterminowych i wycenia zgodnie z art. 28 ust. 1 pkt 1a lub pkt 5 i art. 35 ustawy o rachunkowości. Zaleca się ujęcie nabytych praw do emisji jako inwestycji krótkoterminowych i ich wycenę w cenie nabycia lub cenie rynkowej zależnie od tego, która z nich jest niższa. W razie znaczących różnic między wyceną praw do emisji w cenach ich nabycia i cenach rynkowych w informacji dodatkowej sprawozdania finansowego przedstawia się dane o tych prawach w wartościach rynkowych. </v>
      </c>
      <c r="D9" s="356"/>
      <c r="E9" s="356"/>
      <c r="F9" s="356"/>
      <c r="G9" s="356"/>
      <c r="H9" s="356"/>
      <c r="I9" s="263"/>
    </row>
    <row r="10" spans="1:11" ht="24.6" customHeight="1" x14ac:dyDescent="0.3">
      <c r="D10" s="11"/>
    </row>
    <row r="11" spans="1:11" ht="18" customHeight="1" x14ac:dyDescent="0.3">
      <c r="A11" s="12" t="s">
        <v>616</v>
      </c>
      <c r="B11" s="341" t="s">
        <v>1326</v>
      </c>
      <c r="C11" s="311"/>
      <c r="D11" s="311"/>
      <c r="E11" s="311"/>
      <c r="F11" s="311"/>
      <c r="G11" s="311"/>
      <c r="H11" s="348"/>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341" t="s">
        <v>1327</v>
      </c>
      <c r="C13" s="311"/>
      <c r="D13" s="311"/>
      <c r="E13" s="311"/>
      <c r="F13" s="311"/>
      <c r="G13" s="311"/>
      <c r="H13" s="348"/>
      <c r="I13" s="41" t="str">
        <f>_xlfn.CONCAT(_xlfn.XLOOKUP("[ReverseChargeMechanismEmissionAllowances][0][ReverseChargeMechanismEmissionAllowances]",Submission!$O:$O,Submission!$H:$N,""))</f>
        <v>No</v>
      </c>
    </row>
    <row r="14" spans="1:11" ht="31.2" customHeight="1" x14ac:dyDescent="0.3"/>
    <row r="15" spans="1:11" ht="18" customHeight="1" x14ac:dyDescent="0.3">
      <c r="A15" s="12" t="s">
        <v>620</v>
      </c>
      <c r="B15" s="341" t="s">
        <v>1328</v>
      </c>
      <c r="C15" s="311"/>
      <c r="D15" s="311"/>
      <c r="E15" s="311"/>
      <c r="F15" s="311"/>
      <c r="G15" s="311"/>
      <c r="H15" s="348"/>
      <c r="I15" s="41" t="str">
        <f>_xlfn.CONCAT(_xlfn.XLOOKUP("[EmissionAllowancesTaxed][0][EmissionAllowancesTaxed]",Submission!$O:$O,Submission!$H:$N,""))</f>
        <v>Yes</v>
      </c>
    </row>
    <row r="16" spans="1:11" ht="18" customHeight="1" x14ac:dyDescent="0.3">
      <c r="A16" s="13"/>
      <c r="B16" s="341" t="s">
        <v>1329</v>
      </c>
      <c r="C16" s="311"/>
      <c r="D16" s="311"/>
      <c r="E16" s="311"/>
      <c r="F16" s="311"/>
      <c r="G16" s="311"/>
      <c r="H16" s="311"/>
      <c r="I16" s="311"/>
    </row>
    <row r="17" spans="2:9" ht="15.9" customHeight="1" x14ac:dyDescent="0.3">
      <c r="C17" s="320" t="s">
        <v>1330</v>
      </c>
      <c r="D17" s="373"/>
      <c r="E17" s="373"/>
      <c r="F17" s="321"/>
      <c r="G17" s="320" t="s">
        <v>1331</v>
      </c>
      <c r="H17" s="373"/>
      <c r="I17" s="321"/>
    </row>
    <row r="18" spans="2:9" ht="15.9" customHeight="1" x14ac:dyDescent="0.3">
      <c r="C18" s="261" t="str">
        <f>_xlfn.CONCAT(_xlfn.XLOOKUP("[S11_TypeOfTaxRatesApplied][1][TypeOfTax]",Submission!$O:$O,Submission!$H:$N,""))</f>
        <v>VAT</v>
      </c>
      <c r="D18" s="356"/>
      <c r="E18" s="356"/>
      <c r="F18" s="263"/>
      <c r="G18" s="261" t="str">
        <f>_xlfn.CONCAT(_xlfn.XLOOKUP("[S11_TypeOfTaxRatesApplied][1][TaxRateApplied]",Submission!$O:$O,Submission!$H:$N,""))</f>
        <v>0.23</v>
      </c>
      <c r="H18" s="356"/>
      <c r="I18" s="263"/>
    </row>
    <row r="19" spans="2:9" ht="15.9" customHeight="1" x14ac:dyDescent="0.3">
      <c r="C19" s="261" t="str">
        <f>_xlfn.CONCAT(_xlfn.XLOOKUP("[S11_TypeOfTaxRatesApplied][2][TypeOfTax]",Submission!$O:$O,Submission!$H:$N,""))</f>
        <v/>
      </c>
      <c r="D19" s="356"/>
      <c r="E19" s="356"/>
      <c r="F19" s="263"/>
      <c r="G19" s="261" t="str">
        <f>_xlfn.CONCAT(_xlfn.XLOOKUP("[S11_TypeOfTaxRatesApplied][2][TaxRateApplied]",Submission!$O:$O,Submission!$H:$N,""))</f>
        <v/>
      </c>
      <c r="H19" s="356"/>
      <c r="I19" s="263"/>
    </row>
    <row r="20" spans="2:9" ht="15.9" hidden="1" customHeight="1" outlineLevel="1" x14ac:dyDescent="0.3">
      <c r="C20" s="261" t="str">
        <f>_xlfn.CONCAT(_xlfn.XLOOKUP("[S11_TypeOfTaxRatesApplied][3][TypeOfTax]",Submission!$O:$O,Submission!$H:$N,""))</f>
        <v/>
      </c>
      <c r="D20" s="356"/>
      <c r="E20" s="356"/>
      <c r="F20" s="263"/>
      <c r="G20" s="261" t="str">
        <f>_xlfn.CONCAT(_xlfn.XLOOKUP("[S11_TypeOfTaxRatesApplied][3][TaxRateApplied]",Submission!$O:$O,Submission!$H:$N,""))</f>
        <v/>
      </c>
      <c r="H20" s="356"/>
      <c r="I20" s="263"/>
    </row>
    <row r="21" spans="2:9" ht="15.9" hidden="1" customHeight="1" outlineLevel="1" x14ac:dyDescent="0.3">
      <c r="C21" s="261" t="str">
        <f>_xlfn.CONCAT(_xlfn.XLOOKUP("[S11_TypeOfTaxRatesApplied][4][TypeOfTax]",Submission!$O:$O,Submission!$H:$N,""))</f>
        <v/>
      </c>
      <c r="D21" s="356"/>
      <c r="E21" s="356"/>
      <c r="F21" s="263"/>
      <c r="G21" s="261" t="str">
        <f>_xlfn.CONCAT(_xlfn.XLOOKUP("[S11_TypeOfTaxRatesApplied][4][TaxRateApplied]",Submission!$O:$O,Submission!$H:$N,""))</f>
        <v/>
      </c>
      <c r="H21" s="356"/>
      <c r="I21" s="263"/>
    </row>
    <row r="22" spans="2:9" ht="15.9" hidden="1" customHeight="1" outlineLevel="1" x14ac:dyDescent="0.3">
      <c r="C22" s="261" t="str">
        <f>_xlfn.CONCAT(_xlfn.XLOOKUP("[S11_TypeOfTaxRatesApplied][5][TypeOfTax]",Submission!$O:$O,Submission!$H:$N,""))</f>
        <v/>
      </c>
      <c r="D22" s="356"/>
      <c r="E22" s="356"/>
      <c r="F22" s="263"/>
      <c r="G22" s="261" t="str">
        <f>_xlfn.CONCAT(_xlfn.XLOOKUP("[S11_TypeOfTaxRatesApplied][5][TaxRateApplied]",Submission!$O:$O,Submission!$H:$N,""))</f>
        <v/>
      </c>
      <c r="H22" s="356"/>
      <c r="I22" s="263"/>
    </row>
    <row r="23" spans="2:9" ht="15.9" hidden="1" customHeight="1" outlineLevel="1" x14ac:dyDescent="0.3">
      <c r="C23" s="261" t="str">
        <f>_xlfn.CONCAT(_xlfn.XLOOKUP("[S11_TypeOfTaxRatesApplied][6][TypeOfTax]",Submission!$O:$O,Submission!$H:$N,""))</f>
        <v/>
      </c>
      <c r="D23" s="356"/>
      <c r="E23" s="356"/>
      <c r="F23" s="263"/>
      <c r="G23" s="261" t="str">
        <f>_xlfn.CONCAT(_xlfn.XLOOKUP("[S11_TypeOfTaxRatesApplied][6][TaxRateApplied]",Submission!$O:$O,Submission!$H:$N,""))</f>
        <v/>
      </c>
      <c r="H23" s="356"/>
      <c r="I23" s="263"/>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12" t="s">
        <v>624</v>
      </c>
      <c r="C3" s="312"/>
      <c r="D3" s="312"/>
      <c r="E3" s="312"/>
      <c r="F3" s="312"/>
      <c r="G3" s="312"/>
      <c r="H3" s="312"/>
      <c r="I3" s="312"/>
    </row>
    <row r="4" spans="1:9" ht="15.9" customHeight="1" x14ac:dyDescent="0.3">
      <c r="A4" s="12" t="s">
        <v>625</v>
      </c>
      <c r="B4" s="286" t="s">
        <v>1332</v>
      </c>
      <c r="C4" s="287"/>
      <c r="D4" s="287"/>
      <c r="E4" s="287"/>
      <c r="F4" s="287"/>
      <c r="G4" s="287"/>
      <c r="H4" s="287"/>
      <c r="I4" s="287"/>
    </row>
    <row r="5" spans="1:9" ht="18.600000000000001" customHeight="1" x14ac:dyDescent="0.3">
      <c r="B5" s="341" t="s">
        <v>1333</v>
      </c>
      <c r="C5" s="311"/>
      <c r="D5" s="311"/>
      <c r="E5" s="311"/>
      <c r="F5" s="311"/>
      <c r="G5" s="311"/>
      <c r="H5" s="311"/>
      <c r="I5" s="311"/>
    </row>
    <row r="6" spans="1:9" ht="15.9" customHeight="1" x14ac:dyDescent="0.3">
      <c r="C6" s="317" t="s">
        <v>1334</v>
      </c>
      <c r="D6" s="318"/>
      <c r="E6" s="318"/>
      <c r="F6" s="319"/>
      <c r="G6" s="317" t="s">
        <v>1335</v>
      </c>
      <c r="H6" s="318"/>
      <c r="I6" s="319"/>
    </row>
    <row r="7" spans="1:9" ht="45" customHeight="1" x14ac:dyDescent="0.3">
      <c r="C7" s="249" t="s">
        <v>1336</v>
      </c>
      <c r="D7" s="260"/>
      <c r="E7" s="260"/>
      <c r="F7" s="250"/>
      <c r="G7" s="261" t="str">
        <f>_xlfn.CONCAT(_xlfn.XLOOKUP("[S12_FraudFreeAllocationOfAllowances][1][DetailsOfProceduresInNationalLaw]",Submission!$O:$O,Submission!$H:$N,""))</f>
        <v>Nie ma regulacji o charakterze szczególnym. Obowiązują zasady określone w ustawie z dnia 6 czerwca 1997 r. Kodeks postępowania karnego (t.j. Dz. U. z 2021 r. poz. 534, ze zm., dalej: „kpk”). Zgodnie z art. 303 kpk w przypadku uzasadnionego podejrzenia popełnienia przestępstwa, właściwy organ ścigania wydaje z urzędu lub na skutek zawiadomienia o przestępstwie postanowienie o wszczęciu śledztwa. Z kolei zgodnie z art. 304 ust. 1 kpk każdy, dowiedziawszy się o popełnieniu przestępstwa ściganego z urzędu, ma społeczny obowiązek zawiadomić o tym prokuratora lub Policję.</v>
      </c>
      <c r="H7" s="356"/>
      <c r="I7" s="263"/>
    </row>
    <row r="8" spans="1:9" ht="45" customHeight="1" x14ac:dyDescent="0.3">
      <c r="C8" s="249" t="s">
        <v>1337</v>
      </c>
      <c r="D8" s="260"/>
      <c r="E8" s="260"/>
      <c r="F8" s="250"/>
      <c r="G8" s="261" t="str">
        <f>_xlfn.CONCAT(_xlfn.XLOOKUP("[S12_FraudFreeAllocationOfAllowances][2][DetailsOfProceduresInNationalLaw]",Submission!$O:$O,Submission!$H:$N,""))</f>
        <v>Tak.</v>
      </c>
      <c r="H8" s="356"/>
      <c r="I8" s="263"/>
    </row>
    <row r="9" spans="1:9" ht="45" customHeight="1" x14ac:dyDescent="0.3">
      <c r="C9" s="249" t="s">
        <v>1338</v>
      </c>
      <c r="D9" s="260"/>
      <c r="E9" s="260"/>
      <c r="F9" s="250"/>
      <c r="G9" s="261" t="str">
        <f>_xlfn.CONCAT(_xlfn.XLOOKUP("[S12_FraudFreeAllocationOfAllowances][3][DetailsOfProceduresInNationalLaw]",Submission!$O:$O,Submission!$H:$N,""))</f>
        <v>Zastosowanie znajdują ogólne przepisy Kodeksu postępowania karnego dotyczące ścigania oszustw. Śledztwo prowadzi prokurator. Prokurator może powierzyć Policji przeprowadzenie śledztwa w całości lub w określonym zakresie albo dokonanie poszczególnych czynności śledztwa. (art. 311 § 1 i 2 kpk). W przypadku, jeżeli wartość przedmiotu przestępstwa albo szkoda wyrządzona lub grożąca nie przekracza 200 000 zł, dochodzenie prowadzone jest przez Policję lub organy, którym przysługują uprawnienia Policji tj. organy Straży Granicznej, Agencji Bezpieczeństwa Wewnętrznego, Krajowej Administracji Skarbowej, Centralnego Biura Antykorupcyjnego oraz Żandarmerii Wojskowej, w zakresie ich właściwości lub inne organy przewidziane w przepisach szczególnych. Dochodzenie może prowadzić także prokurator. (art. 325a i 325b kpk)</v>
      </c>
      <c r="H9" s="356"/>
      <c r="I9" s="263"/>
    </row>
    <row r="10" spans="1:9" ht="45" customHeight="1" x14ac:dyDescent="0.3">
      <c r="C10" s="249" t="s">
        <v>1339</v>
      </c>
      <c r="D10" s="260"/>
      <c r="E10" s="260"/>
      <c r="F10" s="250"/>
      <c r="G10" s="261" t="str">
        <f>_xlfn.CONCAT(_xlfn.XLOOKUP("[S12_FraudFreeAllocationOfAllowances][4][DetailsOfProceduresInNationalLaw]",Submission!$O:$O,Submission!$H:$N,""))</f>
        <v>Tak.</v>
      </c>
      <c r="H10" s="356"/>
      <c r="I10" s="263"/>
    </row>
    <row r="11" spans="1:9" ht="45" customHeight="1" x14ac:dyDescent="0.3">
      <c r="C11" s="249" t="s">
        <v>1340</v>
      </c>
      <c r="D11" s="260"/>
      <c r="E11" s="260"/>
      <c r="F11" s="250"/>
      <c r="G11" s="261" t="str">
        <f>_xlfn.CONCAT(_xlfn.XLOOKUP("[S12_FraudFreeAllocationOfAllowances][5][DetailsOfProceduresInNationalLaw]",Submission!$O:$O,Submission!$H:$N,""))</f>
        <v>Tak.</v>
      </c>
      <c r="H11" s="356"/>
      <c r="I11" s="263"/>
    </row>
    <row r="12" spans="1:9" ht="45" customHeight="1" x14ac:dyDescent="0.3">
      <c r="C12" s="249" t="s">
        <v>1341</v>
      </c>
      <c r="D12" s="260"/>
      <c r="E12" s="260"/>
      <c r="F12" s="250"/>
      <c r="G12" s="261" t="str">
        <f>_xlfn.CONCAT(_xlfn.XLOOKUP("[S12_FraudFreeAllocationOfAllowances][6][DetailsOfProceduresInNationalLaw]",Submission!$O:$O,Submission!$H:$N,""))</f>
        <v>Oszustwo jest występkiem stypizowanym w art. 286 ustawy z dnia 6 czerwca 1997 r. Kodeks karny (t.j. Dz. U. z 2021 r. poz. 534, ze zm.). Zgodnie z § 1 wskazanego przepisu, kto, w celu osiągnięcia korzyści majątkowej, doprowadza inną osobę do niekorzystnego rozporządzenia własnym lub cudzym mieniem za pomocą wprowadzenia jej w błąd albo wyzyskania błędu lub niezdolności do należytego pojmowania przedsiębranego działania, podlega karze pozbawienia wolności od 6 miesięcy do lat 8. Zgodnie z § 3. w wypadku mniejszej wagi sprawca podlega grzywnie, karze ograniczenia wolności albo pozbawienia wolności do lat 2. W myśl art. 33 § 1 i § 2 Kodeksu karnego grzywnę wymierza się w stawkach dziennych, określając liczbę stawek oraz wysokość jednej stawki, najniższa liczba stawek wynosi 10, zaś najwyższa 540. Grzywnę można wymierzyć obok kary pozbawienia wolności, jeżeli sprawca dopuścił się czynu w celu osiągnięcia korzyści majątkowej lub gdy korzyść majątkową osiągnął. Karę pozbawienia wolność wymierza się w miesiącach i latach (art. 37 Kodeksu karnego).</v>
      </c>
      <c r="H12" s="356"/>
      <c r="I12" s="263"/>
    </row>
    <row r="13" spans="1:9" ht="15.9" customHeight="1" x14ac:dyDescent="0.3">
      <c r="D13" s="11"/>
    </row>
    <row r="14" spans="1:9" ht="15.9" customHeight="1" x14ac:dyDescent="0.3">
      <c r="A14" s="12" t="s">
        <v>633</v>
      </c>
      <c r="B14" s="564" t="s">
        <v>1342</v>
      </c>
      <c r="C14" s="565"/>
      <c r="D14" s="565"/>
      <c r="E14" s="565"/>
      <c r="F14" s="565"/>
      <c r="G14" s="565"/>
      <c r="H14" s="565"/>
      <c r="I14" s="565"/>
    </row>
    <row r="15" spans="1:9" ht="32.1" customHeight="1" x14ac:dyDescent="0.3">
      <c r="B15" s="341" t="s">
        <v>1343</v>
      </c>
      <c r="C15" s="311"/>
      <c r="D15" s="311"/>
      <c r="E15" s="311"/>
      <c r="F15" s="311"/>
      <c r="G15" s="311"/>
      <c r="H15" s="311"/>
      <c r="I15" s="311"/>
    </row>
    <row r="16" spans="1:9" ht="15.9" customHeight="1" x14ac:dyDescent="0.3">
      <c r="C16" s="317" t="s">
        <v>1344</v>
      </c>
      <c r="D16" s="318"/>
      <c r="E16" s="318"/>
      <c r="F16" s="319"/>
      <c r="G16" s="317" t="s">
        <v>1345</v>
      </c>
      <c r="H16" s="318"/>
      <c r="I16" s="319"/>
    </row>
    <row r="17" spans="1:9" ht="42.6" customHeight="1" x14ac:dyDescent="0.3">
      <c r="C17" s="249" t="s">
        <v>1346</v>
      </c>
      <c r="D17" s="260"/>
      <c r="E17" s="260"/>
      <c r="F17" s="250"/>
      <c r="G17" s="261" t="str">
        <f>_xlfn.CONCAT(_xlfn.XLOOKUP("[S12_CompetentAuthoritiesAwareOfFraud][1][DetailsOfArrangementsAndProcedures]",Submission!$O:$O,Submission!$H:$N,""))</f>
        <v>Nie, brak procedur w tym zakresie.</v>
      </c>
      <c r="H17" s="356"/>
      <c r="I17" s="263"/>
    </row>
    <row r="18" spans="1:9" ht="40.200000000000003" customHeight="1" x14ac:dyDescent="0.3">
      <c r="C18" s="249" t="s">
        <v>1347</v>
      </c>
      <c r="D18" s="260"/>
      <c r="E18" s="260"/>
      <c r="F18" s="250"/>
      <c r="G18" s="261" t="str">
        <f>_xlfn.CONCAT(_xlfn.XLOOKUP("[S12_CompetentAuthoritiesAwareOfFraud][2][DetailsOfArrangementsAndProcedures]",Submission!$O:$O,Submission!$H:$N,""))</f>
        <v>Nie, brak procedur w tym zakresie.</v>
      </c>
      <c r="H18" s="356"/>
      <c r="I18" s="263"/>
    </row>
    <row r="19" spans="1:9" ht="40.200000000000003" customHeight="1" x14ac:dyDescent="0.3">
      <c r="C19" s="249" t="s">
        <v>1348</v>
      </c>
      <c r="D19" s="260"/>
      <c r="E19" s="260"/>
      <c r="F19" s="250"/>
      <c r="G19" s="261" t="str">
        <f>_xlfn.CONCAT(_xlfn.XLOOKUP("[S12_CompetentAuthoritiesAwareOfFraud][3][DetailsOfArrangementsAndProcedures]",Submission!$O:$O,Submission!$H:$N,""))</f>
        <v>Nie, brak procedur w tym zakresie.</v>
      </c>
      <c r="H19" s="356"/>
      <c r="I19" s="263"/>
    </row>
    <row r="20" spans="1:9" ht="40.200000000000003" customHeight="1" x14ac:dyDescent="0.3">
      <c r="C20" s="249" t="s">
        <v>1349</v>
      </c>
      <c r="D20" s="260"/>
      <c r="E20" s="260"/>
      <c r="F20" s="250"/>
      <c r="G20" s="261" t="str">
        <f>_xlfn.CONCAT(_xlfn.XLOOKUP("[S12_CompetentAuthoritiesAwareOfFraud][4][DetailsOfArrangementsAndProcedures]",Submission!$O:$O,Submission!$H:$N,""))</f>
        <v>Nie, brak procedur w tym zakresie.</v>
      </c>
      <c r="H20" s="356"/>
      <c r="I20" s="263"/>
    </row>
    <row r="21" spans="1:9" ht="15.9" customHeight="1" x14ac:dyDescent="0.3">
      <c r="D21" s="11"/>
    </row>
    <row r="22" spans="1:9" ht="32.1" customHeight="1" x14ac:dyDescent="0.3">
      <c r="A22" s="12" t="s">
        <v>637</v>
      </c>
      <c r="B22" s="341" t="s">
        <v>1350</v>
      </c>
      <c r="C22" s="311"/>
      <c r="D22" s="311"/>
      <c r="E22" s="311"/>
      <c r="F22" s="311"/>
      <c r="G22" s="311"/>
      <c r="H22" s="311"/>
      <c r="I22" s="311"/>
    </row>
    <row r="23" spans="1:9" ht="17.399999999999999" customHeight="1" x14ac:dyDescent="0.3">
      <c r="B23" s="15" t="s">
        <v>8</v>
      </c>
      <c r="C23" s="414" t="s">
        <v>1351</v>
      </c>
      <c r="D23" s="279"/>
      <c r="E23" s="279"/>
      <c r="F23" s="279"/>
      <c r="G23" s="279"/>
      <c r="H23" s="279"/>
      <c r="I23" s="279"/>
    </row>
    <row r="24" spans="1:9" ht="17.399999999999999" customHeight="1" x14ac:dyDescent="0.3">
      <c r="B24" s="15" t="s">
        <v>8</v>
      </c>
      <c r="C24" s="414" t="s">
        <v>1352</v>
      </c>
      <c r="D24" s="279"/>
      <c r="E24" s="279"/>
      <c r="F24" s="279"/>
      <c r="G24" s="279"/>
      <c r="H24" s="279"/>
      <c r="I24" s="279"/>
    </row>
    <row r="25" spans="1:9" ht="17.399999999999999" customHeight="1" x14ac:dyDescent="0.3">
      <c r="B25" s="15" t="s">
        <v>8</v>
      </c>
      <c r="C25" s="414" t="s">
        <v>1353</v>
      </c>
      <c r="D25" s="279"/>
      <c r="E25" s="279"/>
      <c r="F25" s="279"/>
      <c r="G25" s="279"/>
      <c r="H25" s="279"/>
      <c r="I25" s="279"/>
    </row>
    <row r="26" spans="1:9" ht="17.399999999999999" customHeight="1" x14ac:dyDescent="0.3">
      <c r="B26" s="15" t="s">
        <v>8</v>
      </c>
      <c r="C26" s="415" t="s">
        <v>1354</v>
      </c>
      <c r="D26" s="563"/>
      <c r="E26" s="563"/>
      <c r="F26" s="563"/>
      <c r="G26" s="563"/>
      <c r="H26" s="563"/>
      <c r="I26" s="563"/>
    </row>
    <row r="27" spans="1:9" ht="15.9" customHeight="1" x14ac:dyDescent="0.3">
      <c r="C27" s="320" t="s">
        <v>1355</v>
      </c>
      <c r="D27" s="373"/>
      <c r="E27" s="373"/>
      <c r="F27" s="373"/>
      <c r="G27" s="321"/>
      <c r="H27" s="320" t="s">
        <v>726</v>
      </c>
      <c r="I27" s="321"/>
    </row>
    <row r="28" spans="1:9" ht="20.399999999999999" customHeight="1" x14ac:dyDescent="0.3">
      <c r="C28" s="249" t="s">
        <v>1356</v>
      </c>
      <c r="D28" s="260"/>
      <c r="E28" s="260"/>
      <c r="F28" s="260"/>
      <c r="G28" s="250"/>
      <c r="H28" s="354" t="str">
        <f>_xlfn.CONCAT(_xlfn.XLOOKUP("[S12_InformationOnFraudActivities][1][NumberOfActivities]",Submission!$O:$O,Submission!$H:$N,""))</f>
        <v/>
      </c>
      <c r="I28" s="355"/>
    </row>
    <row r="29" spans="1:9" ht="20.399999999999999" customHeight="1" x14ac:dyDescent="0.3">
      <c r="C29" s="249" t="s">
        <v>1357</v>
      </c>
      <c r="D29" s="260"/>
      <c r="E29" s="260"/>
      <c r="F29" s="260"/>
      <c r="G29" s="250"/>
      <c r="H29" s="354" t="str">
        <f>_xlfn.CONCAT(_xlfn.XLOOKUP("[S12_InformationOnFraudActivities][2][NumberOfActivities]",Submission!$O:$O,Submission!$H:$N,""))</f>
        <v/>
      </c>
      <c r="I29" s="355"/>
    </row>
    <row r="30" spans="1:9" ht="20.399999999999999" customHeight="1" x14ac:dyDescent="0.3">
      <c r="C30" s="249" t="s">
        <v>1358</v>
      </c>
      <c r="D30" s="260"/>
      <c r="E30" s="260"/>
      <c r="F30" s="260"/>
      <c r="G30" s="250"/>
      <c r="H30" s="354" t="str">
        <f>_xlfn.CONCAT(_xlfn.XLOOKUP("[S12_InformationOnFraudActivities][3][NumberOfActivities]",Submission!$O:$O,Submission!$H:$N,""))</f>
        <v/>
      </c>
      <c r="I30" s="355"/>
    </row>
    <row r="31" spans="1:9" ht="20.399999999999999" customHeight="1" x14ac:dyDescent="0.3">
      <c r="C31" s="249" t="s">
        <v>1359</v>
      </c>
      <c r="D31" s="260"/>
      <c r="E31" s="260"/>
      <c r="F31" s="260"/>
      <c r="G31" s="250"/>
      <c r="H31" s="354" t="str">
        <f>_xlfn.CONCAT(_xlfn.XLOOKUP("[S12_InformationOnFraudActivities][4][NumberOfActivities]",Submission!$O:$O,Submission!$H:$N,""))</f>
        <v/>
      </c>
      <c r="I31" s="355"/>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E54" sqref="E54:I54"/>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12" t="s">
        <v>641</v>
      </c>
      <c r="C3" s="312"/>
      <c r="D3" s="312"/>
      <c r="E3" s="312"/>
      <c r="F3" s="312"/>
      <c r="G3" s="312"/>
      <c r="H3" s="312"/>
      <c r="I3" s="312"/>
    </row>
    <row r="4" spans="1:9" ht="24.6" customHeight="1" x14ac:dyDescent="0.3">
      <c r="A4" s="12" t="s">
        <v>642</v>
      </c>
      <c r="B4" s="566" t="s">
        <v>1360</v>
      </c>
      <c r="C4" s="567"/>
      <c r="D4" s="567"/>
      <c r="E4" s="567"/>
      <c r="F4" s="567"/>
      <c r="G4" s="567"/>
      <c r="H4" s="567"/>
      <c r="I4" s="567"/>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6" t="str">
        <f>_xlfn.CONCAT(_xlfn.XLOOKUP("[S13_AnyOtherIssues][1][OtherInformationOrIssues]",Submission!$O:$O,Submission!$H:$N,""))</f>
        <v/>
      </c>
      <c r="F7" s="356"/>
      <c r="G7" s="356"/>
      <c r="H7" s="356"/>
      <c r="I7" s="263"/>
    </row>
    <row r="8" spans="1:9" ht="27" customHeight="1" x14ac:dyDescent="0.3">
      <c r="C8" s="96" t="s">
        <v>1365</v>
      </c>
      <c r="D8" s="160"/>
      <c r="E8" s="356" t="str">
        <f>_xlfn.CONCAT(_xlfn.XLOOKUP("[S13_AnyOtherIssues][2][OtherInformationOrIssues]",Submission!$O:$O,Submission!$H:$N,""))</f>
        <v/>
      </c>
      <c r="F8" s="356"/>
      <c r="G8" s="356"/>
      <c r="H8" s="356"/>
      <c r="I8" s="263"/>
    </row>
    <row r="9" spans="1:9" ht="27" customHeight="1" x14ac:dyDescent="0.3">
      <c r="C9" s="568" t="s">
        <v>1366</v>
      </c>
      <c r="D9" s="161" t="str">
        <f>_xlfn.CONCAT(_xlfn.XLOOKUP("[S13_AnyOtherIssues][3][QuestionnaireSubQuestion]",Submission!$O:$O,Submission!$H:$N,""))</f>
        <v/>
      </c>
      <c r="E9" s="356" t="str">
        <f>_xlfn.CONCAT(_xlfn.XLOOKUP("[S13_AnyOtherIssues][3][OtherInformationOrIssues]",Submission!$O:$O,Submission!$H:$N,""))</f>
        <v/>
      </c>
      <c r="F9" s="356"/>
      <c r="G9" s="356"/>
      <c r="H9" s="356"/>
      <c r="I9" s="263"/>
    </row>
    <row r="10" spans="1:9" ht="27" customHeight="1" x14ac:dyDescent="0.3">
      <c r="C10" s="569"/>
      <c r="D10" s="161" t="str">
        <f>_xlfn.CONCAT(_xlfn.XLOOKUP("[S13_AnyOtherIssues][4][QuestionnaireSubQuestion]",Submission!$O:$O,Submission!$H:$N,""))</f>
        <v/>
      </c>
      <c r="E10" s="356" t="str">
        <f>_xlfn.CONCAT(_xlfn.XLOOKUP("[S13_AnyOtherIssues][4][OtherInformationOrIssues]",Submission!$O:$O,Submission!$H:$N,""))</f>
        <v/>
      </c>
      <c r="F10" s="356"/>
      <c r="G10" s="356"/>
      <c r="H10" s="356"/>
      <c r="I10" s="263"/>
    </row>
    <row r="11" spans="1:9" ht="27" hidden="1" customHeight="1" outlineLevel="1" x14ac:dyDescent="0.3">
      <c r="C11" s="569"/>
      <c r="D11" s="161" t="str">
        <f>_xlfn.CONCAT(_xlfn.XLOOKUP("[S13_AnyOtherIssues][5][QuestionnaireSubQuestion]",Submission!$O:$O,Submission!$H:$N,""))</f>
        <v/>
      </c>
      <c r="E11" s="356" t="str">
        <f>_xlfn.CONCAT(_xlfn.XLOOKUP("[S13_AnyOtherIssues][5][OtherInformationOrIssues]",Submission!$O:$O,Submission!$H:$N,""))</f>
        <v/>
      </c>
      <c r="F11" s="356"/>
      <c r="G11" s="356"/>
      <c r="H11" s="356"/>
      <c r="I11" s="263"/>
    </row>
    <row r="12" spans="1:9" ht="27" hidden="1" customHeight="1" outlineLevel="1" x14ac:dyDescent="0.3">
      <c r="C12" s="570"/>
      <c r="D12" s="161" t="str">
        <f>_xlfn.CONCAT(_xlfn.XLOOKUP("[S13_AnyOtherIssues][6][QuestionnaireSubQuestion]",Submission!$O:$O,Submission!$H:$N,""))</f>
        <v/>
      </c>
      <c r="E12" s="356" t="str">
        <f>_xlfn.CONCAT(_xlfn.XLOOKUP("[S13_AnyOtherIssues][6][OtherInformationOrIssues]",Submission!$O:$O,Submission!$H:$N,""))</f>
        <v/>
      </c>
      <c r="F12" s="356"/>
      <c r="G12" s="356"/>
      <c r="H12" s="356"/>
      <c r="I12" s="263"/>
    </row>
    <row r="13" spans="1:9" ht="27" customHeight="1" collapsed="1" x14ac:dyDescent="0.3">
      <c r="C13" s="568" t="s">
        <v>1367</v>
      </c>
      <c r="D13" s="161" t="str">
        <f>_xlfn.CONCAT(_xlfn.XLOOKUP("[S13_AnyOtherIssues][7][QuestionnaireSubQuestion]",Submission!$O:$O,Submission!$H:$N,""))</f>
        <v/>
      </c>
      <c r="E13" s="356" t="str">
        <f>_xlfn.CONCAT(_xlfn.XLOOKUP("[S13_AnyOtherIssues][7][OtherInformationOrIssues]",Submission!$O:$O,Submission!$H:$N,""))</f>
        <v/>
      </c>
      <c r="F13" s="356"/>
      <c r="G13" s="356"/>
      <c r="H13" s="356"/>
      <c r="I13" s="263"/>
    </row>
    <row r="14" spans="1:9" ht="27" customHeight="1" x14ac:dyDescent="0.3">
      <c r="C14" s="569"/>
      <c r="D14" s="161" t="str">
        <f>_xlfn.CONCAT(_xlfn.XLOOKUP("[S13_AnyOtherIssues][8][QuestionnaireSubQuestion]",Submission!$O:$O,Submission!$H:$N,""))</f>
        <v/>
      </c>
      <c r="E14" s="356" t="str">
        <f>_xlfn.CONCAT(_xlfn.XLOOKUP("[S13_AnyOtherIssues][8][OtherInformationOrIssues]",Submission!$O:$O,Submission!$H:$N,""))</f>
        <v/>
      </c>
      <c r="F14" s="356"/>
      <c r="G14" s="356"/>
      <c r="H14" s="356"/>
      <c r="I14" s="263"/>
    </row>
    <row r="15" spans="1:9" ht="27" hidden="1" customHeight="1" outlineLevel="1" x14ac:dyDescent="0.3">
      <c r="C15" s="570"/>
      <c r="D15" s="161" t="str">
        <f>_xlfn.CONCAT(_xlfn.XLOOKUP("[S13_AnyOtherIssues][9][QuestionnaireSubQuestion]",Submission!$O:$O,Submission!$H:$N,""))</f>
        <v/>
      </c>
      <c r="E15" s="356" t="str">
        <f>_xlfn.CONCAT(_xlfn.XLOOKUP("[S13_AnyOtherIssues][9][OtherInformationOrIssues]",Submission!$O:$O,Submission!$H:$N,""))</f>
        <v/>
      </c>
      <c r="F15" s="356"/>
      <c r="G15" s="356"/>
      <c r="H15" s="356"/>
      <c r="I15" s="263"/>
    </row>
    <row r="16" spans="1:9" ht="27" customHeight="1" collapsed="1" x14ac:dyDescent="0.3">
      <c r="C16" s="568" t="s">
        <v>1368</v>
      </c>
      <c r="D16" s="161" t="str">
        <f>_xlfn.CONCAT(_xlfn.XLOOKUP("[S13_AnyOtherIssues][10][QuestionnaireSubQuestion]",Submission!$O:$O,Submission!$H:$N,""))</f>
        <v/>
      </c>
      <c r="E16" s="356" t="str">
        <f>_xlfn.CONCAT(_xlfn.XLOOKUP("[S13_AnyOtherIssues][10][OtherInformationOrIssues]",Submission!$O:$O,Submission!$H:$N,""))</f>
        <v/>
      </c>
      <c r="F16" s="356"/>
      <c r="G16" s="356"/>
      <c r="H16" s="356"/>
      <c r="I16" s="263"/>
    </row>
    <row r="17" spans="3:11" ht="27" customHeight="1" x14ac:dyDescent="0.3">
      <c r="C17" s="570"/>
      <c r="D17" s="161" t="str">
        <f>_xlfn.CONCAT(_xlfn.XLOOKUP("[S13_AnyOtherIssues][11][QuestionnaireSubQuestion]",Submission!$O:$O,Submission!$H:$N,""))</f>
        <v/>
      </c>
      <c r="E17" s="356" t="str">
        <f>_xlfn.CONCAT(_xlfn.XLOOKUP("[S13_AnyOtherIssues][11][OtherInformationOrIssues]",Submission!$O:$O,Submission!$H:$N,""))</f>
        <v/>
      </c>
      <c r="F17" s="356"/>
      <c r="G17" s="356"/>
      <c r="H17" s="356"/>
      <c r="I17" s="263"/>
    </row>
    <row r="18" spans="3:11" ht="27" customHeight="1" x14ac:dyDescent="0.3">
      <c r="C18" s="568" t="s">
        <v>1369</v>
      </c>
      <c r="D18" s="161" t="str">
        <f>_xlfn.CONCAT(_xlfn.XLOOKUP("[S13_AnyOtherIssues][12][QuestionnaireSubQuestion]",Submission!$O:$O,Submission!$H:$N,""))</f>
        <v>Question 5.6</v>
      </c>
      <c r="E18" s="356" t="str">
        <f>_xlfn.CONCAT(_xlfn.XLOOKUP("[S13_AnyOtherIssues][12][OtherInformationOrIssues]",Submission!$O:$O,Submission!$H:$N,""))</f>
        <v>Ze względu na ograniczenia formularza raportu rocznego wprowadzono następujące uproszczenia:
- w przypadku wprowadzenia w raporcie rocznym kilku kodów CRF dla kategorii energetycznej lub emisji procesowych zastosowano wyłącznie pierwszy kod;                                                                                                                                                                                                                                            - emisję obliczaną przy pomocy bilansu masowego oraz emisję gazów cieplarnianych innych niż CO2 przyporządkowano do emisji procesowych;                                                                                                             
- dane o emisjach prowadzących instalację, którzy nie wprowadzili w raporcie rocznym informacji o kodzie CRF zagregowano w ostatnim wierszu zestawienia (wiersz 98).
Z uwagi na ograniczenie formularza wpisywania wartości ujemnej dla kodu 1A2a, 2B2, 2H1 została wpisana wartość dodatnia.  
Wartość ujemna dla tego kodu wynika z procesów jakim jest bilans masowy, w którym dla niektórych strumieni emisja ma wartość ujemną.</v>
      </c>
      <c r="F18" s="356"/>
      <c r="G18" s="356"/>
      <c r="H18" s="356"/>
      <c r="I18" s="263"/>
      <c r="K18" s="192"/>
    </row>
    <row r="19" spans="3:11" ht="27" customHeight="1" x14ac:dyDescent="0.3">
      <c r="C19" s="569"/>
      <c r="D19" s="161" t="str">
        <f>_xlfn.CONCAT(_xlfn.XLOOKUP("[S13_AnyOtherIssues][13][QuestionnaireSubQuestion]",Submission!$O:$O,Submission!$H:$N,""))</f>
        <v>Question 5.8</v>
      </c>
      <c r="E19" s="356" t="str">
        <f>_xlfn.CONCAT(_xlfn.XLOOKUP("[S13_AnyOtherIssues][13][OtherInformationOrIssues]",Submission!$O:$O,Submission!$H:$N,""))</f>
        <v>W przypadku paliw i materiałów: olej opałowy lekki, gaz technologiczny, biogaz, mączka surowcowa do produkcji klinkieru cementowego (1 instalacja) oraz gaz poreakcyjny, częstotliwość analiz laboratoryjnych inna niż wymagana zgodnie z załącznikiem VII do rozporządzenia (UE) nr 2018/2066 dotyczy strumieni de minimis.</v>
      </c>
      <c r="F19" s="356"/>
      <c r="G19" s="356"/>
      <c r="H19" s="356"/>
      <c r="I19" s="263"/>
    </row>
    <row r="20" spans="3:11" ht="27" hidden="1" customHeight="1" outlineLevel="1" x14ac:dyDescent="0.3">
      <c r="C20" s="569"/>
      <c r="D20" s="161" t="str">
        <f>_xlfn.CONCAT(_xlfn.XLOOKUP("[S13_AnyOtherIssues][14][QuestionnaireSubQuestion]",Submission!$O:$O,Submission!$H:$N,""))</f>
        <v>Question 5.12</v>
      </c>
      <c r="E20" s="356" t="str">
        <f>_xlfn.CONCAT(_xlfn.XLOOKUP("[S13_AnyOtherIssues][14][OtherInformationOrIssues]",Submission!$O:$O,Submission!$H:$N,""))</f>
        <v>Liczba instalacji, które powinny złożyć raport w zakresie udoskonaleń w metodyce monitorowania do dnia 30 czerwca 2021 roku została wyznaczona na podstawie następujących założeń:
 instalacje:
- kategorii C, które zgodnie z posiadanym zezwoleniem na emisję gazów cieplarnianych stosują niższe poziomy dokładności niż wymagane rozporządzeniem 601/2012 oraz rozporządzeniem 2018/2066, i którym w okresie od 01 lipca 2020 roku do 30 czerwca 2021 roku właściwy organ nie wydał decyzji zmieniającej zezwolenie.
- kategorii B, które zgodnie z posiadanym zezwoleniem na emisję gazów cieplarnianych stosują  niższe poziomy dokładności niż wymagane rozporządzeniem 601/2012 oraz rozporządzeniem 2018/2066, i którym w okresie od 01 lipca 2019 roku do 30 czerwca 2021 roku właściwy organ nie wydał decyzji zmieniającej zezwolenie.
- kategorii A, które zgodnie z posiadanym zezwoleniem na emisję gazów cieplarnianych stosują  niższe poziomy dokładności niż wymagane rozporządzeniem 601/2012 oraz rozporządzeniem 2018/2066, i którym w okresie od 01 lipca 2017 roku do 30 czerwca 2021 roku właściwy organ nie wydał decyzji zmieniającej zezwolenie.
- w związku ze stosowaniem metodyki rezerwowej (art 69 (3) MRR) wszystkie instalacje,                                                                                                                                                     
- w przypadku zidentyfikowania przez weryfikatora w sprawozdaniu z weryfikacji (art 69 (4) MRR)  nieusuniętych nieprawidłowości (Załącznik 1AA) i  nieusuniętych niezgodności (Załącznik 1AB) instalacje należące do kategorii A, B i C,
- w przypadku zidentyfikowania przez weryfikatora w sprawozdaniu z weryfikacji (art 69 (4) MRR)  ewentualnych zalecanych ulepszeń  (załącznik 1AD) instalacje kategorii A, B i C z wyjątkiem instalacji o "niskim poziomie emisji" zgodnie z art 47 (3) MRR.</v>
      </c>
      <c r="F20" s="356"/>
      <c r="G20" s="356"/>
      <c r="H20" s="356"/>
      <c r="I20" s="263"/>
    </row>
    <row r="21" spans="3:11" ht="27" hidden="1" customHeight="1" outlineLevel="1" x14ac:dyDescent="0.3">
      <c r="C21" s="569"/>
      <c r="D21" s="161" t="str">
        <f>_xlfn.CONCAT(_xlfn.XLOOKUP("[S13_AnyOtherIssues][15][QuestionnaireSubQuestion]",Submission!$O:$O,Submission!$H:$N,""))</f>
        <v>Question 5.15</v>
      </c>
      <c r="E21" s="356" t="str">
        <f>_xlfn.CONCAT(_xlfn.XLOOKUP("[S13_AnyOtherIssues][15][OtherInformationOrIssues]",Submission!$O:$O,Submission!$H:$N,""))</f>
        <v>Przedstawione informacje nie uwzględniają/ nie obejmują  strumieni materiałów wsadowych zawierających biomasę w ilości od 32,5 do 100%, (użytych w procesie technologicznym) która nie podlegała spalaniu i dla których nie mają zastosowania kryteria zrównoważonego rozwoju, występujących w kilku instalacjach kategorii A zakwalifikowanych zgodnie z załącznikiem I do dyrektywy 2003/87/WE jako przemysł ceramiczny (1 388 920,85 t materiałów wsadowych zawierających biomasę o łącznej wielkości emisji z węgla kopalnego wynoszącej 103356,2261 Mg CO2), a także instalacji kategorii C zakwalifikowanej jako instalacja hutnicza (23 526, 6 t materiałów wsadowych zawierających biomasę o łącznej wielkości emisji z węgla kopalnego wynoszącej 7593,747 Mg/CO2).</v>
      </c>
      <c r="F21" s="356"/>
      <c r="G21" s="356"/>
      <c r="H21" s="356"/>
      <c r="I21" s="263"/>
    </row>
    <row r="22" spans="3:11" ht="27" hidden="1" customHeight="1" outlineLevel="1" x14ac:dyDescent="0.3">
      <c r="C22" s="569"/>
      <c r="D22" s="161" t="str">
        <f>_xlfn.CONCAT(_xlfn.XLOOKUP("[S13_AnyOtherIssues][16][QuestionnaireSubQuestion]",Submission!$O:$O,Submission!$H:$N,""))</f>
        <v/>
      </c>
      <c r="E22" s="356" t="str">
        <f>_xlfn.CONCAT(_xlfn.XLOOKUP("[S13_AnyOtherIssues][16][OtherInformationOrIssues]",Submission!$O:$O,Submission!$H:$N,""))</f>
        <v/>
      </c>
      <c r="F22" s="356"/>
      <c r="G22" s="356"/>
      <c r="H22" s="356"/>
      <c r="I22" s="263"/>
    </row>
    <row r="23" spans="3:11" ht="27" hidden="1" customHeight="1" outlineLevel="1" x14ac:dyDescent="0.3">
      <c r="C23" s="569"/>
      <c r="D23" s="161" t="str">
        <f>_xlfn.CONCAT(_xlfn.XLOOKUP("[S13_AnyOtherIssues][17][QuestionnaireSubQuestion]",Submission!$O:$O,Submission!$H:$N,""))</f>
        <v/>
      </c>
      <c r="E23" s="356" t="str">
        <f>_xlfn.CONCAT(_xlfn.XLOOKUP("[S13_AnyOtherIssues][17][OtherInformationOrIssues]",Submission!$O:$O,Submission!$H:$N,""))</f>
        <v/>
      </c>
      <c r="F23" s="356"/>
      <c r="G23" s="356"/>
      <c r="H23" s="356"/>
      <c r="I23" s="263"/>
    </row>
    <row r="24" spans="3:11" ht="27" hidden="1" customHeight="1" outlineLevel="1" x14ac:dyDescent="0.3">
      <c r="C24" s="569"/>
      <c r="D24" s="161" t="str">
        <f>_xlfn.CONCAT(_xlfn.XLOOKUP("[S13_AnyOtherIssues][18][QuestionnaireSubQuestion]",Submission!$O:$O,Submission!$H:$N,""))</f>
        <v/>
      </c>
      <c r="E24" s="356" t="str">
        <f>_xlfn.CONCAT(_xlfn.XLOOKUP("[S13_AnyOtherIssues][18][OtherInformationOrIssues]",Submission!$O:$O,Submission!$H:$N,""))</f>
        <v/>
      </c>
      <c r="F24" s="356"/>
      <c r="G24" s="356"/>
      <c r="H24" s="356"/>
      <c r="I24" s="263"/>
    </row>
    <row r="25" spans="3:11" ht="27" hidden="1" customHeight="1" outlineLevel="1" x14ac:dyDescent="0.3">
      <c r="C25" s="569"/>
      <c r="D25" s="161" t="str">
        <f>_xlfn.CONCAT(_xlfn.XLOOKUP("[S13_AnyOtherIssues][19][QuestionnaireSubQuestion]",Submission!$O:$O,Submission!$H:$N,""))</f>
        <v/>
      </c>
      <c r="E25" s="356" t="str">
        <f>_xlfn.CONCAT(_xlfn.XLOOKUP("[S13_AnyOtherIssues][19][OtherInformationOrIssues]",Submission!$O:$O,Submission!$H:$N,""))</f>
        <v/>
      </c>
      <c r="F25" s="356"/>
      <c r="G25" s="356"/>
      <c r="H25" s="356"/>
      <c r="I25" s="263"/>
    </row>
    <row r="26" spans="3:11" ht="27" hidden="1" customHeight="1" outlineLevel="1" x14ac:dyDescent="0.3">
      <c r="C26" s="569"/>
      <c r="D26" s="161" t="str">
        <f>_xlfn.CONCAT(_xlfn.XLOOKUP("[S13_AnyOtherIssues][20][QuestionnaireSubQuestion]",Submission!$O:$O,Submission!$H:$N,""))</f>
        <v/>
      </c>
      <c r="E26" s="356" t="str">
        <f>_xlfn.CONCAT(_xlfn.XLOOKUP("[S13_AnyOtherIssues][20][OtherInformationOrIssues]",Submission!$O:$O,Submission!$H:$N,""))</f>
        <v/>
      </c>
      <c r="F26" s="356"/>
      <c r="G26" s="356"/>
      <c r="H26" s="356"/>
      <c r="I26" s="263"/>
    </row>
    <row r="27" spans="3:11" ht="27" hidden="1" customHeight="1" outlineLevel="1" x14ac:dyDescent="0.3">
      <c r="C27" s="569"/>
      <c r="D27" s="161" t="str">
        <f>_xlfn.CONCAT(_xlfn.XLOOKUP("[S13_AnyOtherIssues][21][QuestionnaireSubQuestion]",Submission!$O:$O,Submission!$H:$N,""))</f>
        <v/>
      </c>
      <c r="E27" s="356" t="str">
        <f>_xlfn.CONCAT(_xlfn.XLOOKUP("[S13_AnyOtherIssues][21][OtherInformationOrIssues]",Submission!$O:$O,Submission!$H:$N,""))</f>
        <v/>
      </c>
      <c r="F27" s="356"/>
      <c r="G27" s="356"/>
      <c r="H27" s="356"/>
      <c r="I27" s="263"/>
    </row>
    <row r="28" spans="3:11" ht="27" hidden="1" customHeight="1" outlineLevel="1" x14ac:dyDescent="0.3">
      <c r="C28" s="569"/>
      <c r="D28" s="161" t="str">
        <f>_xlfn.CONCAT(_xlfn.XLOOKUP("[S13_AnyOtherIssues][22][QuestionnaireSubQuestion]",Submission!$O:$O,Submission!$H:$N,""))</f>
        <v/>
      </c>
      <c r="E28" s="356" t="str">
        <f>_xlfn.CONCAT(_xlfn.XLOOKUP("[S13_AnyOtherIssues][22][OtherInformationOrIssues]",Submission!$O:$O,Submission!$H:$N,""))</f>
        <v/>
      </c>
      <c r="F28" s="356"/>
      <c r="G28" s="356"/>
      <c r="H28" s="356"/>
      <c r="I28" s="263"/>
    </row>
    <row r="29" spans="3:11" ht="27" hidden="1" customHeight="1" outlineLevel="1" x14ac:dyDescent="0.3">
      <c r="C29" s="569"/>
      <c r="D29" s="161" t="str">
        <f>_xlfn.CONCAT(_xlfn.XLOOKUP("[S13_AnyOtherIssues][23][QuestionnaireSubQuestion]",Submission!$O:$O,Submission!$H:$N,""))</f>
        <v/>
      </c>
      <c r="E29" s="356" t="str">
        <f>_xlfn.CONCAT(_xlfn.XLOOKUP("[S13_AnyOtherIssues][23][OtherInformationOrIssues]",Submission!$O:$O,Submission!$H:$N,""))</f>
        <v/>
      </c>
      <c r="F29" s="356"/>
      <c r="G29" s="356"/>
      <c r="H29" s="356"/>
      <c r="I29" s="263"/>
    </row>
    <row r="30" spans="3:11" ht="27" hidden="1" customHeight="1" outlineLevel="1" x14ac:dyDescent="0.3">
      <c r="C30" s="569"/>
      <c r="D30" s="161" t="str">
        <f>_xlfn.CONCAT(_xlfn.XLOOKUP("[S13_AnyOtherIssues][24][QuestionnaireSubQuestion]",Submission!$O:$O,Submission!$H:$N,""))</f>
        <v/>
      </c>
      <c r="E30" s="356" t="str">
        <f>_xlfn.CONCAT(_xlfn.XLOOKUP("[S13_AnyOtherIssues][24][OtherInformationOrIssues]",Submission!$O:$O,Submission!$H:$N,""))</f>
        <v/>
      </c>
      <c r="F30" s="356"/>
      <c r="G30" s="356"/>
      <c r="H30" s="356"/>
      <c r="I30" s="263"/>
    </row>
    <row r="31" spans="3:11" ht="27" hidden="1" customHeight="1" outlineLevel="1" x14ac:dyDescent="0.3">
      <c r="C31" s="569"/>
      <c r="D31" s="161" t="str">
        <f>_xlfn.CONCAT(_xlfn.XLOOKUP("[S13_AnyOtherIssues][25][QuestionnaireSubQuestion]",Submission!$O:$O,Submission!$H:$N,""))</f>
        <v/>
      </c>
      <c r="E31" s="356" t="str">
        <f>_xlfn.CONCAT(_xlfn.XLOOKUP("[S13_AnyOtherIssues][25][OtherInformationOrIssues]",Submission!$O:$O,Submission!$H:$N,""))</f>
        <v/>
      </c>
      <c r="F31" s="356"/>
      <c r="G31" s="356"/>
      <c r="H31" s="356"/>
      <c r="I31" s="263"/>
    </row>
    <row r="32" spans="3:11" ht="27" hidden="1" customHeight="1" outlineLevel="1" x14ac:dyDescent="0.3">
      <c r="C32" s="569"/>
      <c r="D32" s="161" t="str">
        <f>_xlfn.CONCAT(_xlfn.XLOOKUP("[S13_AnyOtherIssues][26][QuestionnaireSubQuestion]",Submission!$O:$O,Submission!$H:$N,""))</f>
        <v/>
      </c>
      <c r="E32" s="356" t="str">
        <f>_xlfn.CONCAT(_xlfn.XLOOKUP("[S13_AnyOtherIssues][26][OtherInformationOrIssues]",Submission!$O:$O,Submission!$H:$N,""))</f>
        <v/>
      </c>
      <c r="F32" s="356"/>
      <c r="G32" s="356"/>
      <c r="H32" s="356"/>
      <c r="I32" s="263"/>
    </row>
    <row r="33" spans="3:9" ht="27" hidden="1" customHeight="1" outlineLevel="1" x14ac:dyDescent="0.3">
      <c r="C33" s="569"/>
      <c r="D33" s="161" t="str">
        <f>_xlfn.CONCAT(_xlfn.XLOOKUP("[S13_AnyOtherIssues][27][QuestionnaireSubQuestion]",Submission!$O:$O,Submission!$H:$N,""))</f>
        <v/>
      </c>
      <c r="E33" s="356" t="str">
        <f>_xlfn.CONCAT(_xlfn.XLOOKUP("[S13_AnyOtherIssues][27][OtherInformationOrIssues]",Submission!$O:$O,Submission!$H:$N,""))</f>
        <v/>
      </c>
      <c r="F33" s="356"/>
      <c r="G33" s="356"/>
      <c r="H33" s="356"/>
      <c r="I33" s="263"/>
    </row>
    <row r="34" spans="3:9" ht="27" hidden="1" customHeight="1" outlineLevel="1" x14ac:dyDescent="0.3">
      <c r="C34" s="569"/>
      <c r="D34" s="161" t="str">
        <f>_xlfn.CONCAT(_xlfn.XLOOKUP("[S13_AnyOtherIssues][28][QuestionnaireSubQuestion]",Submission!$O:$O,Submission!$H:$N,""))</f>
        <v/>
      </c>
      <c r="E34" s="356" t="str">
        <f>_xlfn.CONCAT(_xlfn.XLOOKUP("[S13_AnyOtherIssues][28][OtherInformationOrIssues]",Submission!$O:$O,Submission!$H:$N,""))</f>
        <v/>
      </c>
      <c r="F34" s="356"/>
      <c r="G34" s="356"/>
      <c r="H34" s="356"/>
      <c r="I34" s="263"/>
    </row>
    <row r="35" spans="3:9" ht="27" hidden="1" customHeight="1" outlineLevel="1" x14ac:dyDescent="0.3">
      <c r="C35" s="569"/>
      <c r="D35" s="161" t="str">
        <f>_xlfn.CONCAT(_xlfn.XLOOKUP("[S13_AnyOtherIssues][29][QuestionnaireSubQuestion]",Submission!$O:$O,Submission!$H:$N,""))</f>
        <v/>
      </c>
      <c r="E35" s="356" t="str">
        <f>_xlfn.CONCAT(_xlfn.XLOOKUP("[S13_AnyOtherIssues][29][OtherInformationOrIssues]",Submission!$O:$O,Submission!$H:$N,""))</f>
        <v/>
      </c>
      <c r="F35" s="356"/>
      <c r="G35" s="356"/>
      <c r="H35" s="356"/>
      <c r="I35" s="263"/>
    </row>
    <row r="36" spans="3:9" ht="27" hidden="1" customHeight="1" outlineLevel="1" x14ac:dyDescent="0.3">
      <c r="C36" s="569"/>
      <c r="D36" s="161" t="str">
        <f>_xlfn.CONCAT(_xlfn.XLOOKUP("[S13_AnyOtherIssues][30][QuestionnaireSubQuestion]",Submission!$O:$O,Submission!$H:$N,""))</f>
        <v/>
      </c>
      <c r="E36" s="356" t="str">
        <f>_xlfn.CONCAT(_xlfn.XLOOKUP("[S13_AnyOtherIssues][30][OtherInformationOrIssues]",Submission!$O:$O,Submission!$H:$N,""))</f>
        <v/>
      </c>
      <c r="F36" s="356"/>
      <c r="G36" s="356"/>
      <c r="H36" s="356"/>
      <c r="I36" s="263"/>
    </row>
    <row r="37" spans="3:9" ht="27" hidden="1" customHeight="1" outlineLevel="1" x14ac:dyDescent="0.3">
      <c r="C37" s="569"/>
      <c r="D37" s="161" t="str">
        <f>_xlfn.CONCAT(_xlfn.XLOOKUP("[S13_AnyOtherIssues][31][QuestionnaireSubQuestion]",Submission!$O:$O,Submission!$H:$N,""))</f>
        <v/>
      </c>
      <c r="E37" s="356" t="str">
        <f>_xlfn.CONCAT(_xlfn.XLOOKUP("[S13_AnyOtherIssues][31][OtherInformationOrIssues]",Submission!$O:$O,Submission!$H:$N,""))</f>
        <v/>
      </c>
      <c r="F37" s="356"/>
      <c r="G37" s="356"/>
      <c r="H37" s="356"/>
      <c r="I37" s="263"/>
    </row>
    <row r="38" spans="3:9" ht="27" hidden="1" customHeight="1" outlineLevel="1" x14ac:dyDescent="0.3">
      <c r="C38" s="569"/>
      <c r="D38" s="161" t="str">
        <f>_xlfn.CONCAT(_xlfn.XLOOKUP("[S13_AnyOtherIssues][32][QuestionnaireSubQuestion]",Submission!$O:$O,Submission!$H:$N,""))</f>
        <v/>
      </c>
      <c r="E38" s="356" t="str">
        <f>_xlfn.CONCAT(_xlfn.XLOOKUP("[S13_AnyOtherIssues][32][OtherInformationOrIssues]",Submission!$O:$O,Submission!$H:$N,""))</f>
        <v/>
      </c>
      <c r="F38" s="356"/>
      <c r="G38" s="356"/>
      <c r="H38" s="356"/>
      <c r="I38" s="263"/>
    </row>
    <row r="39" spans="3:9" ht="27" hidden="1" customHeight="1" outlineLevel="1" x14ac:dyDescent="0.3">
      <c r="C39" s="569"/>
      <c r="D39" s="161" t="str">
        <f>_xlfn.CONCAT(_xlfn.XLOOKUP("[S13_AnyOtherIssues][33][QuestionnaireSubQuestion]",Submission!$O:$O,Submission!$H:$N,""))</f>
        <v/>
      </c>
      <c r="E39" s="356" t="str">
        <f>_xlfn.CONCAT(_xlfn.XLOOKUP("[S13_AnyOtherIssues][33][OtherInformationOrIssues]",Submission!$O:$O,Submission!$H:$N,""))</f>
        <v/>
      </c>
      <c r="F39" s="356"/>
      <c r="G39" s="356"/>
      <c r="H39" s="356"/>
      <c r="I39" s="263"/>
    </row>
    <row r="40" spans="3:9" ht="27" hidden="1" customHeight="1" outlineLevel="1" x14ac:dyDescent="0.3">
      <c r="C40" s="570"/>
      <c r="D40" s="161" t="str">
        <f>_xlfn.CONCAT(_xlfn.XLOOKUP("[S13_AnyOtherIssues][34][QuestionnaireSubQuestion]",Submission!$O:$O,Submission!$H:$N,""))</f>
        <v/>
      </c>
      <c r="E40" s="356" t="str">
        <f>_xlfn.CONCAT(_xlfn.XLOOKUP("[S13_AnyOtherIssues][34][OtherInformationOrIssues]",Submission!$O:$O,Submission!$H:$N,""))</f>
        <v/>
      </c>
      <c r="F40" s="356"/>
      <c r="G40" s="356"/>
      <c r="H40" s="356"/>
      <c r="I40" s="263"/>
    </row>
    <row r="41" spans="3:9" ht="27" customHeight="1" collapsed="1" x14ac:dyDescent="0.3">
      <c r="C41" s="568" t="s">
        <v>1370</v>
      </c>
      <c r="D41" s="161" t="str">
        <f>_xlfn.CONCAT(_xlfn.XLOOKUP("[S13_AnyOtherIssues][35][QuestionnaireSubQuestion]",Submission!$O:$O,Submission!$H:$N,""))</f>
        <v/>
      </c>
      <c r="E41" s="356" t="str">
        <f>_xlfn.CONCAT(_xlfn.XLOOKUP("[S13_AnyOtherIssues][35][OtherInformationOrIssues]",Submission!$O:$O,Submission!$H:$N,""))</f>
        <v/>
      </c>
      <c r="F41" s="356"/>
      <c r="G41" s="356"/>
      <c r="H41" s="356"/>
      <c r="I41" s="263"/>
    </row>
    <row r="42" spans="3:9" ht="27" customHeight="1" x14ac:dyDescent="0.3">
      <c r="C42" s="569"/>
      <c r="D42" s="161" t="str">
        <f>_xlfn.CONCAT(_xlfn.XLOOKUP("[S13_AnyOtherIssues][36][QuestionnaireSubQuestion]",Submission!$O:$O,Submission!$H:$N,""))</f>
        <v/>
      </c>
      <c r="E42" s="356" t="str">
        <f>_xlfn.CONCAT(_xlfn.XLOOKUP("[S13_AnyOtherIssues][36][OtherInformationOrIssues]",Submission!$O:$O,Submission!$H:$N,""))</f>
        <v/>
      </c>
      <c r="F42" s="356"/>
      <c r="G42" s="356"/>
      <c r="H42" s="356"/>
      <c r="I42" s="263"/>
    </row>
    <row r="43" spans="3:9" ht="27" hidden="1" customHeight="1" outlineLevel="1" x14ac:dyDescent="0.3">
      <c r="C43" s="569"/>
      <c r="D43" s="161" t="str">
        <f>_xlfn.CONCAT(_xlfn.XLOOKUP("[S13_AnyOtherIssues][37][QuestionnaireSubQuestion]",Submission!$O:$O,Submission!$H:$N,""))</f>
        <v/>
      </c>
      <c r="E43" s="356" t="str">
        <f>_xlfn.CONCAT(_xlfn.XLOOKUP("[S13_AnyOtherIssues][37][OtherInformationOrIssues]",Submission!$O:$O,Submission!$H:$N,""))</f>
        <v/>
      </c>
      <c r="F43" s="356"/>
      <c r="G43" s="356"/>
      <c r="H43" s="356"/>
      <c r="I43" s="263"/>
    </row>
    <row r="44" spans="3:9" ht="27" hidden="1" customHeight="1" outlineLevel="1" x14ac:dyDescent="0.3">
      <c r="C44" s="569"/>
      <c r="D44" s="161" t="str">
        <f>_xlfn.CONCAT(_xlfn.XLOOKUP("[S13_AnyOtherIssues][38][QuestionnaireSubQuestion]",Submission!$O:$O,Submission!$H:$N,""))</f>
        <v/>
      </c>
      <c r="E44" s="356" t="str">
        <f>_xlfn.CONCAT(_xlfn.XLOOKUP("[S13_AnyOtherIssues][38][OtherInformationOrIssues]",Submission!$O:$O,Submission!$H:$N,""))</f>
        <v/>
      </c>
      <c r="F44" s="356"/>
      <c r="G44" s="356"/>
      <c r="H44" s="356"/>
      <c r="I44" s="263"/>
    </row>
    <row r="45" spans="3:9" ht="27" hidden="1" customHeight="1" outlineLevel="1" x14ac:dyDescent="0.3">
      <c r="C45" s="569"/>
      <c r="D45" s="161" t="str">
        <f>_xlfn.CONCAT(_xlfn.XLOOKUP("[S13_AnyOtherIssues][39][QuestionnaireSubQuestion]",Submission!$O:$O,Submission!$H:$N,""))</f>
        <v/>
      </c>
      <c r="E45" s="356" t="str">
        <f>_xlfn.CONCAT(_xlfn.XLOOKUP("[S13_AnyOtherIssues][39][OtherInformationOrIssues]",Submission!$O:$O,Submission!$H:$N,""))</f>
        <v/>
      </c>
      <c r="F45" s="356"/>
      <c r="G45" s="356"/>
      <c r="H45" s="356"/>
      <c r="I45" s="263"/>
    </row>
    <row r="46" spans="3:9" ht="27" hidden="1" customHeight="1" outlineLevel="1" x14ac:dyDescent="0.3">
      <c r="C46" s="569"/>
      <c r="D46" s="161" t="str">
        <f>_xlfn.CONCAT(_xlfn.XLOOKUP("[S13_AnyOtherIssues][40][QuestionnaireSubQuestion]",Submission!$O:$O,Submission!$H:$N,""))</f>
        <v/>
      </c>
      <c r="E46" s="356" t="str">
        <f>_xlfn.CONCAT(_xlfn.XLOOKUP("[S13_AnyOtherIssues][40][OtherInformationOrIssues]",Submission!$O:$O,Submission!$H:$N,""))</f>
        <v/>
      </c>
      <c r="F46" s="356"/>
      <c r="G46" s="356"/>
      <c r="H46" s="356"/>
      <c r="I46" s="263"/>
    </row>
    <row r="47" spans="3:9" ht="27" hidden="1" customHeight="1" outlineLevel="1" x14ac:dyDescent="0.3">
      <c r="C47" s="569"/>
      <c r="D47" s="161" t="str">
        <f>_xlfn.CONCAT(_xlfn.XLOOKUP("[S13_AnyOtherIssues][41][QuestionnaireSubQuestion]",Submission!$O:$O,Submission!$H:$N,""))</f>
        <v/>
      </c>
      <c r="E47" s="356" t="str">
        <f>_xlfn.CONCAT(_xlfn.XLOOKUP("[S13_AnyOtherIssues][41][OtherInformationOrIssues]",Submission!$O:$O,Submission!$H:$N,""))</f>
        <v/>
      </c>
      <c r="F47" s="356"/>
      <c r="G47" s="356"/>
      <c r="H47" s="356"/>
      <c r="I47" s="263"/>
    </row>
    <row r="48" spans="3:9" ht="27" hidden="1" customHeight="1" outlineLevel="1" x14ac:dyDescent="0.3">
      <c r="C48" s="569"/>
      <c r="D48" s="161" t="str">
        <f>_xlfn.CONCAT(_xlfn.XLOOKUP("[S13_AnyOtherIssues][42][QuestionnaireSubQuestion]",Submission!$O:$O,Submission!$H:$N,""))</f>
        <v/>
      </c>
      <c r="E48" s="356" t="str">
        <f>_xlfn.CONCAT(_xlfn.XLOOKUP("[S13_AnyOtherIssues][42][OtherInformationOrIssues]",Submission!$O:$O,Submission!$H:$N,""))</f>
        <v/>
      </c>
      <c r="F48" s="356"/>
      <c r="G48" s="356"/>
      <c r="H48" s="356"/>
      <c r="I48" s="263"/>
    </row>
    <row r="49" spans="3:9" ht="27" hidden="1" customHeight="1" outlineLevel="1" x14ac:dyDescent="0.3">
      <c r="C49" s="569"/>
      <c r="D49" s="161" t="str">
        <f>_xlfn.CONCAT(_xlfn.XLOOKUP("[S13_AnyOtherIssues][43][QuestionnaireSubQuestion]",Submission!$O:$O,Submission!$H:$N,""))</f>
        <v/>
      </c>
      <c r="E49" s="356" t="str">
        <f>_xlfn.CONCAT(_xlfn.XLOOKUP("[S13_AnyOtherIssues][43][OtherInformationOrIssues]",Submission!$O:$O,Submission!$H:$N,""))</f>
        <v/>
      </c>
      <c r="F49" s="356"/>
      <c r="G49" s="356"/>
      <c r="H49" s="356"/>
      <c r="I49" s="263"/>
    </row>
    <row r="50" spans="3:9" ht="27" hidden="1" customHeight="1" outlineLevel="1" x14ac:dyDescent="0.3">
      <c r="C50" s="569"/>
      <c r="D50" s="161" t="str">
        <f>_xlfn.CONCAT(_xlfn.XLOOKUP("[S13_AnyOtherIssues][44][QuestionnaireSubQuestion]",Submission!$O:$O,Submission!$H:$N,""))</f>
        <v/>
      </c>
      <c r="E50" s="356" t="str">
        <f>_xlfn.CONCAT(_xlfn.XLOOKUP("[S13_AnyOtherIssues][44][OtherInformationOrIssues]",Submission!$O:$O,Submission!$H:$N,""))</f>
        <v/>
      </c>
      <c r="F50" s="356"/>
      <c r="G50" s="356"/>
      <c r="H50" s="356"/>
      <c r="I50" s="263"/>
    </row>
    <row r="51" spans="3:9" ht="27" hidden="1" customHeight="1" outlineLevel="1" x14ac:dyDescent="0.3">
      <c r="C51" s="569"/>
      <c r="D51" s="161" t="str">
        <f>_xlfn.CONCAT(_xlfn.XLOOKUP("[S13_AnyOtherIssues][45][QuestionnaireSubQuestion]",Submission!$O:$O,Submission!$H:$N,""))</f>
        <v/>
      </c>
      <c r="E51" s="356" t="str">
        <f>_xlfn.CONCAT(_xlfn.XLOOKUP("[S13_AnyOtherIssues][45][OtherInformationOrIssues]",Submission!$O:$O,Submission!$H:$N,""))</f>
        <v/>
      </c>
      <c r="F51" s="356"/>
      <c r="G51" s="356"/>
      <c r="H51" s="356"/>
      <c r="I51" s="263"/>
    </row>
    <row r="52" spans="3:9" ht="27" hidden="1" customHeight="1" outlineLevel="1" x14ac:dyDescent="0.3">
      <c r="C52" s="570"/>
      <c r="D52" s="161" t="str">
        <f>_xlfn.CONCAT(_xlfn.XLOOKUP("[S13_AnyOtherIssues][46][QuestionnaireSubQuestion]",Submission!$O:$O,Submission!$H:$N,""))</f>
        <v/>
      </c>
      <c r="E52" s="356" t="str">
        <f>_xlfn.CONCAT(_xlfn.XLOOKUP("[S13_AnyOtherIssues][46][OtherInformationOrIssues]",Submission!$O:$O,Submission!$H:$N,""))</f>
        <v/>
      </c>
      <c r="F52" s="356"/>
      <c r="G52" s="356"/>
      <c r="H52" s="356"/>
      <c r="I52" s="263"/>
    </row>
    <row r="53" spans="3:9" ht="27" customHeight="1" collapsed="1" x14ac:dyDescent="0.3">
      <c r="C53" s="568" t="s">
        <v>1371</v>
      </c>
      <c r="D53" s="161" t="str">
        <f>_xlfn.CONCAT(_xlfn.XLOOKUP("[S13_AnyOtherIssues][47][QuestionnaireSubQuestion]",Submission!$O:$O,Submission!$H:$N,""))</f>
        <v/>
      </c>
      <c r="E53" s="356" t="str">
        <f>_xlfn.CONCAT(_xlfn.XLOOKUP("[S13_AnyOtherIssues][47][OtherInformationOrIssues]",Submission!$O:$O,Submission!$H:$N,""))</f>
        <v/>
      </c>
      <c r="F53" s="356"/>
      <c r="G53" s="356"/>
      <c r="H53" s="356"/>
      <c r="I53" s="263"/>
    </row>
    <row r="54" spans="3:9" ht="27" customHeight="1" x14ac:dyDescent="0.3">
      <c r="C54" s="569"/>
      <c r="D54" s="161" t="str">
        <f>_xlfn.CONCAT(_xlfn.XLOOKUP("[S13_AnyOtherIssues][48][QuestionnaireSubQuestion]",Submission!$O:$O,Submission!$H:$N,""))</f>
        <v/>
      </c>
      <c r="E54" s="356" t="str">
        <f>_xlfn.CONCAT(_xlfn.XLOOKUP("[S13_AnyOtherIssues][48][OtherInformationOrIssues]",Submission!$O:$O,Submission!$H:$N,""))</f>
        <v/>
      </c>
      <c r="F54" s="356"/>
      <c r="G54" s="356"/>
      <c r="H54" s="356"/>
      <c r="I54" s="263"/>
    </row>
    <row r="55" spans="3:9" ht="27" hidden="1" customHeight="1" outlineLevel="1" x14ac:dyDescent="0.3">
      <c r="C55" s="570"/>
      <c r="D55" s="161" t="str">
        <f>_xlfn.CONCAT(_xlfn.XLOOKUP("[S13_AnyOtherIssues][49][QuestionnaireSubQuestion]",Submission!$O:$O,Submission!$H:$N,""))</f>
        <v/>
      </c>
      <c r="E55" s="356" t="str">
        <f>_xlfn.CONCAT(_xlfn.XLOOKUP("[S13_AnyOtherIssues][49][OtherInformationOrIssues]",Submission!$O:$O,Submission!$H:$N,""))</f>
        <v/>
      </c>
      <c r="F55" s="356"/>
      <c r="G55" s="356"/>
      <c r="H55" s="356"/>
      <c r="I55" s="263"/>
    </row>
    <row r="56" spans="3:9" ht="27" customHeight="1" collapsed="1" x14ac:dyDescent="0.3">
      <c r="C56" s="568" t="s">
        <v>1372</v>
      </c>
      <c r="D56" s="161" t="str">
        <f>_xlfn.CONCAT(_xlfn.XLOOKUP("[S13_AnyOtherIssues][50][QuestionnaireSubQuestion]",Submission!$O:$O,Submission!$H:$N,""))</f>
        <v>Question 8.17</v>
      </c>
      <c r="E56" s="356" t="str">
        <f>_xlfn.CONCAT(_xlfn.XLOOKUP("[S13_AnyOtherIssues][50][OtherInformationOrIssues]",Submission!$O:$O,Submission!$H:$N,""))</f>
        <v>Brak jest sankcji przewidzianych w prawie krajowym w przypadku naruszeń rozporządzenia delegowanego Komisji (UE) 2019/331 i rozporządzenia Komisji (UE) 2019/1842. Zapewnia się środki administracyjne, niemające charakteru sankcji, stosowane w celu zapewnienia przestrzegania ww. przepisów, opisane w tabeli 8.17.</v>
      </c>
      <c r="F56" s="356"/>
      <c r="G56" s="356"/>
      <c r="H56" s="356"/>
      <c r="I56" s="263"/>
    </row>
    <row r="57" spans="3:9" ht="27" customHeight="1" x14ac:dyDescent="0.3">
      <c r="C57" s="569"/>
      <c r="D57" s="161" t="str">
        <f>_xlfn.CONCAT(_xlfn.XLOOKUP("[S13_AnyOtherIssues][51][QuestionnaireSubQuestion]",Submission!$O:$O,Submission!$H:$N,""))</f>
        <v>Question 8.18</v>
      </c>
      <c r="E57" s="356" t="str">
        <f>_xlfn.CONCAT(_xlfn.XLOOKUP("[S13_AnyOtherIssues][51][OtherInformationOrIssues]",Submission!$O:$O,Submission!$H:$N,""))</f>
        <v>Brak jest sankcji przewidzianych w prawie krajowym w przypadku naruszeń rozporządzenia delegowanego Komisji (UE) 2019/331 i rozporządzenia Komisji (UE) 2019/1842. Zapewnia się środki administracyjne, niemające charakteru sankcji, stosowane w celu zapewnienia przestrzegania ww. przepisów, opisane w tabeli 8.17.</v>
      </c>
      <c r="F57" s="356"/>
      <c r="G57" s="356"/>
      <c r="H57" s="356"/>
      <c r="I57" s="263"/>
    </row>
    <row r="58" spans="3:9" ht="27" hidden="1" customHeight="1" outlineLevel="1" x14ac:dyDescent="0.3">
      <c r="C58" s="569"/>
      <c r="D58" s="161" t="str">
        <f>_xlfn.CONCAT(_xlfn.XLOOKUP("[S13_AnyOtherIssues][52][QuestionnaireSubQuestion]",Submission!$O:$O,Submission!$H:$N,""))</f>
        <v/>
      </c>
      <c r="E58" s="356" t="str">
        <f>_xlfn.CONCAT(_xlfn.XLOOKUP("[S13_AnyOtherIssues][52][OtherInformationOrIssues]",Submission!$O:$O,Submission!$H:$N,""))</f>
        <v/>
      </c>
      <c r="F58" s="356"/>
      <c r="G58" s="356"/>
      <c r="H58" s="356"/>
      <c r="I58" s="263"/>
    </row>
    <row r="59" spans="3:9" ht="27" hidden="1" customHeight="1" outlineLevel="1" x14ac:dyDescent="0.3">
      <c r="C59" s="569"/>
      <c r="D59" s="161" t="str">
        <f>_xlfn.CONCAT(_xlfn.XLOOKUP("[S13_AnyOtherIssues][53][QuestionnaireSubQuestion]",Submission!$O:$O,Submission!$H:$N,""))</f>
        <v/>
      </c>
      <c r="E59" s="356" t="str">
        <f>_xlfn.CONCAT(_xlfn.XLOOKUP("[S13_AnyOtherIssues][53][OtherInformationOrIssues]",Submission!$O:$O,Submission!$H:$N,""))</f>
        <v/>
      </c>
      <c r="F59" s="356"/>
      <c r="G59" s="356"/>
      <c r="H59" s="356"/>
      <c r="I59" s="263"/>
    </row>
    <row r="60" spans="3:9" ht="27" hidden="1" customHeight="1" outlineLevel="1" x14ac:dyDescent="0.3">
      <c r="C60" s="569"/>
      <c r="D60" s="161" t="str">
        <f>_xlfn.CONCAT(_xlfn.XLOOKUP("[S13_AnyOtherIssues][54][QuestionnaireSubQuestion]",Submission!$O:$O,Submission!$H:$N,""))</f>
        <v/>
      </c>
      <c r="E60" s="356" t="str">
        <f>_xlfn.CONCAT(_xlfn.XLOOKUP("[S13_AnyOtherIssues][54][OtherInformationOrIssues]",Submission!$O:$O,Submission!$H:$N,""))</f>
        <v/>
      </c>
      <c r="F60" s="356"/>
      <c r="G60" s="356"/>
      <c r="H60" s="356"/>
      <c r="I60" s="263"/>
    </row>
    <row r="61" spans="3:9" ht="27" hidden="1" customHeight="1" outlineLevel="1" x14ac:dyDescent="0.3">
      <c r="C61" s="569"/>
      <c r="D61" s="161" t="str">
        <f>_xlfn.CONCAT(_xlfn.XLOOKUP("[S13_AnyOtherIssues][55][QuestionnaireSubQuestion]",Submission!$O:$O,Submission!$H:$N,""))</f>
        <v/>
      </c>
      <c r="E61" s="356" t="str">
        <f>_xlfn.CONCAT(_xlfn.XLOOKUP("[S13_AnyOtherIssues][55][OtherInformationOrIssues]",Submission!$O:$O,Submission!$H:$N,""))</f>
        <v/>
      </c>
      <c r="F61" s="356"/>
      <c r="G61" s="356"/>
      <c r="H61" s="356"/>
      <c r="I61" s="263"/>
    </row>
    <row r="62" spans="3:9" ht="27" hidden="1" customHeight="1" outlineLevel="1" x14ac:dyDescent="0.3">
      <c r="C62" s="569"/>
      <c r="D62" s="161" t="str">
        <f>_xlfn.CONCAT(_xlfn.XLOOKUP("[S13_AnyOtherIssues][56][QuestionnaireSubQuestion]",Submission!$O:$O,Submission!$H:$N,""))</f>
        <v/>
      </c>
      <c r="E62" s="356" t="str">
        <f>_xlfn.CONCAT(_xlfn.XLOOKUP("[S13_AnyOtherIssues][56][OtherInformationOrIssues]",Submission!$O:$O,Submission!$H:$N,""))</f>
        <v/>
      </c>
      <c r="F62" s="356"/>
      <c r="G62" s="356"/>
      <c r="H62" s="356"/>
      <c r="I62" s="263"/>
    </row>
    <row r="63" spans="3:9" ht="27" hidden="1" customHeight="1" outlineLevel="1" x14ac:dyDescent="0.3">
      <c r="C63" s="569"/>
      <c r="D63" s="161" t="str">
        <f>_xlfn.CONCAT(_xlfn.XLOOKUP("[S13_AnyOtherIssues][57][QuestionnaireSubQuestion]",Submission!$O:$O,Submission!$H:$N,""))</f>
        <v/>
      </c>
      <c r="E63" s="356" t="str">
        <f>_xlfn.CONCAT(_xlfn.XLOOKUP("[S13_AnyOtherIssues][57][OtherInformationOrIssues]",Submission!$O:$O,Submission!$H:$N,""))</f>
        <v/>
      </c>
      <c r="F63" s="356"/>
      <c r="G63" s="356"/>
      <c r="H63" s="356"/>
      <c r="I63" s="263"/>
    </row>
    <row r="64" spans="3:9" ht="27" hidden="1" customHeight="1" outlineLevel="1" x14ac:dyDescent="0.3">
      <c r="C64" s="569"/>
      <c r="D64" s="161" t="str">
        <f>_xlfn.CONCAT(_xlfn.XLOOKUP("[S13_AnyOtherIssues][58][QuestionnaireSubQuestion]",Submission!$O:$O,Submission!$H:$N,""))</f>
        <v/>
      </c>
      <c r="E64" s="356" t="str">
        <f>_xlfn.CONCAT(_xlfn.XLOOKUP("[S13_AnyOtherIssues][58][OtherInformationOrIssues]",Submission!$O:$O,Submission!$H:$N,""))</f>
        <v/>
      </c>
      <c r="F64" s="356"/>
      <c r="G64" s="356"/>
      <c r="H64" s="356"/>
      <c r="I64" s="263"/>
    </row>
    <row r="65" spans="3:9" ht="27" hidden="1" customHeight="1" outlineLevel="1" x14ac:dyDescent="0.3">
      <c r="C65" s="569"/>
      <c r="D65" s="161" t="str">
        <f>_xlfn.CONCAT(_xlfn.XLOOKUP("[S13_AnyOtherIssues][59][QuestionnaireSubQuestion]",Submission!$O:$O,Submission!$H:$N,""))</f>
        <v/>
      </c>
      <c r="E65" s="356" t="str">
        <f>_xlfn.CONCAT(_xlfn.XLOOKUP("[S13_AnyOtherIssues][59][OtherInformationOrIssues]",Submission!$O:$O,Submission!$H:$N,""))</f>
        <v/>
      </c>
      <c r="F65" s="356"/>
      <c r="G65" s="356"/>
      <c r="H65" s="356"/>
      <c r="I65" s="263"/>
    </row>
    <row r="66" spans="3:9" ht="27" hidden="1" customHeight="1" outlineLevel="1" x14ac:dyDescent="0.3">
      <c r="C66" s="569"/>
      <c r="D66" s="161" t="str">
        <f>_xlfn.CONCAT(_xlfn.XLOOKUP("[S13_AnyOtherIssues][60][QuestionnaireSubQuestion]",Submission!$O:$O,Submission!$H:$N,""))</f>
        <v/>
      </c>
      <c r="E66" s="356" t="str">
        <f>_xlfn.CONCAT(_xlfn.XLOOKUP("[S13_AnyOtherIssues][60][OtherInformationOrIssues]",Submission!$O:$O,Submission!$H:$N,""))</f>
        <v/>
      </c>
      <c r="F66" s="356"/>
      <c r="G66" s="356"/>
      <c r="H66" s="356"/>
      <c r="I66" s="263"/>
    </row>
    <row r="67" spans="3:9" ht="27" hidden="1" customHeight="1" outlineLevel="1" x14ac:dyDescent="0.3">
      <c r="C67" s="569"/>
      <c r="D67" s="161" t="str">
        <f>_xlfn.CONCAT(_xlfn.XLOOKUP("[S13_AnyOtherIssues][61][QuestionnaireSubQuestion]",Submission!$O:$O,Submission!$H:$N,""))</f>
        <v/>
      </c>
      <c r="E67" s="356" t="str">
        <f>_xlfn.CONCAT(_xlfn.XLOOKUP("[S13_AnyOtherIssues][61][OtherInformationOrIssues]",Submission!$O:$O,Submission!$H:$N,""))</f>
        <v/>
      </c>
      <c r="F67" s="356"/>
      <c r="G67" s="356"/>
      <c r="H67" s="356"/>
      <c r="I67" s="263"/>
    </row>
    <row r="68" spans="3:9" ht="27" hidden="1" customHeight="1" outlineLevel="1" x14ac:dyDescent="0.3">
      <c r="C68" s="569"/>
      <c r="D68" s="161" t="str">
        <f>_xlfn.CONCAT(_xlfn.XLOOKUP("[S13_AnyOtherIssues][62][QuestionnaireSubQuestion]",Submission!$O:$O,Submission!$H:$N,""))</f>
        <v/>
      </c>
      <c r="E68" s="356" t="str">
        <f>_xlfn.CONCAT(_xlfn.XLOOKUP("[S13_AnyOtherIssues][62][OtherInformationOrIssues]",Submission!$O:$O,Submission!$H:$N,""))</f>
        <v/>
      </c>
      <c r="F68" s="356"/>
      <c r="G68" s="356"/>
      <c r="H68" s="356"/>
      <c r="I68" s="263"/>
    </row>
    <row r="69" spans="3:9" ht="27" hidden="1" customHeight="1" outlineLevel="1" x14ac:dyDescent="0.3">
      <c r="C69" s="569"/>
      <c r="D69" s="161" t="str">
        <f>_xlfn.CONCAT(_xlfn.XLOOKUP("[S13_AnyOtherIssues][63][QuestionnaireSubQuestion]",Submission!$O:$O,Submission!$H:$N,""))</f>
        <v/>
      </c>
      <c r="E69" s="356" t="str">
        <f>_xlfn.CONCAT(_xlfn.XLOOKUP("[S13_AnyOtherIssues][63][OtherInformationOrIssues]",Submission!$O:$O,Submission!$H:$N,""))</f>
        <v/>
      </c>
      <c r="F69" s="356"/>
      <c r="G69" s="356"/>
      <c r="H69" s="356"/>
      <c r="I69" s="263"/>
    </row>
    <row r="70" spans="3:9" ht="27" hidden="1" customHeight="1" outlineLevel="1" x14ac:dyDescent="0.3">
      <c r="C70" s="569"/>
      <c r="D70" s="161" t="str">
        <f>_xlfn.CONCAT(_xlfn.XLOOKUP("[S13_AnyOtherIssues][64][QuestionnaireSubQuestion]",Submission!$O:$O,Submission!$H:$N,""))</f>
        <v/>
      </c>
      <c r="E70" s="356" t="str">
        <f>_xlfn.CONCAT(_xlfn.XLOOKUP("[S13_AnyOtherIssues][64][OtherInformationOrIssues]",Submission!$O:$O,Submission!$H:$N,""))</f>
        <v/>
      </c>
      <c r="F70" s="356"/>
      <c r="G70" s="356"/>
      <c r="H70" s="356"/>
      <c r="I70" s="263"/>
    </row>
    <row r="71" spans="3:9" ht="27" hidden="1" customHeight="1" outlineLevel="1" x14ac:dyDescent="0.3">
      <c r="C71" s="569"/>
      <c r="D71" s="161" t="str">
        <f>_xlfn.CONCAT(_xlfn.XLOOKUP("[S13_AnyOtherIssues][65][QuestionnaireSubQuestion]",Submission!$O:$O,Submission!$H:$N,""))</f>
        <v/>
      </c>
      <c r="E71" s="356" t="str">
        <f>_xlfn.CONCAT(_xlfn.XLOOKUP("[S13_AnyOtherIssues][65][OtherInformationOrIssues]",Submission!$O:$O,Submission!$H:$N,""))</f>
        <v/>
      </c>
      <c r="F71" s="356"/>
      <c r="G71" s="356"/>
      <c r="H71" s="356"/>
      <c r="I71" s="263"/>
    </row>
    <row r="72" spans="3:9" ht="27" hidden="1" customHeight="1" outlineLevel="1" x14ac:dyDescent="0.3">
      <c r="C72" s="569"/>
      <c r="D72" s="161" t="str">
        <f>_xlfn.CONCAT(_xlfn.XLOOKUP("[S13_AnyOtherIssues][66][QuestionnaireSubQuestion]",Submission!$O:$O,Submission!$H:$N,""))</f>
        <v/>
      </c>
      <c r="E72" s="356" t="str">
        <f>_xlfn.CONCAT(_xlfn.XLOOKUP("[S13_AnyOtherIssues][66][OtherInformationOrIssues]",Submission!$O:$O,Submission!$H:$N,""))</f>
        <v/>
      </c>
      <c r="F72" s="356"/>
      <c r="G72" s="356"/>
      <c r="H72" s="356"/>
      <c r="I72" s="263"/>
    </row>
    <row r="73" spans="3:9" ht="27" hidden="1" customHeight="1" outlineLevel="1" x14ac:dyDescent="0.3">
      <c r="C73" s="570"/>
      <c r="D73" s="161" t="str">
        <f>_xlfn.CONCAT(_xlfn.XLOOKUP("[S13_AnyOtherIssues][67][QuestionnaireSubQuestion]",Submission!$O:$O,Submission!$H:$N,""))</f>
        <v/>
      </c>
      <c r="E73" s="356" t="str">
        <f>_xlfn.CONCAT(_xlfn.XLOOKUP("[S13_AnyOtherIssues][67][OtherInformationOrIssues]",Submission!$O:$O,Submission!$H:$N,""))</f>
        <v/>
      </c>
      <c r="F73" s="356"/>
      <c r="G73" s="356"/>
      <c r="H73" s="356"/>
      <c r="I73" s="263"/>
    </row>
    <row r="74" spans="3:9" ht="27" customHeight="1" collapsed="1" x14ac:dyDescent="0.3">
      <c r="C74" s="568" t="s">
        <v>1373</v>
      </c>
      <c r="D74" s="161" t="str">
        <f>_xlfn.CONCAT(_xlfn.XLOOKUP("[S13_AnyOtherIssues][68][QuestionnaireSubQuestion]",Submission!$O:$O,Submission!$H:$N,""))</f>
        <v>Question 9.1</v>
      </c>
      <c r="E74" s="356" t="str">
        <f>_xlfn.CONCAT(_xlfn.XLOOKUP("[S13_AnyOtherIssues][68][OtherInformationOrIssues]",Submission!$O:$O,Submission!$H:$N,""))</f>
        <v xml:space="preserve">Do przeliczenia kwot z PLN na euro przyjęto kurs średni NBP z dnia 4 maja 2022 r., który wynosił 4,6777 PLN/EURO. W przypadku postępowania w przedmiocie zmiany albo wygaszenia zezwolenia opłata jest należna tylko jeżeli postępowanie zostało wszczęte na wniosek prowadzącego instalację. W przypadku wszczęcia ww. postępowań z urzędu opłata nie jest pobierana. Zmiana planu monitorowania - 2,13 EUR. </v>
      </c>
      <c r="F74" s="356"/>
      <c r="G74" s="356"/>
      <c r="H74" s="356"/>
      <c r="I74" s="263"/>
    </row>
    <row r="75" spans="3:9" ht="27" customHeight="1" x14ac:dyDescent="0.3">
      <c r="C75" s="569"/>
      <c r="D75" s="161" t="str">
        <f>_xlfn.CONCAT(_xlfn.XLOOKUP("[S13_AnyOtherIssues][69][QuestionnaireSubQuestion]",Submission!$O:$O,Submission!$H:$N,""))</f>
        <v>Question 9.2</v>
      </c>
      <c r="E75" s="356" t="str">
        <f>_xlfn.CONCAT(_xlfn.XLOOKUP("[S13_AnyOtherIssues][69][OtherInformationOrIssues]",Submission!$O:$O,Submission!$H:$N,""))</f>
        <v>Do przeliczenia kwot z PLN na euro przyjęto kurs średni NBP z dnia 4 maja 2022 r., który wynosił 4,6777 PLN/EURO.</v>
      </c>
      <c r="F75" s="356"/>
      <c r="G75" s="356"/>
      <c r="H75" s="356"/>
      <c r="I75" s="263"/>
    </row>
    <row r="76" spans="3:9" ht="27" hidden="1" customHeight="1" outlineLevel="1" x14ac:dyDescent="0.3">
      <c r="C76" s="570"/>
      <c r="D76" s="161" t="str">
        <f>_xlfn.CONCAT(_xlfn.XLOOKUP("[S13_AnyOtherIssues][70][QuestionnaireSubQuestion]",Submission!$O:$O,Submission!$H:$N,""))</f>
        <v>Question 9.3</v>
      </c>
      <c r="E76" s="356" t="str">
        <f>_xlfn.CONCAT(_xlfn.XLOOKUP("[S13_AnyOtherIssues][70][OtherInformationOrIssues]",Submission!$O:$O,Submission!$H:$N,""))</f>
        <v>Do przeliczenia kwot z PLN na euro przyjęto kurs średni NBP z dnia 4 maja 2022 r., który wynosił 4,6777 PLN/EURO.</v>
      </c>
      <c r="F76" s="356"/>
      <c r="G76" s="356"/>
      <c r="H76" s="356"/>
      <c r="I76" s="263"/>
    </row>
    <row r="77" spans="3:9" ht="27" customHeight="1" collapsed="1" x14ac:dyDescent="0.3">
      <c r="C77" s="568" t="s">
        <v>1374</v>
      </c>
      <c r="D77" s="161" t="str">
        <f>_xlfn.CONCAT(_xlfn.XLOOKUP("[S13_AnyOtherIssues][71][QuestionnaireSubQuestion]",Submission!$O:$O,Submission!$H:$N,""))</f>
        <v>Question 10.2</v>
      </c>
      <c r="E77" s="356" t="str">
        <f>_xlfn.CONCAT(_xlfn.XLOOKUP("[S13_AnyOtherIssues][71][OtherInformationOrIssues]",Submission!$O:$O,Submission!$H:$N,""))</f>
        <v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prowadzącego instalację administracyjnej kary pieniężnej nie zwalnia go od rozliczenia wielkości emisji. Do przeliczenia kar na euro przyjęto kurs średni NBP z dnia 4 maja 2022 r., który wynosił 4,6777 PLN/EURO. </v>
      </c>
      <c r="F77" s="356"/>
      <c r="G77" s="356"/>
      <c r="H77" s="356"/>
      <c r="I77" s="263"/>
    </row>
    <row r="78" spans="3:9" ht="27" customHeight="1" x14ac:dyDescent="0.3">
      <c r="C78" s="569"/>
      <c r="D78" s="161" t="str">
        <f>_xlfn.CONCAT(_xlfn.XLOOKUP("[S13_AnyOtherIssues][72][QuestionnaireSubQuestion]",Submission!$O:$O,Submission!$H:$N,""))</f>
        <v>Question 10.3</v>
      </c>
      <c r="E78" s="356" t="str">
        <f>_xlfn.CONCAT(_xlfn.XLOOKUP("[S13_AnyOtherIssues][72][OtherInformationOrIssues]",Submission!$O:$O,Submission!$H:$N,""))</f>
        <v>(1) Decyzja Śląskiego Wojewódzkiego Inspektora Ochrony Środowiska z dnia 16 września 2021 r. nakładająca karę pieniężną w wysokości 5 000 zł (1 068.90 euro) za niezłożenie w terminie raportu na temat wielkości emisji lub sprawozdania z weryfikacji za rok 2020.
(2) Decyzja Podlaskiego Wojewódzkiego Inspektora Ochrony Środowiska z dnia 21 grudnia 2021 r. nakładająca karę pieniężną w wysokości 5 000 zł (1 068.90 euro) za niezłożenie w terminie raportu na temat wielkości emisji lub sprawozdania z weryfikacji za rok 2020.
(3) Decyzja Małopolskiego Wojewódzkiego Inspektora Ochrony Środowiska z dnia 12 kwietnia 2021 r. nakładająca karę pieniężną w wysokości 5 000 zł (1 068.90 euro) za niezłożenie w terminie raportu na temat wielkości emisji lub sprawozdania z weryfikacji za rok 2019.
(4) Decyzja Śląskiego Wojewódzkiego Inspektora Ochrony Środowiska z dnia 23 września 2021 r. nakładająca karę pieniężną w wysokości 5 000 zł (1 068.90 euro) za niezłożenie w terminie raportu na temat wielkości emisji lub sprawozdania z weryfikacji za rok 2020.
(5) Decyzja Śląskiego Wojewódzkiego Inspektora Ochrony Środowiska z dnia 13 października 2021 r. nakładająca karę pieniężną w wysokości 5 000 zł (1 068.90 euro) za niezłożenie w terminie raportu na temat wielkości emisji lub sprawozdania z weryfikacji za rok 2020.
(6) Decyzja Małopolskiego Wojewódzkiego Inspektora Ochrony Środowiska z dnia 13 kwietnia 2021 r. nakładająca karę pieniężną w wysokości 18 092 827 zł (3 867 889.56 euro) za niedokonanie w terminie rozliczenia wielkości emisji za lata 2018 i 2019. Do przeliczenia kar na euro przyjęto kurs średni NBP z dnia 4 maja 2021 r., który wynosił 4,6777 PLN/EURO.</v>
      </c>
      <c r="F78" s="356"/>
      <c r="G78" s="356"/>
      <c r="H78" s="356"/>
      <c r="I78" s="263"/>
    </row>
    <row r="79" spans="3:9" ht="27" hidden="1" customHeight="1" outlineLevel="1" x14ac:dyDescent="0.3">
      <c r="C79" s="569"/>
      <c r="D79" s="161" t="str">
        <f>_xlfn.CONCAT(_xlfn.XLOOKUP("[S13_AnyOtherIssues][73][QuestionnaireSubQuestion]",Submission!$O:$O,Submission!$H:$N,""))</f>
        <v>Question 10.6</v>
      </c>
      <c r="E79" s="356" t="str">
        <f>_xlfn.CONCAT(_xlfn.XLOOKUP("[S13_AnyOtherIssues][73][OtherInformationOrIssues]",Submission!$O:$O,Submission!$H:$N,""))</f>
        <v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operatora statku powietrznego administracyjnej kary pieniężnej nie zwalnia go od rozliczenia wielkości emisji. Do przeliczenia kar na euro przyjęto kurs średni NBP z dnia 4 maja 2022 r., który wynosił 4,6777 PLN/EURO. </v>
      </c>
      <c r="F79" s="356"/>
      <c r="G79" s="356"/>
      <c r="H79" s="356"/>
      <c r="I79" s="263"/>
    </row>
    <row r="80" spans="3:9" ht="27" hidden="1" customHeight="1" outlineLevel="1" x14ac:dyDescent="0.3">
      <c r="C80" s="569"/>
      <c r="D80" s="161" t="str">
        <f>_xlfn.CONCAT(_xlfn.XLOOKUP("[S13_AnyOtherIssues][74][QuestionnaireSubQuestion]",Submission!$O:$O,Submission!$H:$N,""))</f>
        <v>Question 10.7</v>
      </c>
      <c r="E80" s="356" t="str">
        <f>_xlfn.CONCAT(_xlfn.XLOOKUP("[S13_AnyOtherIssues][74][OtherInformationOrIssues]",Submission!$O:$O,Submission!$H:$N,""))</f>
        <v>Decyzja Głównego Inspektora Ochrony Środowiska z dnia 11 czerwca 2021 r. nakładająca karę pieniężną w wysokości 50 000 zł (10 689.01 euro) za niezłożenie w terminie raportu na temat wielkości emisji lub sprawozdania z weryfikacji za rok 2019. Do przeliczenia kary na euro przyjęto kurs średni NBP z dnia 4 maja 2021 r., który wynosił 4,6777 PLN/EURO.</v>
      </c>
      <c r="F80" s="356"/>
      <c r="G80" s="356"/>
      <c r="H80" s="356"/>
      <c r="I80" s="263"/>
    </row>
    <row r="81" spans="1:9" ht="27" hidden="1" customHeight="1" outlineLevel="1" x14ac:dyDescent="0.3">
      <c r="C81" s="569"/>
      <c r="D81" s="161" t="str">
        <f>_xlfn.CONCAT(_xlfn.XLOOKUP("[S13_AnyOtherIssues][75][QuestionnaireSubQuestion]",Submission!$O:$O,Submission!$H:$N,""))</f>
        <v/>
      </c>
      <c r="E81" s="356" t="str">
        <f>_xlfn.CONCAT(_xlfn.XLOOKUP("[S13_AnyOtherIssues][75][OtherInformationOrIssues]",Submission!$O:$O,Submission!$H:$N,""))</f>
        <v/>
      </c>
      <c r="F81" s="356"/>
      <c r="G81" s="356"/>
      <c r="H81" s="356"/>
      <c r="I81" s="263"/>
    </row>
    <row r="82" spans="1:9" ht="27" hidden="1" customHeight="1" outlineLevel="1" x14ac:dyDescent="0.3">
      <c r="C82" s="569"/>
      <c r="D82" s="161" t="str">
        <f>_xlfn.CONCAT(_xlfn.XLOOKUP("[S13_AnyOtherIssues][76][QuestionnaireSubQuestion]",Submission!$O:$O,Submission!$H:$N,""))</f>
        <v/>
      </c>
      <c r="E82" s="356" t="str">
        <f>_xlfn.CONCAT(_xlfn.XLOOKUP("[S13_AnyOtherIssues][76][OtherInformationOrIssues]",Submission!$O:$O,Submission!$H:$N,""))</f>
        <v/>
      </c>
      <c r="F82" s="356"/>
      <c r="G82" s="356"/>
      <c r="H82" s="356"/>
      <c r="I82" s="263"/>
    </row>
    <row r="83" spans="1:9" ht="27" hidden="1" customHeight="1" outlineLevel="1" x14ac:dyDescent="0.3">
      <c r="C83" s="569"/>
      <c r="D83" s="161" t="str">
        <f>_xlfn.CONCAT(_xlfn.XLOOKUP("[S13_AnyOtherIssues][77][QuestionnaireSubQuestion]",Submission!$O:$O,Submission!$H:$N,""))</f>
        <v/>
      </c>
      <c r="E83" s="356" t="str">
        <f>_xlfn.CONCAT(_xlfn.XLOOKUP("[S13_AnyOtherIssues][77][OtherInformationOrIssues]",Submission!$O:$O,Submission!$H:$N,""))</f>
        <v/>
      </c>
      <c r="F83" s="356"/>
      <c r="G83" s="356"/>
      <c r="H83" s="356"/>
      <c r="I83" s="263"/>
    </row>
    <row r="84" spans="1:9" ht="27" hidden="1" customHeight="1" outlineLevel="1" x14ac:dyDescent="0.3">
      <c r="C84" s="569"/>
      <c r="D84" s="161" t="str">
        <f>_xlfn.CONCAT(_xlfn.XLOOKUP("[S13_AnyOtherIssues][78][QuestionnaireSubQuestion]",Submission!$O:$O,Submission!$H:$N,""))</f>
        <v/>
      </c>
      <c r="E84" s="356" t="str">
        <f>_xlfn.CONCAT(_xlfn.XLOOKUP("[S13_AnyOtherIssues][78][OtherInformationOrIssues]",Submission!$O:$O,Submission!$H:$N,""))</f>
        <v/>
      </c>
      <c r="F84" s="356"/>
      <c r="G84" s="356"/>
      <c r="H84" s="356"/>
      <c r="I84" s="263"/>
    </row>
    <row r="85" spans="1:9" ht="27" hidden="1" customHeight="1" outlineLevel="1" x14ac:dyDescent="0.3">
      <c r="C85" s="570"/>
      <c r="D85" s="161" t="str">
        <f>_xlfn.CONCAT(_xlfn.XLOOKUP("[S13_AnyOtherIssues][79][QuestionnaireSubQuestion]",Submission!$O:$O,Submission!$H:$N,""))</f>
        <v/>
      </c>
      <c r="E85" s="356" t="str">
        <f>_xlfn.CONCAT(_xlfn.XLOOKUP("[S13_AnyOtherIssues][79][OtherInformationOrIssues]",Submission!$O:$O,Submission!$H:$N,""))</f>
        <v/>
      </c>
      <c r="F85" s="356"/>
      <c r="G85" s="356"/>
      <c r="H85" s="356"/>
      <c r="I85" s="263"/>
    </row>
    <row r="86" spans="1:9" ht="27" customHeight="1" collapsed="1" x14ac:dyDescent="0.3">
      <c r="C86" s="568" t="s">
        <v>1375</v>
      </c>
      <c r="D86" s="161" t="str">
        <f>_xlfn.CONCAT(_xlfn.XLOOKUP("[S13_AnyOtherIssues][80][QuestionnaireSubQuestion]",Submission!$O:$O,Submission!$H:$N,""))</f>
        <v>Question 11.3</v>
      </c>
      <c r="E86" s="356" t="str">
        <f>_xlfn.CONCAT(_xlfn.XLOOKUP("[S13_AnyOtherIssues][80][OtherInformationOrIssues]",Submission!$O:$O,Submission!$H:$N,""))</f>
        <v>W związku ze zmianą ustawy z dnia 11 marca 2004 r. o podatku od towarów i usług (Dz. U. z 2022, poz. 931, ze zm.) od dnia 1 listopada 2019 r. obrót uprawnieniami do emisji nie jest już objęty mechanizmem odwrotnego obciążenia. Zgodnie z art. 108a ust. 1a tej ustawy, przy dokonywaniu płatności za nabyte towary lub usługi wymienione w załączniku nr 15 do ustawy (w tym także uprawnienia do emisji), udokumentowane fakturą, w której kwota należności ogółem przekracza 15 000 zł, podatnicy są obowiązani zastosować mechanizm podzielonej płatności. 
Brak możliwości udzielenia jednoznacznej odpowiedzi TAK/NIE na połączone pytanie o opodatkowanie wydania i transakcji uprawnieniami, ponieważ w PL jedynie transakcje na rynku wtórnym obciążone są podatkiem VAT.</v>
      </c>
      <c r="F86" s="356"/>
      <c r="G86" s="356"/>
      <c r="H86" s="356"/>
      <c r="I86" s="263"/>
    </row>
    <row r="87" spans="1:9" ht="27" customHeight="1" x14ac:dyDescent="0.3">
      <c r="C87" s="569"/>
      <c r="D87" s="161" t="str">
        <f>_xlfn.CONCAT(_xlfn.XLOOKUP("[S13_AnyOtherIssues][81][QuestionnaireSubQuestion]",Submission!$O:$O,Submission!$H:$N,""))</f>
        <v/>
      </c>
      <c r="E87" s="356" t="str">
        <f>_xlfn.CONCAT(_xlfn.XLOOKUP("[S13_AnyOtherIssues][81][OtherInformationOrIssues]",Submission!$O:$O,Submission!$H:$N,""))</f>
        <v/>
      </c>
      <c r="F87" s="356"/>
      <c r="G87" s="356"/>
      <c r="H87" s="356"/>
      <c r="I87" s="263"/>
    </row>
    <row r="88" spans="1:9" ht="27" hidden="1" customHeight="1" outlineLevel="1" x14ac:dyDescent="0.3">
      <c r="C88" s="569"/>
      <c r="D88" s="161" t="str">
        <f>_xlfn.CONCAT(_xlfn.XLOOKUP("[S13_AnyOtherIssues][82][QuestionnaireSubQuestion]",Submission!$O:$O,Submission!$H:$N,""))</f>
        <v/>
      </c>
      <c r="E88" s="356" t="str">
        <f>_xlfn.CONCAT(_xlfn.XLOOKUP("[S13_AnyOtherIssues][82][OtherInformationOrIssues]",Submission!$O:$O,Submission!$H:$N,""))</f>
        <v/>
      </c>
      <c r="F88" s="356"/>
      <c r="G88" s="356"/>
      <c r="H88" s="356"/>
      <c r="I88" s="263"/>
    </row>
    <row r="89" spans="1:9" ht="27" hidden="1" customHeight="1" outlineLevel="1" x14ac:dyDescent="0.3">
      <c r="C89" s="570"/>
      <c r="D89" s="161" t="str">
        <f>_xlfn.CONCAT(_xlfn.XLOOKUP("[S13_AnyOtherIssues][83][QuestionnaireSubQuestion]",Submission!$O:$O,Submission!$H:$N,""))</f>
        <v/>
      </c>
      <c r="E89" s="356" t="str">
        <f>_xlfn.CONCAT(_xlfn.XLOOKUP("[S13_AnyOtherIssues][83][OtherInformationOrIssues]",Submission!$O:$O,Submission!$H:$N,""))</f>
        <v/>
      </c>
      <c r="F89" s="356"/>
      <c r="G89" s="356"/>
      <c r="H89" s="356"/>
      <c r="I89" s="263"/>
    </row>
    <row r="90" spans="1:9" ht="27" customHeight="1" collapsed="1" x14ac:dyDescent="0.3">
      <c r="C90" s="385" t="s">
        <v>1376</v>
      </c>
      <c r="D90" s="161" t="str">
        <f>_xlfn.CONCAT(_xlfn.XLOOKUP("[S13_AnyOtherIssues][84][QuestionnaireSubQuestion]",Submission!$O:$O,Submission!$H:$N,""))</f>
        <v>Question 12.3</v>
      </c>
      <c r="E90" s="356" t="str">
        <f>_xlfn.CONCAT(_xlfn.XLOOKUP("[S13_AnyOtherIssues][84][OtherInformationOrIssues]",Submission!$O:$O,Submission!$H:$N,""))</f>
        <v>Brak informacji w tym zakresie.</v>
      </c>
      <c r="F90" s="356"/>
      <c r="G90" s="356"/>
      <c r="H90" s="356"/>
      <c r="I90" s="263"/>
    </row>
    <row r="91" spans="1:9" ht="27" customHeight="1" x14ac:dyDescent="0.3">
      <c r="C91" s="385"/>
      <c r="D91" s="161" t="str">
        <f>_xlfn.CONCAT(_xlfn.XLOOKUP("[S13_AnyOtherIssues][85][QuestionnaireSubQuestion]",Submission!$O:$O,Submission!$H:$N,""))</f>
        <v/>
      </c>
      <c r="E91" s="356" t="str">
        <f>_xlfn.CONCAT(_xlfn.XLOOKUP("[S13_AnyOtherIssues][85][OtherInformationOrIssues]",Submission!$O:$O,Submission!$H:$N,""))</f>
        <v/>
      </c>
      <c r="F91" s="356"/>
      <c r="G91" s="356"/>
      <c r="H91" s="356"/>
      <c r="I91" s="263"/>
    </row>
    <row r="92" spans="1:9" ht="27" hidden="1" customHeight="1" outlineLevel="1" x14ac:dyDescent="0.3">
      <c r="C92" s="385"/>
      <c r="D92" s="161" t="str">
        <f>_xlfn.CONCAT(_xlfn.XLOOKUP("[S13_AnyOtherIssues][86][QuestionnaireSubQuestion]",Submission!$O:$O,Submission!$H:$N,""))</f>
        <v/>
      </c>
      <c r="E92" s="372" t="str">
        <f>_xlfn.CONCAT(_xlfn.XLOOKUP("[S13_AnyOtherIssues][86][OtherInformationOrIssues]",Submission!$O:$O,Submission!$H:$N,""))</f>
        <v/>
      </c>
      <c r="F92" s="372"/>
      <c r="G92" s="372"/>
      <c r="H92" s="372"/>
      <c r="I92" s="262"/>
    </row>
    <row r="93" spans="1:9" ht="15.9" customHeight="1" collapsed="1" x14ac:dyDescent="0.3">
      <c r="C93" s="162" t="s">
        <v>1361</v>
      </c>
    </row>
    <row r="94" spans="1:9" ht="15.9" customHeight="1" x14ac:dyDescent="0.3"/>
    <row r="95" spans="1:9" ht="15.9" customHeight="1" x14ac:dyDescent="0.3">
      <c r="A95" s="12" t="s">
        <v>648</v>
      </c>
      <c r="B95" s="341" t="s">
        <v>1377</v>
      </c>
      <c r="C95" s="311"/>
      <c r="D95" s="311"/>
      <c r="E95" s="311"/>
      <c r="F95" s="311"/>
      <c r="G95" s="311"/>
      <c r="H95" s="348"/>
      <c r="I95" s="41" t="str">
        <f>_xlfn.CONCAT(_xlfn.XLOOKUP("[QuestionnaireFilledConfirmation][0][QuestionnaireFilledConfirmation]",Submission!$O:$O,Submission!$H:$N,""))</f>
        <v>Yes</v>
      </c>
    </row>
    <row r="96" spans="1:9" ht="15.9" customHeight="1" x14ac:dyDescent="0.3">
      <c r="A96" s="13"/>
      <c r="B96" s="341" t="s">
        <v>1378</v>
      </c>
      <c r="C96" s="311"/>
      <c r="D96" s="311"/>
      <c r="E96" s="311"/>
      <c r="F96" s="311"/>
      <c r="G96" s="311"/>
      <c r="H96" s="311"/>
      <c r="I96" s="311"/>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15</v>
      </c>
      <c r="AL2">
        <f>IFERROR(MATCH("",$AL$3:$AL$19,0)-1,0)</f>
        <v>14</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MKiŚ</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KOBiZE</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GIOŚ</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WIOŚ</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R</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URE</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W</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S</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v>
      </c>
      <c r="AL15" t="str">
        <f>'Q 10'!D158</f>
        <v>Wykonywanie operacji lotniczych bez zatwierdzenia planu monitorowania wielkości emisji (art. 103 ust. 1 ustawy).</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xml:space="preserve">Niewystąpienie z wnioskiem o zmianę zezwolenia w przypadku zaistnienia zdarzenia powodującego konieczność zmiany planu monitorowania wielkości emisji, jeżeli zmiana ta ma charakter zmiany istotnej w rozumieniu art. 15 ust. 3 rozporządzenia (UE) 2018/2066 (art. 103 ust. 3 ustawy). </v>
      </c>
      <c r="AL16" t="str">
        <f>'Q 10'!D159</f>
        <v xml:space="preserve">Niedokonanie przez operatora statku powietrznego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 </v>
      </c>
      <c r="AM16" t="s">
        <v>1586</v>
      </c>
      <c r="AP16" s="153" t="s">
        <v>2217</v>
      </c>
      <c r="AQ16" s="153" t="s">
        <v>2264</v>
      </c>
      <c r="AR16" s="163">
        <v>44739</v>
      </c>
    </row>
    <row r="17" spans="3:44" x14ac:dyDescent="0.3">
      <c r="C17" t="s">
        <v>1587</v>
      </c>
      <c r="F17" t="str">
        <f>'Q 2'!D20</f>
        <v/>
      </c>
      <c r="I17" s="169" t="s">
        <v>1588</v>
      </c>
      <c r="J17" t="s">
        <v>1589</v>
      </c>
      <c r="V17" t="s">
        <v>1590</v>
      </c>
      <c r="AJ17" s="56"/>
      <c r="AK17" t="str">
        <f>'Q 10'!D34</f>
        <v xml:space="preserve">W przypadku prowadzącego instalację, która powstała w wyniku połączenia lub podziału, kara za nieprzekazanie w terminie informacji i dokumentów, o których mowa w art. 25 ust. 1 i 2 rozporządzenia Komisji (UE) 2019/331 (art. 105 ust. 4 ustawy).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Instytut Ochrony Środowiska – Państwowy Instytut Badawczy, Krajowy Ośrodek Bilansowania i Zarządzania Emisjami</v>
      </c>
    </row>
    <row r="3" spans="1:21" x14ac:dyDescent="0.3">
      <c r="A3" t="s">
        <v>1738</v>
      </c>
      <c r="B3" t="s">
        <v>1739</v>
      </c>
      <c r="C3">
        <v>0</v>
      </c>
      <c r="D3" t="s">
        <v>1447</v>
      </c>
      <c r="E3" t="s">
        <v>1742</v>
      </c>
      <c r="F3" t="s">
        <v>1741</v>
      </c>
      <c r="G3" t="str">
        <f>IF(ISBLANK('Q 1'!E6),"",IF('Q 1'!E6="&lt;please select&gt;","",'Q 1'!E6))</f>
        <v>Adam Kociniak</v>
      </c>
    </row>
    <row r="4" spans="1:21" x14ac:dyDescent="0.3">
      <c r="A4" t="s">
        <v>1738</v>
      </c>
      <c r="B4" t="s">
        <v>1739</v>
      </c>
      <c r="C4">
        <v>0</v>
      </c>
      <c r="D4" t="s">
        <v>1447</v>
      </c>
      <c r="E4" t="s">
        <v>1743</v>
      </c>
      <c r="F4" t="s">
        <v>1741</v>
      </c>
      <c r="G4" t="str">
        <f>IF(ISBLANK('Q 1'!E7),"",IF('Q 1'!E7="&lt;please select&gt;","",'Q 1'!E7))</f>
        <v>Główny specjalista</v>
      </c>
    </row>
    <row r="5" spans="1:21" x14ac:dyDescent="0.3">
      <c r="A5" t="s">
        <v>1738</v>
      </c>
      <c r="B5" t="s">
        <v>1739</v>
      </c>
      <c r="C5">
        <v>0</v>
      </c>
      <c r="D5" t="s">
        <v>1447</v>
      </c>
      <c r="E5" t="s">
        <v>1744</v>
      </c>
      <c r="F5" t="s">
        <v>1741</v>
      </c>
      <c r="G5" t="str">
        <f>IF(ISBLANK('Q 1'!E8),"",IF('Q 1'!E8="&lt;please select&gt;","",'Q 1'!E8))</f>
        <v>ul. Chmielna 132/134, 00-805 Warszawa</v>
      </c>
    </row>
    <row r="6" spans="1:21" x14ac:dyDescent="0.3">
      <c r="A6" t="s">
        <v>1738</v>
      </c>
      <c r="B6" t="s">
        <v>1739</v>
      </c>
      <c r="C6">
        <v>0</v>
      </c>
      <c r="D6" t="s">
        <v>1447</v>
      </c>
      <c r="E6" t="s">
        <v>1745</v>
      </c>
      <c r="F6" t="s">
        <v>1741</v>
      </c>
      <c r="G6" t="str">
        <f>IF(ISBLANK('Q 1'!E9),"",IF('Q 1'!E9="&lt;please select&gt;","",'Q 1'!E9))</f>
        <v>48225696535</v>
      </c>
    </row>
    <row r="7" spans="1:21" x14ac:dyDescent="0.3">
      <c r="A7" t="s">
        <v>1738</v>
      </c>
      <c r="B7" t="s">
        <v>1739</v>
      </c>
      <c r="C7">
        <v>0</v>
      </c>
      <c r="D7" t="s">
        <v>1447</v>
      </c>
      <c r="E7" t="s">
        <v>1746</v>
      </c>
      <c r="F7" t="s">
        <v>1741</v>
      </c>
      <c r="G7" t="str">
        <f>IF(ISBLANK('Q 1'!E10),"",IF('Q 1'!E10="&lt;please select&gt;","",'Q 1'!E10))</f>
        <v>adam.kociniak@kobize.pl</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Minister Klimatu i Środowiska</v>
      </c>
    </row>
    <row r="10" spans="1:21" x14ac:dyDescent="0.3">
      <c r="A10" t="s">
        <v>1749</v>
      </c>
      <c r="B10" t="s">
        <v>1750</v>
      </c>
      <c r="C10">
        <v>2</v>
      </c>
      <c r="D10" t="s">
        <v>1447</v>
      </c>
      <c r="E10" t="s">
        <v>1751</v>
      </c>
      <c r="F10" t="s">
        <v>1741</v>
      </c>
      <c r="G10" t="str">
        <f>IF(ISBLANK('Q 2'!C8),"",IF('Q 2'!C8="&lt;please select&gt;","",'Q 2'!C8))</f>
        <v>Instytut Ochrony Środowiska – Państwowy Instytut Badawczy, Krajowy Ośrodek Bilansowania i Zarządzania Emisjami</v>
      </c>
    </row>
    <row r="11" spans="1:21" x14ac:dyDescent="0.3">
      <c r="A11" t="s">
        <v>1749</v>
      </c>
      <c r="B11" t="s">
        <v>1750</v>
      </c>
      <c r="C11">
        <v>3</v>
      </c>
      <c r="D11" t="s">
        <v>1447</v>
      </c>
      <c r="E11" t="s">
        <v>1751</v>
      </c>
      <c r="F11" t="s">
        <v>1741</v>
      </c>
      <c r="G11" t="str">
        <f>IF(ISBLANK('Q 2'!C9),"",IF('Q 2'!C9="&lt;please select&gt;","",'Q 2'!C9))</f>
        <v>Główny Inspektor Ochrony Środowiska</v>
      </c>
    </row>
    <row r="12" spans="1:21" x14ac:dyDescent="0.3">
      <c r="A12" t="s">
        <v>1749</v>
      </c>
      <c r="B12" t="s">
        <v>1750</v>
      </c>
      <c r="C12">
        <v>4</v>
      </c>
      <c r="D12" t="s">
        <v>1447</v>
      </c>
      <c r="E12" t="s">
        <v>1751</v>
      </c>
      <c r="F12" t="s">
        <v>1741</v>
      </c>
      <c r="G12" t="str">
        <f>IF(ISBLANK('Q 2'!C10),"",IF('Q 2'!C10="&lt;please select&gt;","",'Q 2'!C10))</f>
        <v>Wojewódzki Inspektor Ochrony Środowiska</v>
      </c>
    </row>
    <row r="13" spans="1:21" x14ac:dyDescent="0.3">
      <c r="A13" t="s">
        <v>1749</v>
      </c>
      <c r="B13" t="s">
        <v>1750</v>
      </c>
      <c r="C13">
        <v>5</v>
      </c>
      <c r="D13" t="s">
        <v>1447</v>
      </c>
      <c r="E13" t="s">
        <v>1751</v>
      </c>
      <c r="F13" t="s">
        <v>1741</v>
      </c>
      <c r="G13" t="str">
        <f>IF(ISBLANK('Q 2'!C11),"",IF('Q 2'!C11="&lt;please select&gt;","",'Q 2'!C11))</f>
        <v>Regionalny Dyrektor Ochrony Środowiska</v>
      </c>
    </row>
    <row r="14" spans="1:21" x14ac:dyDescent="0.3">
      <c r="A14" t="s">
        <v>1749</v>
      </c>
      <c r="B14" t="s">
        <v>1750</v>
      </c>
      <c r="C14">
        <v>6</v>
      </c>
      <c r="D14" t="s">
        <v>1447</v>
      </c>
      <c r="E14" t="s">
        <v>1751</v>
      </c>
      <c r="F14" t="s">
        <v>1741</v>
      </c>
      <c r="G14" t="str">
        <f>IF(ISBLANK('Q 2'!C12),"",IF('Q 2'!C12="&lt;please select&gt;","",'Q 2'!C12))</f>
        <v xml:space="preserve">Urząd Regulacji Energetyki </v>
      </c>
    </row>
    <row r="15" spans="1:21" x14ac:dyDescent="0.3">
      <c r="A15" t="s">
        <v>1749</v>
      </c>
      <c r="B15" t="s">
        <v>1750</v>
      </c>
      <c r="C15">
        <v>7</v>
      </c>
      <c r="D15" t="s">
        <v>1447</v>
      </c>
      <c r="E15" t="s">
        <v>1751</v>
      </c>
      <c r="F15" t="s">
        <v>1741</v>
      </c>
      <c r="G15" t="str">
        <f>IF(ISBLANK('Q 2'!C13),"",IF('Q 2'!C13="&lt;please select&gt;","",'Q 2'!C13))</f>
        <v>Marszałek Województwa</v>
      </c>
    </row>
    <row r="16" spans="1:21" x14ac:dyDescent="0.3">
      <c r="A16" t="s">
        <v>1749</v>
      </c>
      <c r="B16" t="s">
        <v>1750</v>
      </c>
      <c r="C16">
        <v>8</v>
      </c>
      <c r="D16" t="s">
        <v>1447</v>
      </c>
      <c r="E16" t="s">
        <v>1751</v>
      </c>
      <c r="F16" t="s">
        <v>1741</v>
      </c>
      <c r="G16" t="str">
        <f>IF(ISBLANK('Q 2'!C14),"",IF('Q 2'!C14="&lt;please select&gt;","",'Q 2'!C14))</f>
        <v>Starosta Powiatu</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MKiŚ</v>
      </c>
    </row>
    <row r="32" spans="1:7" x14ac:dyDescent="0.3">
      <c r="A32" t="s">
        <v>1749</v>
      </c>
      <c r="B32" t="s">
        <v>1750</v>
      </c>
      <c r="C32">
        <v>2</v>
      </c>
      <c r="D32" t="s">
        <v>1447</v>
      </c>
      <c r="E32" t="s">
        <v>1752</v>
      </c>
      <c r="F32" t="s">
        <v>1741</v>
      </c>
      <c r="G32" t="str">
        <f>IF(ISBLANK('Q 2'!D8),"",IF('Q 2'!D8="&lt;please select&gt;","",'Q 2'!D8))</f>
        <v>KOBiZE</v>
      </c>
    </row>
    <row r="33" spans="1:7" x14ac:dyDescent="0.3">
      <c r="A33" t="s">
        <v>1749</v>
      </c>
      <c r="B33" t="s">
        <v>1750</v>
      </c>
      <c r="C33">
        <v>3</v>
      </c>
      <c r="D33" t="s">
        <v>1447</v>
      </c>
      <c r="E33" t="s">
        <v>1752</v>
      </c>
      <c r="F33" t="s">
        <v>1741</v>
      </c>
      <c r="G33" t="str">
        <f>IF(ISBLANK('Q 2'!D9),"",IF('Q 2'!D9="&lt;please select&gt;","",'Q 2'!D9))</f>
        <v>GIOŚ</v>
      </c>
    </row>
    <row r="34" spans="1:7" x14ac:dyDescent="0.3">
      <c r="A34" t="s">
        <v>1749</v>
      </c>
      <c r="B34" t="s">
        <v>1750</v>
      </c>
      <c r="C34">
        <v>4</v>
      </c>
      <c r="D34" t="s">
        <v>1447</v>
      </c>
      <c r="E34" t="s">
        <v>1752</v>
      </c>
      <c r="F34" t="s">
        <v>1741</v>
      </c>
      <c r="G34" t="str">
        <f>IF(ISBLANK('Q 2'!D10),"",IF('Q 2'!D10="&lt;please select&gt;","",'Q 2'!D10))</f>
        <v>WIOŚ</v>
      </c>
    </row>
    <row r="35" spans="1:7" x14ac:dyDescent="0.3">
      <c r="A35" t="s">
        <v>1749</v>
      </c>
      <c r="B35" t="s">
        <v>1750</v>
      </c>
      <c r="C35">
        <v>5</v>
      </c>
      <c r="D35" t="s">
        <v>1447</v>
      </c>
      <c r="E35" t="s">
        <v>1752</v>
      </c>
      <c r="F35" t="s">
        <v>1741</v>
      </c>
      <c r="G35" t="str">
        <f>IF(ISBLANK('Q 2'!D11),"",IF('Q 2'!D11="&lt;please select&gt;","",'Q 2'!D11))</f>
        <v>R</v>
      </c>
    </row>
    <row r="36" spans="1:7" x14ac:dyDescent="0.3">
      <c r="A36" t="s">
        <v>1749</v>
      </c>
      <c r="B36" t="s">
        <v>1750</v>
      </c>
      <c r="C36">
        <v>6</v>
      </c>
      <c r="D36" t="s">
        <v>1447</v>
      </c>
      <c r="E36" t="s">
        <v>1752</v>
      </c>
      <c r="F36" t="s">
        <v>1741</v>
      </c>
      <c r="G36" t="str">
        <f>IF(ISBLANK('Q 2'!D12),"",IF('Q 2'!D12="&lt;please select&gt;","",'Q 2'!D12))</f>
        <v>URE</v>
      </c>
    </row>
    <row r="37" spans="1:7" x14ac:dyDescent="0.3">
      <c r="A37" t="s">
        <v>1749</v>
      </c>
      <c r="B37" t="s">
        <v>1750</v>
      </c>
      <c r="C37">
        <v>7</v>
      </c>
      <c r="D37" t="s">
        <v>1447</v>
      </c>
      <c r="E37" t="s">
        <v>1752</v>
      </c>
      <c r="F37" t="s">
        <v>1741</v>
      </c>
      <c r="G37" t="str">
        <f>IF(ISBLANK('Q 2'!D13),"",IF('Q 2'!D13="&lt;please select&gt;","",'Q 2'!D13))</f>
        <v>W</v>
      </c>
    </row>
    <row r="38" spans="1:7" x14ac:dyDescent="0.3">
      <c r="A38" t="s">
        <v>1749</v>
      </c>
      <c r="B38" t="s">
        <v>1750</v>
      </c>
      <c r="C38">
        <v>8</v>
      </c>
      <c r="D38" t="s">
        <v>1447</v>
      </c>
      <c r="E38" t="s">
        <v>1752</v>
      </c>
      <c r="F38" t="s">
        <v>1741</v>
      </c>
      <c r="G38" t="str">
        <f>IF(ISBLANK('Q 2'!D14),"",IF('Q 2'!D14="&lt;please select&gt;","",'Q 2'!D14))</f>
        <v>S</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Central competent authority</v>
      </c>
    </row>
    <row r="56" spans="1:7" x14ac:dyDescent="0.3">
      <c r="A56" t="s">
        <v>1749</v>
      </c>
      <c r="B56" t="s">
        <v>1750</v>
      </c>
      <c r="C56">
        <v>4</v>
      </c>
      <c r="D56" t="s">
        <v>1447</v>
      </c>
      <c r="E56" t="s">
        <v>1753</v>
      </c>
      <c r="F56" t="s">
        <v>1741</v>
      </c>
      <c r="G56" t="str">
        <f>IF(ISBLANK('Q 2'!E10),"",IF('Q 2'!E10="&lt;please select&gt;","",'Q 2'!E10))</f>
        <v>Regional competent authority</v>
      </c>
    </row>
    <row r="57" spans="1:7" x14ac:dyDescent="0.3">
      <c r="A57" t="s">
        <v>1749</v>
      </c>
      <c r="B57" t="s">
        <v>1750</v>
      </c>
      <c r="C57">
        <v>5</v>
      </c>
      <c r="D57" t="s">
        <v>1447</v>
      </c>
      <c r="E57" t="s">
        <v>1753</v>
      </c>
      <c r="F57" t="s">
        <v>1741</v>
      </c>
      <c r="G57" t="str">
        <f>IF(ISBLANK('Q 2'!E11),"",IF('Q 2'!E11="&lt;please select&gt;","",'Q 2'!E11))</f>
        <v>Regional competent authority</v>
      </c>
    </row>
    <row r="58" spans="1:7" x14ac:dyDescent="0.3">
      <c r="A58" t="s">
        <v>1749</v>
      </c>
      <c r="B58" t="s">
        <v>1750</v>
      </c>
      <c r="C58">
        <v>6</v>
      </c>
      <c r="D58" t="s">
        <v>1447</v>
      </c>
      <c r="E58" t="s">
        <v>1753</v>
      </c>
      <c r="F58" t="s">
        <v>1741</v>
      </c>
      <c r="G58" t="str">
        <f>IF(ISBLANK('Q 2'!E12),"",IF('Q 2'!E12="&lt;please select&gt;","",'Q 2'!E12))</f>
        <v>Central competent authority</v>
      </c>
    </row>
    <row r="59" spans="1:7" x14ac:dyDescent="0.3">
      <c r="A59" t="s">
        <v>1749</v>
      </c>
      <c r="B59" t="s">
        <v>1750</v>
      </c>
      <c r="C59">
        <v>7</v>
      </c>
      <c r="D59" t="s">
        <v>1447</v>
      </c>
      <c r="E59" t="s">
        <v>1753</v>
      </c>
      <c r="F59" t="s">
        <v>1741</v>
      </c>
      <c r="G59" t="str">
        <f>IF(ISBLANK('Q 2'!E13),"",IF('Q 2'!E13="&lt;please select&gt;","",'Q 2'!E13))</f>
        <v>Regional competent authority</v>
      </c>
    </row>
    <row r="60" spans="1:7" x14ac:dyDescent="0.3">
      <c r="A60" t="s">
        <v>1749</v>
      </c>
      <c r="B60" t="s">
        <v>1750</v>
      </c>
      <c r="C60">
        <v>8</v>
      </c>
      <c r="D60" t="s">
        <v>1447</v>
      </c>
      <c r="E60" t="s">
        <v>1753</v>
      </c>
      <c r="F60" t="s">
        <v>1741</v>
      </c>
      <c r="G60" t="str">
        <f>IF(ISBLANK('Q 2'!E14),"",IF('Q 2'!E14="&lt;please select&gt;","",'Q 2'!E14))</f>
        <v>Local competent authority</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1</v>
      </c>
    </row>
    <row r="76" spans="1:7" x14ac:dyDescent="0.3">
      <c r="A76" t="s">
        <v>1749</v>
      </c>
      <c r="B76" t="s">
        <v>1750</v>
      </c>
      <c r="C76">
        <v>2</v>
      </c>
      <c r="D76" t="s">
        <v>1447</v>
      </c>
      <c r="E76" t="s">
        <v>1754</v>
      </c>
      <c r="F76" t="s">
        <v>1741</v>
      </c>
      <c r="G76" s="165" t="str">
        <f>IF(ISBLANK('Q 2'!F8),"",IF('Q 2'!F8="&lt;please select&gt;","",'Q 2'!F8))</f>
        <v>1</v>
      </c>
    </row>
    <row r="77" spans="1:7" x14ac:dyDescent="0.3">
      <c r="A77" t="s">
        <v>1749</v>
      </c>
      <c r="B77" t="s">
        <v>1750</v>
      </c>
      <c r="C77">
        <v>3</v>
      </c>
      <c r="D77" t="s">
        <v>1447</v>
      </c>
      <c r="E77" t="s">
        <v>1754</v>
      </c>
      <c r="F77" t="s">
        <v>1741</v>
      </c>
      <c r="G77" s="165" t="str">
        <f>IF(ISBLANK('Q 2'!F9),"",IF('Q 2'!F9="&lt;please select&gt;","",'Q 2'!F9))</f>
        <v>1</v>
      </c>
    </row>
    <row r="78" spans="1:7" x14ac:dyDescent="0.3">
      <c r="A78" t="s">
        <v>1749</v>
      </c>
      <c r="B78" t="s">
        <v>1750</v>
      </c>
      <c r="C78">
        <v>4</v>
      </c>
      <c r="D78" t="s">
        <v>1447</v>
      </c>
      <c r="E78" t="s">
        <v>1754</v>
      </c>
      <c r="F78" t="s">
        <v>1741</v>
      </c>
      <c r="G78" s="165" t="str">
        <f>IF(ISBLANK('Q 2'!F10),"",IF('Q 2'!F10="&lt;please select&gt;","",'Q 2'!F10))</f>
        <v>16</v>
      </c>
    </row>
    <row r="79" spans="1:7" x14ac:dyDescent="0.3">
      <c r="A79" t="s">
        <v>1749</v>
      </c>
      <c r="B79" t="s">
        <v>1750</v>
      </c>
      <c r="C79">
        <v>5</v>
      </c>
      <c r="D79" t="s">
        <v>1447</v>
      </c>
      <c r="E79" t="s">
        <v>1754</v>
      </c>
      <c r="F79" t="s">
        <v>1741</v>
      </c>
      <c r="G79" s="165" t="str">
        <f>IF(ISBLANK('Q 2'!F11),"",IF('Q 2'!F11="&lt;please select&gt;","",'Q 2'!F11))</f>
        <v>16</v>
      </c>
    </row>
    <row r="80" spans="1:7" x14ac:dyDescent="0.3">
      <c r="A80" t="s">
        <v>1749</v>
      </c>
      <c r="B80" t="s">
        <v>1750</v>
      </c>
      <c r="C80">
        <v>6</v>
      </c>
      <c r="D80" t="s">
        <v>1447</v>
      </c>
      <c r="E80" t="s">
        <v>1754</v>
      </c>
      <c r="F80" t="s">
        <v>1741</v>
      </c>
      <c r="G80" t="str">
        <f>IF(ISBLANK('Q 2'!F12),"",IF('Q 2'!F12="&lt;please select&gt;","",'Q 2'!F12))</f>
        <v>1</v>
      </c>
    </row>
    <row r="81" spans="1:7" x14ac:dyDescent="0.3">
      <c r="A81" t="s">
        <v>1749</v>
      </c>
      <c r="B81" t="s">
        <v>1750</v>
      </c>
      <c r="C81">
        <v>7</v>
      </c>
      <c r="D81" t="s">
        <v>1447</v>
      </c>
      <c r="E81" t="s">
        <v>1754</v>
      </c>
      <c r="F81" t="s">
        <v>1741</v>
      </c>
      <c r="G81" t="str">
        <f>IF(ISBLANK('Q 2'!F13),"",IF('Q 2'!F13="&lt;please select&gt;","",'Q 2'!F13))</f>
        <v>16</v>
      </c>
    </row>
    <row r="82" spans="1:7" x14ac:dyDescent="0.3">
      <c r="A82" t="s">
        <v>1749</v>
      </c>
      <c r="B82" t="s">
        <v>1750</v>
      </c>
      <c r="C82">
        <v>8</v>
      </c>
      <c r="D82" t="s">
        <v>1447</v>
      </c>
      <c r="E82" t="s">
        <v>1754</v>
      </c>
      <c r="F82" t="s">
        <v>1741</v>
      </c>
      <c r="G82" t="str">
        <f>IF(ISBLANK('Q 2'!F14),"",IF('Q 2'!F14="&lt;please select&gt;","",'Q 2'!F14))</f>
        <v>380</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48223692900</v>
      </c>
    </row>
    <row r="98" spans="1:7" x14ac:dyDescent="0.3">
      <c r="A98" t="s">
        <v>1749</v>
      </c>
      <c r="B98" t="s">
        <v>1750</v>
      </c>
      <c r="C98">
        <v>2</v>
      </c>
      <c r="D98" t="s">
        <v>1447</v>
      </c>
      <c r="E98" t="s">
        <v>1755</v>
      </c>
      <c r="F98" t="s">
        <v>1741</v>
      </c>
      <c r="G98" t="str">
        <f>IF(ISBLANK('Q 2'!G8),"",IF('Q 2'!G8="&lt;please select&gt;","",'Q 2'!G8))</f>
        <v>48225696511</v>
      </c>
    </row>
    <row r="99" spans="1:7" x14ac:dyDescent="0.3">
      <c r="A99" t="s">
        <v>1749</v>
      </c>
      <c r="B99" t="s">
        <v>1750</v>
      </c>
      <c r="C99">
        <v>3</v>
      </c>
      <c r="D99" t="s">
        <v>1447</v>
      </c>
      <c r="E99" t="s">
        <v>1755</v>
      </c>
      <c r="F99" t="s">
        <v>1741</v>
      </c>
      <c r="G99" t="str">
        <f>IF(ISBLANK('Q 2'!G9),"",IF('Q 2'!G9="&lt;please select&gt;","",'Q 2'!G9))</f>
        <v>48223692226</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48224875570</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info@klimat.gov.pl</v>
      </c>
    </row>
    <row r="120" spans="1:7" x14ac:dyDescent="0.3">
      <c r="A120" t="s">
        <v>1749</v>
      </c>
      <c r="B120" t="s">
        <v>1750</v>
      </c>
      <c r="C120">
        <v>2</v>
      </c>
      <c r="D120" t="s">
        <v>1447</v>
      </c>
      <c r="E120" t="s">
        <v>1756</v>
      </c>
      <c r="F120" t="s">
        <v>1741</v>
      </c>
      <c r="G120" t="str">
        <f>IF(ISBLANK('Q 2'!H8),"",IF('Q 2'!H8="&lt;please select&gt;","",'Q 2'!H8))</f>
        <v>sekretariat@kobize.pl</v>
      </c>
    </row>
    <row r="121" spans="1:7" x14ac:dyDescent="0.3">
      <c r="A121" t="s">
        <v>1749</v>
      </c>
      <c r="B121" t="s">
        <v>1750</v>
      </c>
      <c r="C121">
        <v>3</v>
      </c>
      <c r="D121" t="s">
        <v>1447</v>
      </c>
      <c r="E121" t="s">
        <v>1756</v>
      </c>
      <c r="F121" t="s">
        <v>1741</v>
      </c>
      <c r="G121" t="str">
        <f>IF(ISBLANK('Q 2'!H9),"",IF('Q 2'!H9="&lt;please select&gt;","",'Q 2'!H9))</f>
        <v>gios@gios.gov.pl</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ure@ure.gov.pl</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https://www.gov.pl/web/klimat</v>
      </c>
    </row>
    <row r="142" spans="1:7" x14ac:dyDescent="0.3">
      <c r="A142" t="s">
        <v>1749</v>
      </c>
      <c r="B142" t="s">
        <v>1750</v>
      </c>
      <c r="C142">
        <v>2</v>
      </c>
      <c r="D142" t="s">
        <v>1447</v>
      </c>
      <c r="E142" t="s">
        <v>1757</v>
      </c>
      <c r="F142" t="s">
        <v>1741</v>
      </c>
      <c r="G142" t="str">
        <f>IF(ISBLANK('Q 2'!I8),"",IF('Q 2'!I8="&lt;please select&gt;","",'Q 2'!I8))</f>
        <v>https://www.kobize.pl</v>
      </c>
    </row>
    <row r="143" spans="1:7" x14ac:dyDescent="0.3">
      <c r="A143" t="s">
        <v>1749</v>
      </c>
      <c r="B143" t="s">
        <v>1750</v>
      </c>
      <c r="C143">
        <v>3</v>
      </c>
      <c r="D143" t="s">
        <v>1447</v>
      </c>
      <c r="E143" t="s">
        <v>1757</v>
      </c>
      <c r="F143" t="s">
        <v>1741</v>
      </c>
      <c r="G143" t="str">
        <f>IF(ISBLANK('Q 2'!I9),"",IF('Q 2'!I9="&lt;please select&gt;","",'Q 2'!I9))</f>
        <v>http://www.gios.gov.pl/pl</v>
      </c>
    </row>
    <row r="144" spans="1:7" x14ac:dyDescent="0.3">
      <c r="A144" t="s">
        <v>1749</v>
      </c>
      <c r="B144" t="s">
        <v>1750</v>
      </c>
      <c r="C144">
        <v>4</v>
      </c>
      <c r="D144" t="s">
        <v>1447</v>
      </c>
      <c r="E144" t="s">
        <v>1757</v>
      </c>
      <c r="F144" t="s">
        <v>1741</v>
      </c>
      <c r="G144" t="str">
        <f>IF(ISBLANK('Q 2'!I10),"",IF('Q 2'!I10="&lt;please select&gt;","",'Q 2'!I10))</f>
        <v>http://www.gios.gov.pl/pl/inne/wojewodzkie-inspektoraty-ochrony-srodowiska</v>
      </c>
    </row>
    <row r="145" spans="1:7" x14ac:dyDescent="0.3">
      <c r="A145" t="s">
        <v>1749</v>
      </c>
      <c r="B145" t="s">
        <v>1750</v>
      </c>
      <c r="C145">
        <v>5</v>
      </c>
      <c r="D145" t="s">
        <v>1447</v>
      </c>
      <c r="E145" t="s">
        <v>1757</v>
      </c>
      <c r="F145" t="s">
        <v>1741</v>
      </c>
      <c r="G145" t="str">
        <f>IF(ISBLANK('Q 2'!I11),"",IF('Q 2'!I11="&lt;please select&gt;","",'Q 2'!I11))</f>
        <v>www.gdos.gov.pl/regionalni-dyrektorzyochrony-srodowiska</v>
      </c>
    </row>
    <row r="146" spans="1:7" x14ac:dyDescent="0.3">
      <c r="A146" t="s">
        <v>1749</v>
      </c>
      <c r="B146" t="s">
        <v>1750</v>
      </c>
      <c r="C146">
        <v>6</v>
      </c>
      <c r="D146" t="s">
        <v>1447</v>
      </c>
      <c r="E146" t="s">
        <v>1757</v>
      </c>
      <c r="F146" t="s">
        <v>1741</v>
      </c>
      <c r="G146" t="str">
        <f>IF(ISBLANK('Q 2'!I12),"",IF('Q 2'!I12="&lt;please select&gt;","",'Q 2'!I12))</f>
        <v>https://www.ure.gov.pl/</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Yes</v>
      </c>
    </row>
    <row r="164" spans="1:11" x14ac:dyDescent="0.3">
      <c r="A164" t="s">
        <v>1749</v>
      </c>
      <c r="B164" t="s">
        <v>1760</v>
      </c>
      <c r="C164">
        <v>1</v>
      </c>
      <c r="D164" t="s">
        <v>1447</v>
      </c>
      <c r="E164" t="s">
        <v>1761</v>
      </c>
      <c r="F164" t="s">
        <v>1741</v>
      </c>
      <c r="G164" t="str">
        <f>IF(ISBLANK('Q 2'!C39),"",IF('Q 2'!C39="&lt;please select&gt;","",'Q 2'!C39))</f>
        <v>Polskie Centrum Akredytacji</v>
      </c>
    </row>
    <row r="165" spans="1:11" x14ac:dyDescent="0.3">
      <c r="A165" t="s">
        <v>1749</v>
      </c>
      <c r="B165" t="s">
        <v>1760</v>
      </c>
      <c r="C165">
        <v>1</v>
      </c>
      <c r="D165" t="s">
        <v>1447</v>
      </c>
      <c r="E165" t="s">
        <v>1762</v>
      </c>
      <c r="F165" t="s">
        <v>1741</v>
      </c>
      <c r="G165" t="str">
        <f>IF(ISBLANK('Q 2'!E39),"",IF('Q 2'!E39="&lt;please select&gt;","",'Q 2'!E39))</f>
        <v>PCA</v>
      </c>
    </row>
    <row r="166" spans="1:11" x14ac:dyDescent="0.3">
      <c r="A166" t="s">
        <v>1749</v>
      </c>
      <c r="B166" t="s">
        <v>1760</v>
      </c>
      <c r="C166">
        <v>1</v>
      </c>
      <c r="D166" t="s">
        <v>1447</v>
      </c>
      <c r="E166" t="s">
        <v>1763</v>
      </c>
      <c r="F166" t="s">
        <v>1741</v>
      </c>
      <c r="G166" t="str">
        <f>IF(ISBLANK('Q 2'!F39),"",IF('Q 2'!F39="&lt;please select&gt;","",'Q 2'!F39))</f>
        <v>48223557000</v>
      </c>
    </row>
    <row r="167" spans="1:11" x14ac:dyDescent="0.3">
      <c r="A167" t="s">
        <v>1749</v>
      </c>
      <c r="B167" t="s">
        <v>1760</v>
      </c>
      <c r="C167">
        <v>1</v>
      </c>
      <c r="D167" t="s">
        <v>1447</v>
      </c>
      <c r="E167" t="s">
        <v>1764</v>
      </c>
      <c r="F167" t="s">
        <v>1741</v>
      </c>
      <c r="G167" t="str">
        <f>IF(ISBLANK('Q 2'!G39),"",IF('Q 2'!G39="&lt;please select&gt;","",'Q 2'!G39))</f>
        <v>sekretariat@pca.gov.pl</v>
      </c>
    </row>
    <row r="168" spans="1:11" x14ac:dyDescent="0.3">
      <c r="A168" t="s">
        <v>1749</v>
      </c>
      <c r="B168" t="s">
        <v>1760</v>
      </c>
      <c r="C168">
        <v>1</v>
      </c>
      <c r="D168" t="s">
        <v>1447</v>
      </c>
      <c r="E168" t="s">
        <v>1765</v>
      </c>
      <c r="F168" t="s">
        <v>1741</v>
      </c>
      <c r="G168" t="str">
        <f>IF(ISBLANK('Q 2'!H39),"",IF('Q 2'!H39="&lt;please select&gt;","",'Q 2'!H39))</f>
        <v>https://www.pca.gov.pl</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Instytut Ochrony Środowiska – Państwowy Instytut Badawczy, Krajowy Ośrodek Bilansowania i Zarządzania Emisjami</v>
      </c>
    </row>
    <row r="176" spans="1:11" x14ac:dyDescent="0.3">
      <c r="A176" t="s">
        <v>1749</v>
      </c>
      <c r="B176" t="s">
        <v>1773</v>
      </c>
      <c r="C176">
        <v>1</v>
      </c>
      <c r="D176" t="s">
        <v>1447</v>
      </c>
      <c r="E176" t="s">
        <v>1775</v>
      </c>
      <c r="F176" t="s">
        <v>1741</v>
      </c>
      <c r="G176" t="str">
        <f>IF(ISBLANK('Q 2'!E49),"",IF('Q 2'!E49="&lt;please select&gt;","",'Q 2'!E49))</f>
        <v>KOBiZE</v>
      </c>
    </row>
    <row r="177" spans="1:7" x14ac:dyDescent="0.3">
      <c r="A177" t="s">
        <v>1749</v>
      </c>
      <c r="B177" t="s">
        <v>1773</v>
      </c>
      <c r="C177">
        <v>1</v>
      </c>
      <c r="D177" t="s">
        <v>1447</v>
      </c>
      <c r="E177" t="s">
        <v>1776</v>
      </c>
      <c r="F177" t="s">
        <v>1741</v>
      </c>
      <c r="G177" t="str">
        <f>IF(ISBLANK('Q 2'!F49),"",IF('Q 2'!F49="&lt;please select&gt;","",'Q 2'!F49))</f>
        <v>48225696511</v>
      </c>
    </row>
    <row r="178" spans="1:7" x14ac:dyDescent="0.3">
      <c r="A178" t="s">
        <v>1749</v>
      </c>
      <c r="B178" t="s">
        <v>1773</v>
      </c>
      <c r="C178">
        <v>1</v>
      </c>
      <c r="D178" t="s">
        <v>1447</v>
      </c>
      <c r="E178" t="s">
        <v>1777</v>
      </c>
      <c r="F178" t="s">
        <v>1741</v>
      </c>
      <c r="G178" t="str">
        <f>IF(ISBLANK('Q 2'!G49),"",IF('Q 2'!G49="&lt;please select&gt;","",'Q 2'!G49))</f>
        <v>sekretariat@kobize.pl</v>
      </c>
    </row>
    <row r="179" spans="1:7" x14ac:dyDescent="0.3">
      <c r="A179" t="s">
        <v>1749</v>
      </c>
      <c r="B179" t="s">
        <v>1773</v>
      </c>
      <c r="C179">
        <v>1</v>
      </c>
      <c r="D179" t="s">
        <v>1447</v>
      </c>
      <c r="E179" t="s">
        <v>1778</v>
      </c>
      <c r="F179" t="s">
        <v>1741</v>
      </c>
      <c r="G179" t="str">
        <f>IF(ISBLANK('Q 2'!H49),"",IF('Q 2'!H49="&lt;please select&gt;","",'Q 2'!H49))</f>
        <v>https://www.kobize.pl</v>
      </c>
    </row>
    <row r="180" spans="1:7" x14ac:dyDescent="0.3">
      <c r="A180" t="s">
        <v>1779</v>
      </c>
      <c r="B180" t="s">
        <v>1780</v>
      </c>
      <c r="C180">
        <v>1</v>
      </c>
      <c r="D180" t="s">
        <v>1447</v>
      </c>
      <c r="E180" t="s">
        <v>1781</v>
      </c>
      <c r="F180" t="s">
        <v>1741</v>
      </c>
      <c r="G180" t="str">
        <f>IF(ISBLANK('Q 2'!F54),"",IF('Q 2'!F54="&lt;please select&gt;","",'Q 2'!F54))</f>
        <v>R,W,S</v>
      </c>
    </row>
    <row r="181" spans="1:7" x14ac:dyDescent="0.3">
      <c r="A181" t="s">
        <v>1779</v>
      </c>
      <c r="B181" t="s">
        <v>1780</v>
      </c>
      <c r="C181">
        <v>2</v>
      </c>
      <c r="D181" t="s">
        <v>1447</v>
      </c>
      <c r="E181" t="s">
        <v>1781</v>
      </c>
      <c r="F181" t="s">
        <v>1741</v>
      </c>
      <c r="G181" t="str">
        <f>IF(ISBLANK('Q 2'!F55),"",IF('Q 2'!F55="&lt;please select&gt;","",'Q 2'!F55))</f>
        <v>R,W,S</v>
      </c>
    </row>
    <row r="182" spans="1:7" x14ac:dyDescent="0.3">
      <c r="A182" t="s">
        <v>1779</v>
      </c>
      <c r="B182" t="s">
        <v>1780</v>
      </c>
      <c r="C182">
        <v>3</v>
      </c>
      <c r="D182" t="s">
        <v>1447</v>
      </c>
      <c r="E182" t="s">
        <v>1781</v>
      </c>
      <c r="F182" t="s">
        <v>1741</v>
      </c>
      <c r="G182" t="str">
        <f>IF(ISBLANK('Q 2'!F56),"",IF('Q 2'!F56="&lt;please select&gt;","",'Q 2'!F56))</f>
        <v>MKiŚ</v>
      </c>
    </row>
    <row r="183" spans="1:7" x14ac:dyDescent="0.3">
      <c r="A183" t="s">
        <v>1779</v>
      </c>
      <c r="B183" t="s">
        <v>1780</v>
      </c>
      <c r="C183">
        <v>4</v>
      </c>
      <c r="D183" t="s">
        <v>1447</v>
      </c>
      <c r="E183" t="s">
        <v>1781</v>
      </c>
      <c r="F183" t="s">
        <v>1741</v>
      </c>
      <c r="G183" t="str">
        <f>IF(ISBLANK('Q 2'!F57),"",IF('Q 2'!F57="&lt;please select&gt;","",'Q 2'!F57))</f>
        <v>KOBiZE</v>
      </c>
    </row>
    <row r="184" spans="1:7" x14ac:dyDescent="0.3">
      <c r="A184" t="s">
        <v>1779</v>
      </c>
      <c r="B184" t="s">
        <v>1780</v>
      </c>
      <c r="C184">
        <v>6</v>
      </c>
      <c r="D184" t="s">
        <v>1447</v>
      </c>
      <c r="E184" t="s">
        <v>1781</v>
      </c>
      <c r="F184" t="s">
        <v>1741</v>
      </c>
      <c r="G184" t="str">
        <f>IF(ISBLANK('Q 2'!F59),"",IF('Q 2'!F59="&lt;please select&gt;","",'Q 2'!F59))</f>
        <v>KOBiZE</v>
      </c>
    </row>
    <row r="185" spans="1:7" x14ac:dyDescent="0.3">
      <c r="A185" t="s">
        <v>1779</v>
      </c>
      <c r="B185" t="s">
        <v>1780</v>
      </c>
      <c r="C185">
        <v>7</v>
      </c>
      <c r="D185" t="s">
        <v>1447</v>
      </c>
      <c r="E185" t="s">
        <v>1781</v>
      </c>
      <c r="F185" t="s">
        <v>1741</v>
      </c>
      <c r="G185" t="str">
        <f>IF(ISBLANK('Q 2'!F60),"",IF('Q 2'!F60="&lt;please select&gt;","",'Q 2'!F60))</f>
        <v>KOBiZE</v>
      </c>
    </row>
    <row r="186" spans="1:7" x14ac:dyDescent="0.3">
      <c r="A186" t="s">
        <v>1779</v>
      </c>
      <c r="B186" t="s">
        <v>1780</v>
      </c>
      <c r="C186">
        <v>8</v>
      </c>
      <c r="D186" t="s">
        <v>1447</v>
      </c>
      <c r="E186" t="s">
        <v>1781</v>
      </c>
      <c r="F186" t="s">
        <v>1741</v>
      </c>
      <c r="G186" t="str">
        <f>IF(ISBLANK('Q 2'!F61),"",IF('Q 2'!F61="&lt;please select&gt;","",'Q 2'!F61))</f>
        <v>R,W,S</v>
      </c>
    </row>
    <row r="187" spans="1:7" x14ac:dyDescent="0.3">
      <c r="A187" t="s">
        <v>1779</v>
      </c>
      <c r="B187" t="s">
        <v>1780</v>
      </c>
      <c r="C187">
        <v>9</v>
      </c>
      <c r="D187" t="s">
        <v>1447</v>
      </c>
      <c r="E187" t="s">
        <v>1781</v>
      </c>
      <c r="F187" t="s">
        <v>1741</v>
      </c>
      <c r="G187" t="str">
        <f>IF(ISBLANK('Q 2'!F62),"",IF('Q 2'!F62="&lt;please select&gt;","",'Q 2'!F62))</f>
        <v>KOBiZE</v>
      </c>
    </row>
    <row r="188" spans="1:7" x14ac:dyDescent="0.3">
      <c r="A188" t="s">
        <v>1779</v>
      </c>
      <c r="B188" t="s">
        <v>1780</v>
      </c>
      <c r="C188">
        <v>10</v>
      </c>
      <c r="D188" t="s">
        <v>1447</v>
      </c>
      <c r="E188" t="s">
        <v>1781</v>
      </c>
      <c r="F188" t="s">
        <v>1741</v>
      </c>
      <c r="G188" t="str">
        <f>IF(ISBLANK('Q 2'!F63),"",IF('Q 2'!F63="&lt;please select&gt;","",'Q 2'!F63))</f>
        <v>R,W,S</v>
      </c>
    </row>
    <row r="189" spans="1:7" x14ac:dyDescent="0.3">
      <c r="A189" t="s">
        <v>1779</v>
      </c>
      <c r="B189" t="s">
        <v>1780</v>
      </c>
      <c r="C189">
        <v>11</v>
      </c>
      <c r="D189" t="s">
        <v>1447</v>
      </c>
      <c r="E189" t="s">
        <v>1781</v>
      </c>
      <c r="F189" t="s">
        <v>1741</v>
      </c>
      <c r="G189" t="str">
        <f>IF(ISBLANK('Q 2'!F64),"",IF('Q 2'!F64="&lt;please select&gt;","",'Q 2'!F64))</f>
        <v>WIOŚ</v>
      </c>
    </row>
    <row r="190" spans="1:7" x14ac:dyDescent="0.3">
      <c r="A190" t="s">
        <v>1779</v>
      </c>
      <c r="B190" t="s">
        <v>1780</v>
      </c>
      <c r="C190">
        <v>12</v>
      </c>
      <c r="D190" t="s">
        <v>1447</v>
      </c>
      <c r="E190" t="s">
        <v>1781</v>
      </c>
      <c r="F190" t="s">
        <v>1741</v>
      </c>
      <c r="G190" t="str">
        <f>IF(ISBLANK('Q 2'!F65),"",IF('Q 2'!F65="&lt;please select&gt;","",'Q 2'!F65))</f>
        <v/>
      </c>
    </row>
    <row r="191" spans="1:7" x14ac:dyDescent="0.3">
      <c r="A191" t="s">
        <v>1779</v>
      </c>
      <c r="B191" t="s">
        <v>1780</v>
      </c>
      <c r="C191">
        <v>13</v>
      </c>
      <c r="D191" t="s">
        <v>1447</v>
      </c>
      <c r="E191" t="s">
        <v>1781</v>
      </c>
      <c r="F191" t="s">
        <v>1741</v>
      </c>
      <c r="G191" t="str">
        <f>IF(ISBLANK('Q 2'!F66),"",IF('Q 2'!F66="&lt;please select&gt;","",'Q 2'!F66))</f>
        <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MKiŚ</v>
      </c>
    </row>
    <row r="197" spans="1:7" x14ac:dyDescent="0.3">
      <c r="A197" t="s">
        <v>1779</v>
      </c>
      <c r="B197" t="s">
        <v>1780</v>
      </c>
      <c r="C197">
        <v>6</v>
      </c>
      <c r="D197" t="s">
        <v>1447</v>
      </c>
      <c r="E197" t="s">
        <v>1782</v>
      </c>
      <c r="F197" t="s">
        <v>1741</v>
      </c>
      <c r="G197" t="str">
        <f>IF(ISBLANK('Q 2'!H59),"",IF('Q 2'!H59="&lt;please select&gt;","",'Q 2'!H59))</f>
        <v>KOBiZE</v>
      </c>
    </row>
    <row r="198" spans="1:7" x14ac:dyDescent="0.3">
      <c r="A198" t="s">
        <v>1779</v>
      </c>
      <c r="B198" t="s">
        <v>1780</v>
      </c>
      <c r="C198">
        <v>7</v>
      </c>
      <c r="D198" t="s">
        <v>1447</v>
      </c>
      <c r="E198" t="s">
        <v>1782</v>
      </c>
      <c r="F198" t="s">
        <v>1741</v>
      </c>
      <c r="G198" t="str">
        <f>IF(ISBLANK('Q 2'!H60),"",IF('Q 2'!H60="&lt;please select&gt;","",'Q 2'!H60))</f>
        <v>KOBiZE</v>
      </c>
    </row>
    <row r="199" spans="1:7" x14ac:dyDescent="0.3">
      <c r="A199" t="s">
        <v>1779</v>
      </c>
      <c r="B199" t="s">
        <v>1780</v>
      </c>
      <c r="C199">
        <v>8</v>
      </c>
      <c r="D199" t="s">
        <v>1447</v>
      </c>
      <c r="E199" t="s">
        <v>1782</v>
      </c>
      <c r="F199" t="s">
        <v>1741</v>
      </c>
      <c r="G199" t="str">
        <f>IF(ISBLANK('Q 2'!H61),"",IF('Q 2'!H61="&lt;please select&gt;","",'Q 2'!H61))</f>
        <v>MKiŚ</v>
      </c>
    </row>
    <row r="200" spans="1:7" x14ac:dyDescent="0.3">
      <c r="A200" t="s">
        <v>1779</v>
      </c>
      <c r="B200" t="s">
        <v>1780</v>
      </c>
      <c r="C200">
        <v>9</v>
      </c>
      <c r="D200" t="s">
        <v>1447</v>
      </c>
      <c r="E200" t="s">
        <v>1782</v>
      </c>
      <c r="F200" t="s">
        <v>1741</v>
      </c>
      <c r="G200" t="str">
        <f>IF(ISBLANK('Q 2'!H62),"",IF('Q 2'!H62="&lt;please select&gt;","",'Q 2'!H62))</f>
        <v>KOBiZE</v>
      </c>
    </row>
    <row r="201" spans="1:7" x14ac:dyDescent="0.3">
      <c r="A201" t="s">
        <v>1779</v>
      </c>
      <c r="B201" t="s">
        <v>1780</v>
      </c>
      <c r="C201">
        <v>10</v>
      </c>
      <c r="D201" t="s">
        <v>1447</v>
      </c>
      <c r="E201" t="s">
        <v>1782</v>
      </c>
      <c r="F201" t="s">
        <v>1741</v>
      </c>
      <c r="G201" t="str">
        <f>IF(ISBLANK('Q 2'!H63),"",IF('Q 2'!H63="&lt;please select&gt;","",'Q 2'!H63))</f>
        <v>MKiŚ</v>
      </c>
    </row>
    <row r="202" spans="1:7" x14ac:dyDescent="0.3">
      <c r="A202" t="s">
        <v>1779</v>
      </c>
      <c r="B202" t="s">
        <v>1780</v>
      </c>
      <c r="C202">
        <v>11</v>
      </c>
      <c r="D202" t="s">
        <v>1447</v>
      </c>
      <c r="E202" t="s">
        <v>1782</v>
      </c>
      <c r="F202" t="s">
        <v>1741</v>
      </c>
      <c r="G202" t="str">
        <f>IF(ISBLANK('Q 2'!H64),"",IF('Q 2'!H64="&lt;please select&gt;","",'Q 2'!H64))</f>
        <v>GIOŚ</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Minister Klimatu i Środowiska</v>
      </c>
    </row>
    <row r="212" spans="1:11" x14ac:dyDescent="0.3">
      <c r="A212" t="s">
        <v>1784</v>
      </c>
      <c r="B212" t="s">
        <v>1785</v>
      </c>
      <c r="C212">
        <v>0</v>
      </c>
      <c r="D212" t="s">
        <v>1447</v>
      </c>
      <c r="E212" t="s">
        <v>1787</v>
      </c>
      <c r="F212" t="s">
        <v>1741</v>
      </c>
      <c r="G212" t="str">
        <f>IF(ISBLANK('Q 2'!$G$82),"",IF('Q 2'!$G$82="&lt;please select&gt;","",'Q 2'!$G$82))</f>
        <v>MKiŚ</v>
      </c>
    </row>
    <row r="213" spans="1:11" x14ac:dyDescent="0.3">
      <c r="A213" t="s">
        <v>1784</v>
      </c>
      <c r="B213" t="s">
        <v>1788</v>
      </c>
      <c r="C213">
        <v>1</v>
      </c>
      <c r="D213" t="s">
        <v>1447</v>
      </c>
      <c r="E213" t="s">
        <v>1789</v>
      </c>
      <c r="F213" t="s">
        <v>1759</v>
      </c>
      <c r="K213" t="str">
        <f>IF(ISBLANK('Q 2'!G86),"",IF('Q 2'!G86="&lt;please select&gt;","",'Q 2'!G86))</f>
        <v>Yes</v>
      </c>
    </row>
    <row r="214" spans="1:11" x14ac:dyDescent="0.3">
      <c r="A214" t="s">
        <v>1784</v>
      </c>
      <c r="B214" t="s">
        <v>1788</v>
      </c>
      <c r="C214">
        <v>2</v>
      </c>
      <c r="D214" t="s">
        <v>1447</v>
      </c>
      <c r="E214" t="s">
        <v>1789</v>
      </c>
      <c r="F214" t="s">
        <v>1759</v>
      </c>
      <c r="K214" t="str">
        <f>IF(ISBLANK('Q 2'!G87),"",IF('Q 2'!G87="&lt;please select&gt;","",'Q 2'!G87))</f>
        <v>Yes</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Yes</v>
      </c>
    </row>
    <row r="236" spans="1:11" x14ac:dyDescent="0.3">
      <c r="A236" t="s">
        <v>1792</v>
      </c>
      <c r="B236" t="s">
        <v>1793</v>
      </c>
      <c r="C236">
        <v>4</v>
      </c>
      <c r="D236" t="s">
        <v>1447</v>
      </c>
      <c r="E236" t="s">
        <v>1783</v>
      </c>
      <c r="F236" t="s">
        <v>1741</v>
      </c>
      <c r="G236" t="str">
        <f>IF(ISBLANK('Q 2'!F103),"",IF('Q 2'!F103="&lt;please select&gt;","",'Q 2'!F103))</f>
        <v>Polskie Centrum Akredytacji, działające na podstawie ustawy z dnia 13 kwietnia 2016 r. o systemach oceny zgodności i nadzoru rynku (t.j. Dz. U. z 2022 r. poz. 5, dalej: PCA), przekazuje ministrowi właściwemu ds. klimatu: - do dnia 31 grudnia każdego roku program ocen zaplanowanych w odniesieniu do każdego weryfikatora rocznych raportów dotyczących emisji gazów cieplarnianych, - do dnia 1 czerwca każdego roku sprawozdanie z wykonanych zadań, z uwzględnieniem formularza przygotowanego przez Komisję Europejską. Ponadto minister właściwy ds. klimatu jest informowany o zawieszeniu, cofnięciu lub ograniczeniu akredytacji weryfikatora na warunkach wskazanych w dokumencie Opis systemu akredytacji (DA-01). PCA rozpoznaje również przekazane przez ministra właściwego ds. klimatu informacje o stwierdzeniu nieprzestrzegania rozporządzenia Komisji (UE) nr 2018/2067 przez akredytowanego weryfikatora.</v>
      </c>
    </row>
    <row r="237" spans="1:11" x14ac:dyDescent="0.3">
      <c r="A237" t="s">
        <v>1792</v>
      </c>
      <c r="B237" t="s">
        <v>1793</v>
      </c>
      <c r="C237">
        <v>5</v>
      </c>
      <c r="D237" t="s">
        <v>1447</v>
      </c>
      <c r="E237" t="s">
        <v>1783</v>
      </c>
      <c r="F237" t="s">
        <v>1741</v>
      </c>
      <c r="G237" t="str">
        <f>IF(ISBLANK('Q 2'!F104),"",IF('Q 2'!F104="&lt;please select&gt;","",'Q 2'!F104))</f>
        <v>Robocza współpraca z PCA.</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
      </c>
    </row>
    <row r="241" spans="1:11" x14ac:dyDescent="0.3">
      <c r="A241" t="s">
        <v>1792</v>
      </c>
      <c r="B241" t="s">
        <v>1793</v>
      </c>
      <c r="C241">
        <v>2</v>
      </c>
      <c r="D241" t="s">
        <v>1447</v>
      </c>
      <c r="E241" t="s">
        <v>1795</v>
      </c>
      <c r="F241" t="s">
        <v>1791</v>
      </c>
      <c r="J241" t="str">
        <f>IF(ISBLANK('Q 2'!H101),"",IF('Q 2'!H101="&lt;please select&gt;","",'Q 2'!H101))</f>
        <v/>
      </c>
    </row>
    <row r="242" spans="1:11" x14ac:dyDescent="0.3">
      <c r="A242" t="s">
        <v>1792</v>
      </c>
      <c r="B242" t="s">
        <v>1793</v>
      </c>
      <c r="C242">
        <v>3</v>
      </c>
      <c r="D242" t="s">
        <v>1447</v>
      </c>
      <c r="E242" t="s">
        <v>1795</v>
      </c>
      <c r="F242" t="s">
        <v>1791</v>
      </c>
      <c r="J242" t="str">
        <f>IF(ISBLANK('Q 2'!H102),"",IF('Q 2'!H102="&lt;please select&gt;","",'Q 2'!H102))</f>
        <v>Możliwe w ramach roboczej współpracy.</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602</v>
      </c>
    </row>
    <row r="248" spans="1:11" x14ac:dyDescent="0.3">
      <c r="A248" t="s">
        <v>1796</v>
      </c>
      <c r="B248" t="s">
        <v>1797</v>
      </c>
      <c r="C248">
        <v>2</v>
      </c>
      <c r="D248" t="s">
        <v>1447</v>
      </c>
      <c r="E248" t="s">
        <v>1798</v>
      </c>
      <c r="F248" t="s">
        <v>1748</v>
      </c>
      <c r="H248" s="165" t="str">
        <f>IF(ISBLANK('Q 3'!G8),"",IF('Q 3'!G8="&lt;please select&gt;","",'Q 3'!G8))</f>
        <v>363</v>
      </c>
    </row>
    <row r="249" spans="1:11" x14ac:dyDescent="0.3">
      <c r="A249" t="s">
        <v>1796</v>
      </c>
      <c r="B249" t="s">
        <v>1797</v>
      </c>
      <c r="C249">
        <v>3</v>
      </c>
      <c r="D249" t="s">
        <v>1447</v>
      </c>
      <c r="E249" t="s">
        <v>1798</v>
      </c>
      <c r="F249" t="s">
        <v>1748</v>
      </c>
      <c r="H249" s="165" t="str">
        <f>IF(ISBLANK('Q 3'!G9),"",IF('Q 3'!G9="&lt;please select&gt;","",'Q 3'!G9))</f>
        <v>170</v>
      </c>
    </row>
    <row r="250" spans="1:11" x14ac:dyDescent="0.3">
      <c r="A250" t="s">
        <v>1796</v>
      </c>
      <c r="B250" t="s">
        <v>1797</v>
      </c>
      <c r="C250">
        <v>4</v>
      </c>
      <c r="D250" t="s">
        <v>1447</v>
      </c>
      <c r="E250" t="s">
        <v>1798</v>
      </c>
      <c r="F250" t="s">
        <v>1748</v>
      </c>
      <c r="H250" s="165" t="str">
        <f>IF(ISBLANK('Q 3'!G10),"",IF('Q 3'!G10="&lt;please select&gt;","",'Q 3'!G10))</f>
        <v>69</v>
      </c>
    </row>
    <row r="251" spans="1:11" x14ac:dyDescent="0.3">
      <c r="A251" t="s">
        <v>1796</v>
      </c>
      <c r="B251" t="s">
        <v>1797</v>
      </c>
      <c r="C251">
        <v>5</v>
      </c>
      <c r="D251" t="s">
        <v>1447</v>
      </c>
      <c r="E251" t="s">
        <v>1798</v>
      </c>
      <c r="F251" t="s">
        <v>1748</v>
      </c>
      <c r="H251" s="165" t="str">
        <f>IF(ISBLANK('Q 3'!G11),"",IF('Q 3'!G11="&lt;please select&gt;","",'Q 3'!G11))</f>
        <v>199</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Yes</v>
      </c>
    </row>
    <row r="254" spans="1:11" x14ac:dyDescent="0.3">
      <c r="A254" t="s">
        <v>1796</v>
      </c>
      <c r="B254" t="s">
        <v>1799</v>
      </c>
      <c r="C254">
        <v>3</v>
      </c>
      <c r="D254" t="s">
        <v>1447</v>
      </c>
      <c r="E254" t="s">
        <v>1800</v>
      </c>
      <c r="F254" t="s">
        <v>1759</v>
      </c>
      <c r="K254" t="str">
        <f>IF(ISBLANK('Q 3'!H17),"",IF('Q 3'!H17="&lt;please select&gt;","",'Q 3'!H17))</f>
        <v>Yes</v>
      </c>
    </row>
    <row r="255" spans="1:11" x14ac:dyDescent="0.3">
      <c r="A255" t="s">
        <v>1796</v>
      </c>
      <c r="B255" t="s">
        <v>1799</v>
      </c>
      <c r="C255">
        <v>4</v>
      </c>
      <c r="D255" t="s">
        <v>1447</v>
      </c>
      <c r="E255" t="s">
        <v>1800</v>
      </c>
      <c r="F255" t="s">
        <v>1759</v>
      </c>
      <c r="K255" t="str">
        <f>IF(ISBLANK('Q 3'!H18),"",IF('Q 3'!H18="&lt;please select&gt;","",'Q 3'!H18))</f>
        <v>Yes</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No</v>
      </c>
    </row>
    <row r="260" spans="1:11" x14ac:dyDescent="0.3">
      <c r="A260" t="s">
        <v>1796</v>
      </c>
      <c r="B260" t="s">
        <v>1799</v>
      </c>
      <c r="C260">
        <v>9</v>
      </c>
      <c r="D260" t="s">
        <v>1447</v>
      </c>
      <c r="E260" t="s">
        <v>1800</v>
      </c>
      <c r="F260" t="s">
        <v>1759</v>
      </c>
      <c r="K260" t="str">
        <f>IF(ISBLANK('Q 3'!H23),"",IF('Q 3'!H23="&lt;please select&gt;","",'Q 3'!H23))</f>
        <v>Yes</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Yes</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Yes</v>
      </c>
    </row>
    <row r="265" spans="1:11" x14ac:dyDescent="0.3">
      <c r="A265" t="s">
        <v>1796</v>
      </c>
      <c r="B265" t="s">
        <v>1799</v>
      </c>
      <c r="C265">
        <v>14</v>
      </c>
      <c r="D265" t="s">
        <v>1447</v>
      </c>
      <c r="E265" t="s">
        <v>1800</v>
      </c>
      <c r="F265" t="s">
        <v>1759</v>
      </c>
      <c r="K265" t="str">
        <f>IF(ISBLANK('Q 3'!H28),"",IF('Q 3'!H28="&lt;please select&gt;","",'Q 3'!H28))</f>
        <v>Yes</v>
      </c>
    </row>
    <row r="266" spans="1:11" x14ac:dyDescent="0.3">
      <c r="A266" t="s">
        <v>1796</v>
      </c>
      <c r="B266" t="s">
        <v>1799</v>
      </c>
      <c r="C266">
        <v>15</v>
      </c>
      <c r="D266" t="s">
        <v>1447</v>
      </c>
      <c r="E266" t="s">
        <v>1800</v>
      </c>
      <c r="F266" t="s">
        <v>1759</v>
      </c>
      <c r="K266" t="str">
        <f>IF(ISBLANK('Q 3'!H29),"",IF('Q 3'!H29="&lt;please select&gt;","",'Q 3'!H29))</f>
        <v>Yes</v>
      </c>
    </row>
    <row r="267" spans="1:11" x14ac:dyDescent="0.3">
      <c r="A267" t="s">
        <v>1796</v>
      </c>
      <c r="B267" t="s">
        <v>1799</v>
      </c>
      <c r="C267">
        <v>16</v>
      </c>
      <c r="D267" t="s">
        <v>1447</v>
      </c>
      <c r="E267" t="s">
        <v>1800</v>
      </c>
      <c r="F267" t="s">
        <v>1759</v>
      </c>
      <c r="K267" t="str">
        <f>IF(ISBLANK('Q 3'!H30),"",IF('Q 3'!H30="&lt;please select&gt;","",'Q 3'!H30))</f>
        <v>Yes</v>
      </c>
    </row>
    <row r="268" spans="1:11" x14ac:dyDescent="0.3">
      <c r="A268" t="s">
        <v>1796</v>
      </c>
      <c r="B268" t="s">
        <v>1799</v>
      </c>
      <c r="C268">
        <v>17</v>
      </c>
      <c r="D268" t="s">
        <v>1447</v>
      </c>
      <c r="E268" t="s">
        <v>1800</v>
      </c>
      <c r="F268" t="s">
        <v>1759</v>
      </c>
      <c r="K268" t="str">
        <f>IF(ISBLANK('Q 3'!H31),"",IF('Q 3'!H31="&lt;please select&gt;","",'Q 3'!H31))</f>
        <v>Yes</v>
      </c>
    </row>
    <row r="269" spans="1:11" x14ac:dyDescent="0.3">
      <c r="A269" t="s">
        <v>1796</v>
      </c>
      <c r="B269" t="s">
        <v>1799</v>
      </c>
      <c r="C269">
        <v>18</v>
      </c>
      <c r="D269" t="s">
        <v>1447</v>
      </c>
      <c r="E269" t="s">
        <v>1800</v>
      </c>
      <c r="F269" t="s">
        <v>1759</v>
      </c>
      <c r="K269" t="str">
        <f>IF(ISBLANK('Q 3'!H32),"",IF('Q 3'!H32="&lt;please select&gt;","",'Q 3'!H32))</f>
        <v>Yes</v>
      </c>
    </row>
    <row r="270" spans="1:11" x14ac:dyDescent="0.3">
      <c r="A270" t="s">
        <v>1796</v>
      </c>
      <c r="B270" t="s">
        <v>1799</v>
      </c>
      <c r="C270">
        <v>19</v>
      </c>
      <c r="D270" t="s">
        <v>1447</v>
      </c>
      <c r="E270" t="s">
        <v>1800</v>
      </c>
      <c r="F270" t="s">
        <v>1759</v>
      </c>
      <c r="K270" t="str">
        <f>IF(ISBLANK('Q 3'!H33),"",IF('Q 3'!H33="&lt;please select&gt;","",'Q 3'!H33))</f>
        <v>Yes</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Yes</v>
      </c>
    </row>
    <row r="274" spans="1:11" x14ac:dyDescent="0.3">
      <c r="A274" t="s">
        <v>1796</v>
      </c>
      <c r="B274" t="s">
        <v>1799</v>
      </c>
      <c r="C274">
        <v>23</v>
      </c>
      <c r="D274" t="s">
        <v>1447</v>
      </c>
      <c r="E274" t="s">
        <v>1800</v>
      </c>
      <c r="F274" t="s">
        <v>1759</v>
      </c>
      <c r="K274" t="str">
        <f>IF(ISBLANK('Q 3'!H37),"",IF('Q 3'!H37="&lt;please select&gt;","",'Q 3'!H37))</f>
        <v>Yes</v>
      </c>
    </row>
    <row r="275" spans="1:11" x14ac:dyDescent="0.3">
      <c r="A275" t="s">
        <v>1796</v>
      </c>
      <c r="B275" t="s">
        <v>1799</v>
      </c>
      <c r="C275">
        <v>24</v>
      </c>
      <c r="D275" t="s">
        <v>1447</v>
      </c>
      <c r="E275" t="s">
        <v>1800</v>
      </c>
      <c r="F275" t="s">
        <v>1759</v>
      </c>
      <c r="K275" t="str">
        <f>IF(ISBLANK('Q 3'!H38),"",IF('Q 3'!H38="&lt;please select&gt;","",'Q 3'!H38))</f>
        <v>Yes</v>
      </c>
    </row>
    <row r="276" spans="1:11" x14ac:dyDescent="0.3">
      <c r="A276" t="s">
        <v>1796</v>
      </c>
      <c r="B276" t="s">
        <v>1799</v>
      </c>
      <c r="C276">
        <v>25</v>
      </c>
      <c r="D276" t="s">
        <v>1447</v>
      </c>
      <c r="E276" t="s">
        <v>1800</v>
      </c>
      <c r="F276" t="s">
        <v>1759</v>
      </c>
      <c r="K276" t="str">
        <f>IF(ISBLANK('Q 3'!H39),"",IF('Q 3'!H39="&lt;please select&gt;","",'Q 3'!H39))</f>
        <v>Yes</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5</v>
      </c>
    </row>
    <row r="293" spans="1:11" x14ac:dyDescent="0.3">
      <c r="A293" t="s">
        <v>1811</v>
      </c>
      <c r="B293" t="s">
        <v>1812</v>
      </c>
      <c r="C293">
        <v>2</v>
      </c>
      <c r="D293" t="s">
        <v>1447</v>
      </c>
      <c r="E293" t="s">
        <v>1813</v>
      </c>
      <c r="F293" t="s">
        <v>1748</v>
      </c>
      <c r="H293" s="165" t="str">
        <f>IF(ISBLANK('Q 3'!G65),"",IF('Q 3'!G65="&lt;please select&gt;","",'Q 3'!G65))</f>
        <v>2</v>
      </c>
    </row>
    <row r="294" spans="1:11" x14ac:dyDescent="0.3">
      <c r="A294" t="s">
        <v>1811</v>
      </c>
      <c r="B294" t="s">
        <v>1812</v>
      </c>
      <c r="C294">
        <v>3</v>
      </c>
      <c r="D294" t="s">
        <v>1447</v>
      </c>
      <c r="E294" t="s">
        <v>1813</v>
      </c>
      <c r="F294" t="s">
        <v>1748</v>
      </c>
      <c r="H294" s="165" t="str">
        <f>IF(ISBLANK('Q 3'!G66),"",IF('Q 3'!G66="&lt;please select&gt;","",'Q 3'!G66))</f>
        <v>7</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0</v>
      </c>
    </row>
    <row r="298" spans="1:11" x14ac:dyDescent="0.3">
      <c r="A298" t="s">
        <v>1811</v>
      </c>
      <c r="B298" t="s">
        <v>1812</v>
      </c>
      <c r="C298">
        <v>1</v>
      </c>
      <c r="D298" t="s">
        <v>1447</v>
      </c>
      <c r="E298" t="s">
        <v>1815</v>
      </c>
      <c r="F298" t="s">
        <v>1748</v>
      </c>
      <c r="H298" s="165" t="str">
        <f>IF(ISBLANK('Q 3'!I64),"",IF('Q 3'!I64="&lt;please select&gt;","",'Q 3'!I64))</f>
        <v>5</v>
      </c>
    </row>
    <row r="299" spans="1:11" x14ac:dyDescent="0.3">
      <c r="A299" t="s">
        <v>1811</v>
      </c>
      <c r="B299" t="s">
        <v>1812</v>
      </c>
      <c r="C299">
        <v>2</v>
      </c>
      <c r="D299" t="s">
        <v>1447</v>
      </c>
      <c r="E299" t="s">
        <v>1815</v>
      </c>
      <c r="F299" t="s">
        <v>1748</v>
      </c>
      <c r="H299" s="165" t="str">
        <f>IF(ISBLANK('Q 3'!I65),"",IF('Q 3'!I65="&lt;please select&gt;","",'Q 3'!I65))</f>
        <v>2</v>
      </c>
    </row>
    <row r="300" spans="1:11" x14ac:dyDescent="0.3">
      <c r="A300" t="s">
        <v>1811</v>
      </c>
      <c r="B300" t="s">
        <v>1812</v>
      </c>
      <c r="C300">
        <v>3</v>
      </c>
      <c r="D300" t="s">
        <v>1447</v>
      </c>
      <c r="E300" t="s">
        <v>1815</v>
      </c>
      <c r="F300" t="s">
        <v>1748</v>
      </c>
      <c r="H300" s="165" t="str">
        <f>IF(ISBLANK('Q 3'!I66),"",IF('Q 3'!I66="&lt;please select&gt;","",'Q 3'!I66))</f>
        <v>7</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Yes</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Yes</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Organ wydający pozwolenie zintegrowane jest tym samym organem wydającym zezwolenie na emisję gazów cieplarnianych. Organ ma obowiązek przy wydawaniu zezwolenia badać pozwolenie zintegrowane dołączone do wniosku o wydanie zezwolenia na emisję gazów cieplarnianych.</v>
      </c>
    </row>
    <row r="317" spans="1:11" x14ac:dyDescent="0.3">
      <c r="A317" t="s">
        <v>1820</v>
      </c>
      <c r="B317" t="s">
        <v>1821</v>
      </c>
      <c r="C317">
        <v>1</v>
      </c>
      <c r="D317" t="s">
        <v>1447</v>
      </c>
      <c r="E317" t="s">
        <v>1822</v>
      </c>
      <c r="F317" t="s">
        <v>1741</v>
      </c>
      <c r="G317" t="str">
        <f>IF(ISBLANK('Q 4'!G19),"",IF('Q 4'!G19="&lt;please select&gt;","",'Q 4'!G19))</f>
        <v>Przepisy ustawy z dnia 12 czerwca 2015 r. o systemie handlu uprawnieniami do emisji gazów cieplarnianych (t.j. Dz.U. 2022 poz. 1092) nie przewidują możliwości cofnięcia zezwolenia. W przypadku cofnięcia pozwolenia zintegrowanego lub pozwolenia na wprowadzanie gazów lub pyłów do powietrza (przesłanki do cofnięcia określone zostały w ustawie z dnia 27 kwietnia 2001 r. Prawo ochrony środowiska (t.j. Dz. U. z 2021 r. poz. 1973 z późn. zm.), organ właściwy do wydania zezwolenia dokonuje analizy zezwolenia i jeżeli w wyniku dokonanych ustaleń stwierdzi ustanie przesłanek uczestnictwa instalacji w systemie handlu uprawnieniami do emisji gazów cieplarnianych, wszczyna z urzędu postępowanie w sprawie  wygaśnięcia zezwolenia.</v>
      </c>
    </row>
    <row r="318" spans="1:11" x14ac:dyDescent="0.3">
      <c r="A318" t="s">
        <v>1820</v>
      </c>
      <c r="B318" t="s">
        <v>1821</v>
      </c>
      <c r="C318">
        <v>2</v>
      </c>
      <c r="D318" t="s">
        <v>1447</v>
      </c>
      <c r="E318" t="s">
        <v>1822</v>
      </c>
      <c r="F318" t="s">
        <v>1741</v>
      </c>
      <c r="G318" t="str">
        <f>IF(ISBLANK('Q 4'!G20),"",IF('Q 4'!G20="&lt;please select&gt;","",'Q 4'!G20))</f>
        <v>Na podstawie art. 162 § 1 pkt 1 ustawy z dnia 14 czerwca 1960 r. Kodeks Postępowania Administracyjnego (t. j. Dz. U. z 2021 poz. 735, ze zm.), w zw. z art. 58 ust. 3 ustawy z dnia 12 czerwca 2015 r. o systemie handlu uprawnieniami do emisji gazów cieplarnianych, zezwolenie wygasa, gdy stało się bezprzedmiotowe, a stwierdzenie wygaśnięcia takiej decyzji nakazuje przepis prawa. Zgodnie z art. 58 ust. 1 ustawy z 2015 r., zezwolenie staje się bezprzedmiotowe, w przypadku gdy instalacja przestała spełniać kryteria uczestnictwa w systemie lub w przypadku określonym w art. 2 pkt 1 i 2, tj. gdy instalacja lub jej część stosowana jest do badania, rozwoju lub testowania nowych produktów i procesów technologicznych oraz gdy instalacja wykorzystuje wyłącznie biomasę lub instalacja jest instalacją spalania odpadów niebezpiecznych lub odpadów komunalnych. Zezwolenie może wygasnąć także w trybie art. 57 ustawy, tj. jeżeli na skutek zmiany, cofnięcia albo wygaśnięcia pozwolenia zintegrowanego lub pozwolenia na wprowadzanie gazów lub pyłów do powietrza, organ właściwy do wydania zezwolenia, po dokonaniu jego analizy, stwierdzi ustanie przesłanek uczestnictwa instalacji w systemie.</v>
      </c>
    </row>
    <row r="319" spans="1:11" x14ac:dyDescent="0.3">
      <c r="A319" t="s">
        <v>1820</v>
      </c>
      <c r="B319" t="s">
        <v>1821</v>
      </c>
      <c r="C319">
        <v>3</v>
      </c>
      <c r="D319" t="s">
        <v>1447</v>
      </c>
      <c r="E319" t="s">
        <v>1822</v>
      </c>
      <c r="F319" t="s">
        <v>1741</v>
      </c>
      <c r="G319" t="str">
        <f>IF(ISBLANK('Q 4'!G21),"",IF('Q 4'!G21="&lt;please select&gt;","",'Q 4'!G21))</f>
        <v>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v>
      </c>
    </row>
    <row r="320" spans="1:11" x14ac:dyDescent="0.3">
      <c r="A320" t="s">
        <v>1820</v>
      </c>
      <c r="B320" t="s">
        <v>1821</v>
      </c>
      <c r="C320">
        <v>4</v>
      </c>
      <c r="D320" t="s">
        <v>1447</v>
      </c>
      <c r="E320" t="s">
        <v>1822</v>
      </c>
      <c r="F320" t="s">
        <v>1741</v>
      </c>
      <c r="G320" t="str">
        <f>IF(ISBLANK('Q 4'!G22),"",IF('Q 4'!G22="&lt;please select&gt;","",'Q 4'!G22))</f>
        <v xml:space="preserve">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 </v>
      </c>
    </row>
    <row r="321" spans="1:11" x14ac:dyDescent="0.3">
      <c r="A321" t="s">
        <v>1820</v>
      </c>
      <c r="B321" t="s">
        <v>1821</v>
      </c>
      <c r="C321">
        <v>5</v>
      </c>
      <c r="D321" t="s">
        <v>1447</v>
      </c>
      <c r="E321" t="s">
        <v>1822</v>
      </c>
      <c r="F321" t="s">
        <v>1741</v>
      </c>
      <c r="G321" t="str">
        <f>IF(ISBLANK('Q 4'!G23),"",IF('Q 4'!G23="&lt;please select&gt;","",'Q 4'!G23))</f>
        <v>W trybie art. 55 ust. 1 pkt 5 ustawy z dnia 12 czerwca 2015 r. o systemie handlu uprawieniami do emisji gazów cieplarnianych, prowadzący instalację jest obowiązany wystąpić z wnioskiem o zmianę zezwolenia w przypadku  zaistnienia zdarzenia powodującego konieczność zmiany planu monitorowania wielkości emisji, jeżeli zmiana ta ma charakter zmiany istotnej w rozumieniu art. 15 ust. 3 rozporządzenia Komisji (UE) 2018/2066 (Rozporządzenie Wykonawcze Komisji (UE) 2018/2066 z dnia 19 grudnia 2018 r. w sprawie monitorowania i raportowania w zakresie emisji gazów cieplarnianych na podstawie dyrektywy 2003/87/WE Parlamentu Europejskiego i Rady oraz zmieniające rozporządzenie Komisji (UE) nr 601/2012).
Prowadzący instalację jest obowiązany wystąpić z wnioskiem o zmianę zezwolenia przed wprowadzeniem planowanych zmian, a jeżeli zmian tych nie dało się zaplanować - niezwłocznie po ich wprowadzeniu.
Zgodnie z art. 14 ust. 2 rozporządzenia Komisji (UE) Nr 2018/2066, prowadzący instalację lub operator statku powietrznego zmienia plan monitorowania w przypadku: a) wystąpienia nowych emisji spowodowanych nowymi rodzajami działalności lub użyciem nowych paliw bądź materiałów, nieuwzględnionych jeszcze w planie monitorowania; b) zmiany dostępności danych spowodowanej użyciem nowych typów przyrządów pomiarowych, metod pobierania próbek lub metod analitycznych bądź innymi przyczynami, prowadzącej do większej dokładności w wyznaczaniu wielkości emisji; c) stwierdzenia nieprawidłowości danych uzyskanych przy zastosowaniu dotychczasowej metodyki monitorowania; d) zmiany w planie monitorowania skutkującej poprawą dokładności zgłaszanych danych, chyba że nie jest to technicznie wykonalne lub prowadzi do nieracjonalnych kosztów; e) plan monitorowania nie jest zgodny z wymogami niniejszego rozporządzenia a właściwy organ zażądał od prowadzącego instalacje lub operatora statku powietrznego wprowadzenia zmian w takim planie; f) konieczna jest odpowiedź na sugestie dotyczące udoskonaleń planu monitorowania zawarte w sprawozdaniu z weryfikacji.</v>
      </c>
    </row>
    <row r="322" spans="1:11" x14ac:dyDescent="0.3">
      <c r="A322" t="s">
        <v>1820</v>
      </c>
      <c r="B322" t="s">
        <v>1821</v>
      </c>
      <c r="C322">
        <v>6</v>
      </c>
      <c r="D322" t="s">
        <v>1447</v>
      </c>
      <c r="E322" t="s">
        <v>1822</v>
      </c>
      <c r="F322" t="s">
        <v>1741</v>
      </c>
      <c r="G322" t="str">
        <f>IF(ISBLANK('Q 4'!G24),"",IF('Q 4'!G24="&lt;please select&gt;","",'Q 4'!G24))</f>
        <v>Zgodnie z art. 55 ust. 1 pkt 2, 3 i 4 ustawy z dnia 12 czerwca 2015 r. o systemie handlu uprawnieniami do emisji gazów cieplarnianych zmiana zezwolenia jest wymagana w przypadku (i) zmiany nazwy, pod którą prowadzący instalację prowadzi działalność, (ii) zmiany prowadzącego instalację i (iii) w przypadku łączenia albo podziału instalacji. Zmiana dokonywana jest na wniosek prowadzącego instalację, z którym powinien on wystąpić w terminie 30 dni od dnia wystąpienia zmiany. 
Ponadto, zgodnie z art. 56 ust. 1 i 4 ww. ustawy organ właściwy do wydania zezwolenia wszczyna z urzędu postępowanie w sprawie zmiany zezwolenia jeśli potrzeba zmiany pojawiła się w wyniku analizy tego zezwolenia spowodowanej zmianą pozwolenia zintegrowanego lub pozwolenia na wprowadzanie gazów lub pyłów do powietrza. Przy czym, jeżeli zmiana dotyczy planu monitorowania wielkości emisji lub planu poboru próbek, organ wzywa prowadzącego instalację do przedłożenia zmienionego planu monitorowania wielkości emisji lub planu poboru próbek. 
 Krajowy ośrodek dokonuje analizy planu monitorowania wielkości emisji lub planu poboru próbek oraz informuje organ właściwy do wydania zezwolenia o stwierdzonych nieprawidłowościach i przypadkach niezgodności z przepisami rozporządzenia Komisji (UE) 2018/2066. Organ właściwy do wydania zezwolenia dokonuje oceny informacji przekazanej przez Krajowy ośrodek i w przypadku stwierdzenia potrzeby zmiany zezwolenia, wszczyna z urzędu postępowanie w sprawie zmiany zezwolenia i w toku tego postępowania wydaje decyzję ws. zmiany zezwolenia.</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545</v>
      </c>
    </row>
    <row r="327" spans="1:11" x14ac:dyDescent="0.3">
      <c r="A327" t="s">
        <v>1824</v>
      </c>
      <c r="B327" t="s">
        <v>1825</v>
      </c>
      <c r="C327">
        <v>0</v>
      </c>
      <c r="D327" t="s">
        <v>1447</v>
      </c>
      <c r="E327" t="s">
        <v>1825</v>
      </c>
      <c r="F327" t="s">
        <v>1759</v>
      </c>
      <c r="K327" t="str">
        <f>IF(ISBLANK('Q 5'!$I$6),"",IF('Q 5'!$I$6="&lt;please select&gt;","",'Q 5'!$I$6))</f>
        <v>Yes</v>
      </c>
    </row>
    <row r="328" spans="1:11" x14ac:dyDescent="0.3">
      <c r="A328" t="s">
        <v>1824</v>
      </c>
      <c r="B328" t="s">
        <v>1826</v>
      </c>
      <c r="C328">
        <v>0</v>
      </c>
      <c r="D328" t="s">
        <v>1447</v>
      </c>
      <c r="E328" t="s">
        <v>1826</v>
      </c>
      <c r="F328" t="s">
        <v>1741</v>
      </c>
      <c r="G328" t="str">
        <f>IF(ISBLANK('Q 5'!$C$8),"",IF('Q 5'!$C$8="&lt;please select&gt;","",'Q 5'!$C$8))</f>
        <v>Obwieszczenie Marszałka Sejmu Rzeczypospolitej Polskiej z dnia 7 kwietnia 2022 r. w sprawie ogłoszenia jednolitego tekstu ustawy o systemie handlu uprawnieniami do emisji gazów cieplarnianych (t.j. Dz.U. 2022 poz. 1092).</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No</v>
      </c>
    </row>
    <row r="333" spans="1:11" x14ac:dyDescent="0.3">
      <c r="A333" t="s">
        <v>1829</v>
      </c>
      <c r="B333" t="s">
        <v>1830</v>
      </c>
      <c r="C333">
        <v>3</v>
      </c>
      <c r="D333" t="s">
        <v>1447</v>
      </c>
      <c r="E333" t="s">
        <v>1831</v>
      </c>
      <c r="F333" t="s">
        <v>1759</v>
      </c>
      <c r="K333" t="str">
        <f>IF(ISBLANK('Q 5'!G18),"",IF('Q 5'!G18="&lt;please select&gt;","",'Q 5'!G18))</f>
        <v>No</v>
      </c>
    </row>
    <row r="334" spans="1:11" x14ac:dyDescent="0.3">
      <c r="A334" t="s">
        <v>1829</v>
      </c>
      <c r="B334" t="s">
        <v>1830</v>
      </c>
      <c r="C334">
        <v>4</v>
      </c>
      <c r="D334" t="s">
        <v>1447</v>
      </c>
      <c r="E334" t="s">
        <v>1831</v>
      </c>
      <c r="F334" t="s">
        <v>1759</v>
      </c>
      <c r="K334" t="str">
        <f>IF(ISBLANK('Q 5'!G19),"",IF('Q 5'!G19="&lt;please select&gt;","",'Q 5'!G19))</f>
        <v>No</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No</v>
      </c>
    </row>
    <row r="337" spans="1:11" x14ac:dyDescent="0.3">
      <c r="A337" t="s">
        <v>1829</v>
      </c>
      <c r="B337" t="s">
        <v>1830</v>
      </c>
      <c r="C337">
        <v>7</v>
      </c>
      <c r="D337" t="s">
        <v>1447</v>
      </c>
      <c r="E337" t="s">
        <v>1831</v>
      </c>
      <c r="F337" t="s">
        <v>1759</v>
      </c>
      <c r="K337" t="str">
        <f>IF(ISBLANK('Q 5'!G22),"",IF('Q 5'!G22="&lt;please select&gt;","",'Q 5'!G22))</f>
        <v>No</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Member State specific template</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formularz KE uzupełniony o dane dotyczące produkcji</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W przepisach krajowych zawarto wymóg przekazywania raportów i sprawozdań w formie elektronicznej (pliki Excel).</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988069.1121</v>
      </c>
    </row>
    <row r="366" spans="1:11" x14ac:dyDescent="0.3">
      <c r="A366" t="s">
        <v>1843</v>
      </c>
      <c r="B366" t="s">
        <v>1844</v>
      </c>
      <c r="C366">
        <v>2</v>
      </c>
      <c r="D366" t="s">
        <v>1447</v>
      </c>
      <c r="E366" t="s">
        <v>1845</v>
      </c>
      <c r="F366" t="s">
        <v>1806</v>
      </c>
      <c r="I366" t="str">
        <f>IF(ISBLANK('Q 5'!F54),"",IF('Q 5'!F54="&lt;please select&gt;","",'Q 5'!F54))</f>
        <v>430894.43</v>
      </c>
    </row>
    <row r="367" spans="1:11" x14ac:dyDescent="0.3">
      <c r="A367" t="s">
        <v>1843</v>
      </c>
      <c r="B367" t="s">
        <v>1844</v>
      </c>
      <c r="C367">
        <v>3</v>
      </c>
      <c r="D367" t="s">
        <v>1447</v>
      </c>
      <c r="E367" t="s">
        <v>1845</v>
      </c>
      <c r="F367" t="s">
        <v>1806</v>
      </c>
      <c r="I367" t="str">
        <f>IF(ISBLANK('Q 5'!F55),"",IF('Q 5'!F55="&lt;please select&gt;","",'Q 5'!F55))</f>
        <v>0</v>
      </c>
    </row>
    <row r="368" spans="1:11" x14ac:dyDescent="0.3">
      <c r="A368" t="s">
        <v>1843</v>
      </c>
      <c r="B368" t="s">
        <v>1844</v>
      </c>
      <c r="C368">
        <v>4</v>
      </c>
      <c r="D368" t="s">
        <v>1447</v>
      </c>
      <c r="E368" t="s">
        <v>1845</v>
      </c>
      <c r="F368" t="s">
        <v>1806</v>
      </c>
      <c r="I368" t="str">
        <f>IF(ISBLANK('Q 5'!F56),"",IF('Q 5'!F56="&lt;please select&gt;","",'Q 5'!F56))</f>
        <v>58674.5277</v>
      </c>
    </row>
    <row r="369" spans="1:9" x14ac:dyDescent="0.3">
      <c r="A369" t="s">
        <v>1843</v>
      </c>
      <c r="B369" t="s">
        <v>1844</v>
      </c>
      <c r="C369">
        <v>5</v>
      </c>
      <c r="D369" t="s">
        <v>1447</v>
      </c>
      <c r="E369" t="s">
        <v>1845</v>
      </c>
      <c r="F369" t="s">
        <v>1806</v>
      </c>
      <c r="I369" t="str">
        <f>IF(ISBLANK('Q 5'!F57),"",IF('Q 5'!F57="&lt;please select&gt;","",'Q 5'!F57))</f>
        <v>347475.031293467</v>
      </c>
    </row>
    <row r="370" spans="1:9" x14ac:dyDescent="0.3">
      <c r="A370" t="s">
        <v>1843</v>
      </c>
      <c r="B370" t="s">
        <v>1844</v>
      </c>
      <c r="C370">
        <v>6</v>
      </c>
      <c r="D370" t="s">
        <v>1447</v>
      </c>
      <c r="E370" t="s">
        <v>1845</v>
      </c>
      <c r="F370" t="s">
        <v>1806</v>
      </c>
      <c r="I370" t="str">
        <f>IF(ISBLANK('Q 5'!F58),"",IF('Q 5'!F58="&lt;please select&gt;","",'Q 5'!F58))</f>
        <v>68854.4579479</v>
      </c>
    </row>
    <row r="371" spans="1:9" x14ac:dyDescent="0.3">
      <c r="A371" t="s">
        <v>1843</v>
      </c>
      <c r="B371" t="s">
        <v>1844</v>
      </c>
      <c r="C371">
        <v>7</v>
      </c>
      <c r="D371" t="s">
        <v>1447</v>
      </c>
      <c r="E371" t="s">
        <v>1845</v>
      </c>
      <c r="F371" t="s">
        <v>1806</v>
      </c>
      <c r="I371" t="str">
        <f>IF(ISBLANK('Q 5'!F59),"",IF('Q 5'!F59="&lt;please select&gt;","",'Q 5'!F59))</f>
        <v>13328.7188</v>
      </c>
    </row>
    <row r="372" spans="1:9" x14ac:dyDescent="0.3">
      <c r="A372" t="s">
        <v>1843</v>
      </c>
      <c r="B372" t="s">
        <v>1844</v>
      </c>
      <c r="C372">
        <v>8</v>
      </c>
      <c r="D372" t="s">
        <v>1447</v>
      </c>
      <c r="E372" t="s">
        <v>1845</v>
      </c>
      <c r="F372" t="s">
        <v>1806</v>
      </c>
      <c r="I372" t="str">
        <f>IF(ISBLANK('Q 5'!F60),"",IF('Q 5'!F60="&lt;please select&gt;","",'Q 5'!F60))</f>
        <v>54974.8034</v>
      </c>
    </row>
    <row r="373" spans="1:9" x14ac:dyDescent="0.3">
      <c r="A373" t="s">
        <v>1843</v>
      </c>
      <c r="B373" t="s">
        <v>1844</v>
      </c>
      <c r="C373">
        <v>9</v>
      </c>
      <c r="D373" t="s">
        <v>1447</v>
      </c>
      <c r="E373" t="s">
        <v>1845</v>
      </c>
      <c r="F373" t="s">
        <v>1806</v>
      </c>
      <c r="I373" t="str">
        <f>IF(ISBLANK('Q 5'!F61),"",IF('Q 5'!F61="&lt;please select&gt;","",'Q 5'!F61))</f>
        <v>41494.9528</v>
      </c>
    </row>
    <row r="374" spans="1:9" x14ac:dyDescent="0.3">
      <c r="A374" t="s">
        <v>1843</v>
      </c>
      <c r="B374" t="s">
        <v>1844</v>
      </c>
      <c r="C374">
        <v>10</v>
      </c>
      <c r="D374" t="s">
        <v>1447</v>
      </c>
      <c r="E374" t="s">
        <v>1845</v>
      </c>
      <c r="F374" t="s">
        <v>1806</v>
      </c>
      <c r="I374" t="str">
        <f>IF(ISBLANK('Q 5'!F62),"",IF('Q 5'!F62="&lt;please select&gt;","",'Q 5'!F62))</f>
        <v>905.10558032</v>
      </c>
    </row>
    <row r="375" spans="1:9" x14ac:dyDescent="0.3">
      <c r="A375" t="s">
        <v>1843</v>
      </c>
      <c r="B375" t="s">
        <v>1844</v>
      </c>
      <c r="C375">
        <v>11</v>
      </c>
      <c r="D375" t="s">
        <v>1447</v>
      </c>
      <c r="E375" t="s">
        <v>1845</v>
      </c>
      <c r="F375" t="s">
        <v>1806</v>
      </c>
      <c r="I375" t="str">
        <f>IF(ISBLANK('Q 5'!F63),"",IF('Q 5'!F63="&lt;please select&gt;","",'Q 5'!F63))</f>
        <v>137.4312</v>
      </c>
    </row>
    <row r="376" spans="1:9" x14ac:dyDescent="0.3">
      <c r="A376" t="s">
        <v>1843</v>
      </c>
      <c r="B376" t="s">
        <v>1844</v>
      </c>
      <c r="C376">
        <v>12</v>
      </c>
      <c r="D376" t="s">
        <v>1447</v>
      </c>
      <c r="E376" t="s">
        <v>1845</v>
      </c>
      <c r="F376" t="s">
        <v>1806</v>
      </c>
      <c r="I376" t="str">
        <f>IF(ISBLANK('Q 5'!F64),"",IF('Q 5'!F64="&lt;please select&gt;","",'Q 5'!F64))</f>
        <v>40660.8031277757</v>
      </c>
    </row>
    <row r="377" spans="1:9" x14ac:dyDescent="0.3">
      <c r="A377" t="s">
        <v>1843</v>
      </c>
      <c r="B377" t="s">
        <v>1844</v>
      </c>
      <c r="C377">
        <v>1</v>
      </c>
      <c r="D377" t="s">
        <v>1447</v>
      </c>
      <c r="E377" t="s">
        <v>1848</v>
      </c>
      <c r="F377" t="s">
        <v>1806</v>
      </c>
      <c r="I377" t="str">
        <f>IF(ISBLANK('Q 5'!H53),"",IF('Q 5'!H53="&lt;please select&gt;","",'Q 5'!H53))</f>
        <v>92507722.2198999</v>
      </c>
    </row>
    <row r="378" spans="1:9" x14ac:dyDescent="0.3">
      <c r="A378" t="s">
        <v>1843</v>
      </c>
      <c r="B378" t="s">
        <v>1844</v>
      </c>
      <c r="C378">
        <v>2</v>
      </c>
      <c r="D378" t="s">
        <v>1447</v>
      </c>
      <c r="E378" t="s">
        <v>1848</v>
      </c>
      <c r="F378" t="s">
        <v>1806</v>
      </c>
      <c r="I378" t="str">
        <f>IF(ISBLANK('Q 5'!H54),"",IF('Q 5'!H54="&lt;please select&gt;","",'Q 5'!H54))</f>
        <v>47691202.32</v>
      </c>
    </row>
    <row r="379" spans="1:9" x14ac:dyDescent="0.3">
      <c r="A379" t="s">
        <v>1843</v>
      </c>
      <c r="B379" t="s">
        <v>1844</v>
      </c>
      <c r="C379">
        <v>3</v>
      </c>
      <c r="D379" t="s">
        <v>1447</v>
      </c>
      <c r="E379" t="s">
        <v>1848</v>
      </c>
      <c r="F379" t="s">
        <v>1806</v>
      </c>
      <c r="I379" t="str">
        <f>IF(ISBLANK('Q 5'!H55),"",IF('Q 5'!H55="&lt;please select&gt;","",'Q 5'!H55))</f>
        <v>0</v>
      </c>
    </row>
    <row r="380" spans="1:9" x14ac:dyDescent="0.3">
      <c r="A380" t="s">
        <v>1843</v>
      </c>
      <c r="B380" t="s">
        <v>1844</v>
      </c>
      <c r="C380">
        <v>4</v>
      </c>
      <c r="D380" t="s">
        <v>1447</v>
      </c>
      <c r="E380" t="s">
        <v>1848</v>
      </c>
      <c r="F380" t="s">
        <v>1806</v>
      </c>
      <c r="I380" t="str">
        <f>IF(ISBLANK('Q 5'!H56),"",IF('Q 5'!H56="&lt;please select&gt;","",'Q 5'!H56))</f>
        <v>6318744.2849</v>
      </c>
    </row>
    <row r="381" spans="1:9" x14ac:dyDescent="0.3">
      <c r="A381" t="s">
        <v>1843</v>
      </c>
      <c r="B381" t="s">
        <v>1844</v>
      </c>
      <c r="C381">
        <v>5</v>
      </c>
      <c r="D381" t="s">
        <v>1447</v>
      </c>
      <c r="E381" t="s">
        <v>1848</v>
      </c>
      <c r="F381" t="s">
        <v>1806</v>
      </c>
      <c r="I381" t="str">
        <f>IF(ISBLANK('Q 5'!H57),"",IF('Q 5'!H57="&lt;please select&gt;","",'Q 5'!H57))</f>
        <v>19221784.233</v>
      </c>
    </row>
    <row r="382" spans="1:9" x14ac:dyDescent="0.3">
      <c r="A382" t="s">
        <v>1843</v>
      </c>
      <c r="B382" t="s">
        <v>1844</v>
      </c>
      <c r="C382">
        <v>6</v>
      </c>
      <c r="D382" t="s">
        <v>1447</v>
      </c>
      <c r="E382" t="s">
        <v>1848</v>
      </c>
      <c r="F382" t="s">
        <v>1806</v>
      </c>
      <c r="I382" t="str">
        <f>IF(ISBLANK('Q 5'!H58),"",IF('Q 5'!H58="&lt;please select&gt;","",'Q 5'!H58))</f>
        <v>2998184.5</v>
      </c>
    </row>
    <row r="383" spans="1:9" x14ac:dyDescent="0.3">
      <c r="A383" t="s">
        <v>1843</v>
      </c>
      <c r="B383" t="s">
        <v>1844</v>
      </c>
      <c r="C383">
        <v>7</v>
      </c>
      <c r="D383" t="s">
        <v>1447</v>
      </c>
      <c r="E383" t="s">
        <v>1848</v>
      </c>
      <c r="F383" t="s">
        <v>1806</v>
      </c>
      <c r="I383" t="str">
        <f>IF(ISBLANK('Q 5'!H59),"",IF('Q 5'!H59="&lt;please select&gt;","",'Q 5'!H59))</f>
        <v>3239508.87</v>
      </c>
    </row>
    <row r="384" spans="1:9" x14ac:dyDescent="0.3">
      <c r="A384" t="s">
        <v>1843</v>
      </c>
      <c r="B384" t="s">
        <v>1844</v>
      </c>
      <c r="C384">
        <v>8</v>
      </c>
      <c r="D384" t="s">
        <v>1447</v>
      </c>
      <c r="E384" t="s">
        <v>1848</v>
      </c>
      <c r="F384" t="s">
        <v>1806</v>
      </c>
      <c r="I384" t="str">
        <f>IF(ISBLANK('Q 5'!H60),"",IF('Q 5'!H60="&lt;please select&gt;","",'Q 5'!H60))</f>
        <v>3236131.5195</v>
      </c>
    </row>
    <row r="385" spans="1:11" x14ac:dyDescent="0.3">
      <c r="A385" t="s">
        <v>1843</v>
      </c>
      <c r="B385" t="s">
        <v>1844</v>
      </c>
      <c r="C385">
        <v>9</v>
      </c>
      <c r="D385" t="s">
        <v>1447</v>
      </c>
      <c r="E385" t="s">
        <v>1848</v>
      </c>
      <c r="F385" t="s">
        <v>1806</v>
      </c>
      <c r="I385" t="str">
        <f>IF(ISBLANK('Q 5'!H61),"",IF('Q 5'!H61="&lt;please select&gt;","",'Q 5'!H61))</f>
        <v>3231371.9291</v>
      </c>
    </row>
    <row r="386" spans="1:11" x14ac:dyDescent="0.3">
      <c r="A386" t="s">
        <v>1843</v>
      </c>
      <c r="B386" t="s">
        <v>1844</v>
      </c>
      <c r="C386">
        <v>10</v>
      </c>
      <c r="D386" t="s">
        <v>1447</v>
      </c>
      <c r="E386" t="s">
        <v>1848</v>
      </c>
      <c r="F386" t="s">
        <v>1806</v>
      </c>
      <c r="I386" t="str">
        <f>IF(ISBLANK('Q 5'!H62),"",IF('Q 5'!H62="&lt;please select&gt;","",'Q 5'!H62))</f>
        <v>58423.0887</v>
      </c>
    </row>
    <row r="387" spans="1:11" x14ac:dyDescent="0.3">
      <c r="A387" t="s">
        <v>1843</v>
      </c>
      <c r="B387" t="s">
        <v>1844</v>
      </c>
      <c r="C387">
        <v>11</v>
      </c>
      <c r="D387" t="s">
        <v>1447</v>
      </c>
      <c r="E387" t="s">
        <v>1848</v>
      </c>
      <c r="F387" t="s">
        <v>1806</v>
      </c>
      <c r="I387" t="str">
        <f>IF(ISBLANK('Q 5'!H63),"",IF('Q 5'!H63="&lt;please select&gt;","",'Q 5'!H63))</f>
        <v>13237.5</v>
      </c>
    </row>
    <row r="388" spans="1:11" x14ac:dyDescent="0.3">
      <c r="A388" t="s">
        <v>1843</v>
      </c>
      <c r="B388" t="s">
        <v>1844</v>
      </c>
      <c r="C388">
        <v>12</v>
      </c>
      <c r="D388" t="s">
        <v>1447</v>
      </c>
      <c r="E388" t="s">
        <v>1848</v>
      </c>
      <c r="F388" t="s">
        <v>1806</v>
      </c>
      <c r="I388" t="str">
        <f>IF(ISBLANK('Q 5'!H64),"",IF('Q 5'!H64="&lt;please select&gt;","",'Q 5'!H64))</f>
        <v>2212659.5797</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1A1b - Energy - Petroleum Refining</v>
      </c>
    </row>
    <row r="391" spans="1:11" x14ac:dyDescent="0.3">
      <c r="A391" t="s">
        <v>1846</v>
      </c>
      <c r="B391" t="s">
        <v>1849</v>
      </c>
      <c r="C391">
        <v>3</v>
      </c>
      <c r="D391" t="s">
        <v>1447</v>
      </c>
      <c r="E391" t="s">
        <v>1850</v>
      </c>
      <c r="F391" t="s">
        <v>1737</v>
      </c>
      <c r="K391" t="str">
        <f>IF(ISBLANK('Q 5'!C71),"",IF('Q 5'!C71="&lt;please select&gt;","",'Q 5'!C71))</f>
        <v>1A1c - Energy - Manufacture of Solid Fuels and Other Energy Industries</v>
      </c>
    </row>
    <row r="392" spans="1:11" x14ac:dyDescent="0.3">
      <c r="A392" t="s">
        <v>1846</v>
      </c>
      <c r="B392" t="s">
        <v>1849</v>
      </c>
      <c r="C392">
        <v>4</v>
      </c>
      <c r="D392" t="s">
        <v>1447</v>
      </c>
      <c r="E392" t="s">
        <v>1850</v>
      </c>
      <c r="F392" t="s">
        <v>1737</v>
      </c>
      <c r="K392" t="str">
        <f>IF(ISBLANK('Q 5'!C72),"",IF('Q 5'!C72="&lt;please select&gt;","",'Q 5'!C72))</f>
        <v>1A2a - Energy - Iron and Steel</v>
      </c>
    </row>
    <row r="393" spans="1:11" x14ac:dyDescent="0.3">
      <c r="A393" t="s">
        <v>1846</v>
      </c>
      <c r="B393" t="s">
        <v>1849</v>
      </c>
      <c r="C393">
        <v>5</v>
      </c>
      <c r="D393" t="s">
        <v>1447</v>
      </c>
      <c r="E393" t="s">
        <v>1850</v>
      </c>
      <c r="F393" t="s">
        <v>1737</v>
      </c>
      <c r="K393" t="str">
        <f>IF(ISBLANK('Q 5'!C73),"",IF('Q 5'!C73="&lt;please select&gt;","",'Q 5'!C73))</f>
        <v>1A2b - Energy - Non-Ferrous Metals</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1A2d - Energy - Pulp, Paper and Print</v>
      </c>
    </row>
    <row r="396" spans="1:11" x14ac:dyDescent="0.3">
      <c r="A396" t="s">
        <v>1846</v>
      </c>
      <c r="B396" t="s">
        <v>1849</v>
      </c>
      <c r="C396">
        <v>8</v>
      </c>
      <c r="D396" t="s">
        <v>1447</v>
      </c>
      <c r="E396" t="s">
        <v>1850</v>
      </c>
      <c r="F396" t="s">
        <v>1737</v>
      </c>
      <c r="K396" t="str">
        <f>IF(ISBLANK('Q 5'!C76),"",IF('Q 5'!C76="&lt;please select&gt;","",'Q 5'!C76))</f>
        <v>1A2e - Energy - Food Processing, Beverages and Tobacco</v>
      </c>
    </row>
    <row r="397" spans="1:11" x14ac:dyDescent="0.3">
      <c r="A397" t="s">
        <v>1846</v>
      </c>
      <c r="B397" t="s">
        <v>1849</v>
      </c>
      <c r="C397">
        <v>9</v>
      </c>
      <c r="D397" t="s">
        <v>1447</v>
      </c>
      <c r="E397" t="s">
        <v>1850</v>
      </c>
      <c r="F397" t="s">
        <v>1737</v>
      </c>
      <c r="K397" t="str">
        <f>IF(ISBLANK('Q 5'!C77),"",IF('Q 5'!C77="&lt;please select&gt;","",'Q 5'!C77))</f>
        <v>1A2f - Energy - Non-metallic minerals</v>
      </c>
    </row>
    <row r="398" spans="1:11" x14ac:dyDescent="0.3">
      <c r="A398" t="s">
        <v>1846</v>
      </c>
      <c r="B398" t="s">
        <v>1849</v>
      </c>
      <c r="C398">
        <v>10</v>
      </c>
      <c r="D398" t="s">
        <v>1447</v>
      </c>
      <c r="E398" t="s">
        <v>1850</v>
      </c>
      <c r="F398" t="s">
        <v>1737</v>
      </c>
      <c r="K398" t="str">
        <f>IF(ISBLANK('Q 5'!C78),"",IF('Q 5'!C78="&lt;please select&gt;","",'Q 5'!C78))</f>
        <v>1A2g - Energy - Other Manufacturing Industries and Construction</v>
      </c>
    </row>
    <row r="399" spans="1:11" x14ac:dyDescent="0.3">
      <c r="A399" t="s">
        <v>1846</v>
      </c>
      <c r="B399" t="s">
        <v>1849</v>
      </c>
      <c r="C399">
        <v>11</v>
      </c>
      <c r="D399" t="s">
        <v>1447</v>
      </c>
      <c r="E399" t="s">
        <v>1850</v>
      </c>
      <c r="F399" t="s">
        <v>1737</v>
      </c>
      <c r="K399" t="str">
        <f>IF(ISBLANK('Q 5'!C79),"",IF('Q 5'!C79="&lt;please select&gt;","",'Q 5'!C79))</f>
        <v>1A3e - Energy - Other Transportation (pipeline transport)</v>
      </c>
    </row>
    <row r="400" spans="1:11" x14ac:dyDescent="0.3">
      <c r="A400" t="s">
        <v>1846</v>
      </c>
      <c r="B400" t="s">
        <v>1849</v>
      </c>
      <c r="C400">
        <v>12</v>
      </c>
      <c r="D400" t="s">
        <v>1447</v>
      </c>
      <c r="E400" t="s">
        <v>1850</v>
      </c>
      <c r="F400" t="s">
        <v>1737</v>
      </c>
      <c r="K400" t="str">
        <f>IF(ISBLANK('Q 5'!C80),"",IF('Q 5'!C80="&lt;please select&gt;","",'Q 5'!C80))</f>
        <v>1A4c - Energy - Agriculture/Forestry/Fishing</v>
      </c>
    </row>
    <row r="401" spans="1:11" x14ac:dyDescent="0.3">
      <c r="A401" t="s">
        <v>1846</v>
      </c>
      <c r="B401" t="s">
        <v>1849</v>
      </c>
      <c r="C401">
        <v>13</v>
      </c>
      <c r="D401" t="s">
        <v>1447</v>
      </c>
      <c r="E401" t="s">
        <v>1850</v>
      </c>
      <c r="F401" t="s">
        <v>1737</v>
      </c>
      <c r="K401" t="str">
        <f>IF(ISBLANK('Q 5'!C81),"",IF('Q 5'!C81="&lt;please select&gt;","",'Q 5'!C81))</f>
        <v>1A5a - Energy - Other Stationary</v>
      </c>
    </row>
    <row r="402" spans="1:11" x14ac:dyDescent="0.3">
      <c r="A402" t="s">
        <v>1846</v>
      </c>
      <c r="B402" t="s">
        <v>1849</v>
      </c>
      <c r="C402">
        <v>14</v>
      </c>
      <c r="D402" t="s">
        <v>1447</v>
      </c>
      <c r="E402" t="s">
        <v>1850</v>
      </c>
      <c r="F402" t="s">
        <v>1737</v>
      </c>
      <c r="K402" t="str">
        <f>IF(ISBLANK('Q 5'!C82),"",IF('Q 5'!C82="&lt;please select&gt;","",'Q 5'!C82))</f>
        <v>1B2a - Energy - Fugitive - Oil</v>
      </c>
    </row>
    <row r="403" spans="1:11" x14ac:dyDescent="0.3">
      <c r="A403" t="s">
        <v>1846</v>
      </c>
      <c r="B403" t="s">
        <v>1849</v>
      </c>
      <c r="C403">
        <v>15</v>
      </c>
      <c r="D403" t="s">
        <v>1447</v>
      </c>
      <c r="E403" t="s">
        <v>1850</v>
      </c>
      <c r="F403" t="s">
        <v>1737</v>
      </c>
      <c r="K403" t="str">
        <f>IF(ISBLANK('Q 5'!C83),"",IF('Q 5'!C83="&lt;please select&gt;","",'Q 5'!C83))</f>
        <v>1B2b - Energy - Fugitive - Natural Gas</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
      </c>
    </row>
    <row r="528" spans="1:11" x14ac:dyDescent="0.3">
      <c r="A528" t="s">
        <v>1846</v>
      </c>
      <c r="B528" t="s">
        <v>1849</v>
      </c>
      <c r="C528">
        <v>10</v>
      </c>
      <c r="D528" t="s">
        <v>1447</v>
      </c>
      <c r="E528" t="s">
        <v>1851</v>
      </c>
      <c r="F528" t="s">
        <v>1737</v>
      </c>
      <c r="K528" t="str">
        <f>IF(ISBLANK('Q 5'!E78),"",IF('Q 5'!E78="&lt;please select&gt;","",'Q 5'!E78))</f>
        <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2A1 - Process - Cement Production</v>
      </c>
    </row>
    <row r="535" spans="1:11" x14ac:dyDescent="0.3">
      <c r="A535" t="s">
        <v>1846</v>
      </c>
      <c r="B535" t="s">
        <v>1849</v>
      </c>
      <c r="C535">
        <v>17</v>
      </c>
      <c r="D535" t="s">
        <v>1447</v>
      </c>
      <c r="E535" t="s">
        <v>1851</v>
      </c>
      <c r="F535" t="s">
        <v>1737</v>
      </c>
      <c r="K535" t="str">
        <f>IF(ISBLANK('Q 5'!E85),"",IF('Q 5'!E85="&lt;please select&gt;","",'Q 5'!E85))</f>
        <v>2A2 - Process - Lime Production</v>
      </c>
    </row>
    <row r="536" spans="1:11" x14ac:dyDescent="0.3">
      <c r="A536" t="s">
        <v>1846</v>
      </c>
      <c r="B536" t="s">
        <v>1849</v>
      </c>
      <c r="C536">
        <v>18</v>
      </c>
      <c r="D536" t="s">
        <v>1447</v>
      </c>
      <c r="E536" t="s">
        <v>1851</v>
      </c>
      <c r="F536" t="s">
        <v>1737</v>
      </c>
      <c r="K536" t="str">
        <f>IF(ISBLANK('Q 5'!E86),"",IF('Q 5'!E86="&lt;please select&gt;","",'Q 5'!E86))</f>
        <v>2A3 - Process - Glass production</v>
      </c>
    </row>
    <row r="537" spans="1:11" x14ac:dyDescent="0.3">
      <c r="A537" t="s">
        <v>1846</v>
      </c>
      <c r="B537" t="s">
        <v>1849</v>
      </c>
      <c r="C537">
        <v>19</v>
      </c>
      <c r="D537" t="s">
        <v>1447</v>
      </c>
      <c r="E537" t="s">
        <v>1851</v>
      </c>
      <c r="F537" t="s">
        <v>1737</v>
      </c>
      <c r="K537" t="str">
        <f>IF(ISBLANK('Q 5'!E87),"",IF('Q 5'!E87="&lt;please select&gt;","",'Q 5'!E87))</f>
        <v>2A4 - Process - Other Process Uses of Carbonates</v>
      </c>
    </row>
    <row r="538" spans="1:11" x14ac:dyDescent="0.3">
      <c r="A538" t="s">
        <v>1846</v>
      </c>
      <c r="B538" t="s">
        <v>1849</v>
      </c>
      <c r="C538">
        <v>20</v>
      </c>
      <c r="D538" t="s">
        <v>1447</v>
      </c>
      <c r="E538" t="s">
        <v>1851</v>
      </c>
      <c r="F538" t="s">
        <v>1737</v>
      </c>
      <c r="K538" t="str">
        <f>IF(ISBLANK('Q 5'!E88),"",IF('Q 5'!E88="&lt;please select&gt;","",'Q 5'!E88))</f>
        <v xml:space="preserve">2B2 - Process - Nitric Acid Production </v>
      </c>
    </row>
    <row r="539" spans="1:11" x14ac:dyDescent="0.3">
      <c r="A539" t="s">
        <v>1846</v>
      </c>
      <c r="B539" t="s">
        <v>1849</v>
      </c>
      <c r="C539">
        <v>21</v>
      </c>
      <c r="D539" t="s">
        <v>1447</v>
      </c>
      <c r="E539" t="s">
        <v>1851</v>
      </c>
      <c r="F539" t="s">
        <v>1737</v>
      </c>
      <c r="K539" t="str">
        <f>IF(ISBLANK('Q 5'!E89),"",IF('Q 5'!E89="&lt;please select&gt;","",'Q 5'!E89))</f>
        <v xml:space="preserve">2B7 - Process - Soda Ash Production </v>
      </c>
    </row>
    <row r="540" spans="1:11" x14ac:dyDescent="0.3">
      <c r="A540" t="s">
        <v>1846</v>
      </c>
      <c r="B540" t="s">
        <v>1849</v>
      </c>
      <c r="C540">
        <v>22</v>
      </c>
      <c r="D540" t="s">
        <v>1447</v>
      </c>
      <c r="E540" t="s">
        <v>1851</v>
      </c>
      <c r="F540" t="s">
        <v>1737</v>
      </c>
      <c r="K540" t="str">
        <f>IF(ISBLANK('Q 5'!E90),"",IF('Q 5'!E90="&lt;please select&gt;","",'Q 5'!E90))</f>
        <v>2B8 - Process - Petrochemical and Carbon Black Production</v>
      </c>
    </row>
    <row r="541" spans="1:11" x14ac:dyDescent="0.3">
      <c r="A541" t="s">
        <v>1846</v>
      </c>
      <c r="B541" t="s">
        <v>1849</v>
      </c>
      <c r="C541">
        <v>23</v>
      </c>
      <c r="D541" t="s">
        <v>1447</v>
      </c>
      <c r="E541" t="s">
        <v>1851</v>
      </c>
      <c r="F541" t="s">
        <v>1737</v>
      </c>
      <c r="K541" t="str">
        <f>IF(ISBLANK('Q 5'!E91),"",IF('Q 5'!E91="&lt;please select&gt;","",'Q 5'!E91))</f>
        <v>2B10 - Process - Other Chemical Industry</v>
      </c>
    </row>
    <row r="542" spans="1:11" x14ac:dyDescent="0.3">
      <c r="A542" t="s">
        <v>1846</v>
      </c>
      <c r="B542" t="s">
        <v>1849</v>
      </c>
      <c r="C542">
        <v>24</v>
      </c>
      <c r="D542" t="s">
        <v>1447</v>
      </c>
      <c r="E542" t="s">
        <v>1851</v>
      </c>
      <c r="F542" t="s">
        <v>1737</v>
      </c>
      <c r="K542" t="str">
        <f>IF(ISBLANK('Q 5'!E92),"",IF('Q 5'!E92="&lt;please select&gt;","",'Q 5'!E92))</f>
        <v>2C1 - Process - Iron and Steel Production</v>
      </c>
    </row>
    <row r="543" spans="1:11" x14ac:dyDescent="0.3">
      <c r="A543" t="s">
        <v>1846</v>
      </c>
      <c r="B543" t="s">
        <v>1849</v>
      </c>
      <c r="C543">
        <v>25</v>
      </c>
      <c r="D543" t="s">
        <v>1447</v>
      </c>
      <c r="E543" t="s">
        <v>1851</v>
      </c>
      <c r="F543" t="s">
        <v>1737</v>
      </c>
      <c r="K543" t="str">
        <f>IF(ISBLANK('Q 5'!E93),"",IF('Q 5'!E93="&lt;please select&gt;","",'Q 5'!E93))</f>
        <v>2C2 - Process - Ferroalloys Production</v>
      </c>
    </row>
    <row r="544" spans="1:11" x14ac:dyDescent="0.3">
      <c r="A544" t="s">
        <v>1846</v>
      </c>
      <c r="B544" t="s">
        <v>1849</v>
      </c>
      <c r="C544">
        <v>26</v>
      </c>
      <c r="D544" t="s">
        <v>1447</v>
      </c>
      <c r="E544" t="s">
        <v>1851</v>
      </c>
      <c r="F544" t="s">
        <v>1737</v>
      </c>
      <c r="K544" t="str">
        <f>IF(ISBLANK('Q 5'!E94),"",IF('Q 5'!E94="&lt;please select&gt;","",'Q 5'!E94))</f>
        <v xml:space="preserve">2C6 - Process - Zinc Production </v>
      </c>
    </row>
    <row r="545" spans="1:11" x14ac:dyDescent="0.3">
      <c r="A545" t="s">
        <v>1846</v>
      </c>
      <c r="B545" t="s">
        <v>1849</v>
      </c>
      <c r="C545">
        <v>27</v>
      </c>
      <c r="D545" t="s">
        <v>1447</v>
      </c>
      <c r="E545" t="s">
        <v>1851</v>
      </c>
      <c r="F545" t="s">
        <v>1737</v>
      </c>
      <c r="K545" t="str">
        <f>IF(ISBLANK('Q 5'!E95),"",IF('Q 5'!E95="&lt;please select&gt;","",'Q 5'!E95))</f>
        <v>2C7 - Process - Other Metal Industry</v>
      </c>
    </row>
    <row r="546" spans="1:11" x14ac:dyDescent="0.3">
      <c r="A546" t="s">
        <v>1846</v>
      </c>
      <c r="B546" t="s">
        <v>1849</v>
      </c>
      <c r="C546">
        <v>28</v>
      </c>
      <c r="D546" t="s">
        <v>1447</v>
      </c>
      <c r="E546" t="s">
        <v>1851</v>
      </c>
      <c r="F546" t="s">
        <v>1737</v>
      </c>
      <c r="K546" t="str">
        <f>IF(ISBLANK('Q 5'!E96),"",IF('Q 5'!E96="&lt;please select&gt;","",'Q 5'!E96))</f>
        <v>2G - Process - Other Product Manufacture and Use</v>
      </c>
    </row>
    <row r="547" spans="1:11" x14ac:dyDescent="0.3">
      <c r="A547" t="s">
        <v>1846</v>
      </c>
      <c r="B547" t="s">
        <v>1849</v>
      </c>
      <c r="C547">
        <v>29</v>
      </c>
      <c r="D547" t="s">
        <v>1447</v>
      </c>
      <c r="E547" t="s">
        <v>1851</v>
      </c>
      <c r="F547" t="s">
        <v>1737</v>
      </c>
      <c r="K547" t="str">
        <f>IF(ISBLANK('Q 5'!E97),"",IF('Q 5'!E97="&lt;please select&gt;","",'Q 5'!E97))</f>
        <v>2H - Process - Other Industrial Process and Product Use</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150065022.63</v>
      </c>
    </row>
    <row r="650" spans="1:11" x14ac:dyDescent="0.3">
      <c r="A650" t="s">
        <v>1846</v>
      </c>
      <c r="B650" t="s">
        <v>1849</v>
      </c>
      <c r="C650">
        <v>2</v>
      </c>
      <c r="D650" t="s">
        <v>1447</v>
      </c>
      <c r="E650" t="s">
        <v>1852</v>
      </c>
      <c r="F650" t="s">
        <v>1806</v>
      </c>
      <c r="I650" t="str">
        <f>IF(ISBLANK('Q 5'!G70),"",IF('Q 5'!G70="&lt;please select&gt;","",'Q 5'!G70))</f>
        <v>2732390.15</v>
      </c>
    </row>
    <row r="651" spans="1:11" x14ac:dyDescent="0.3">
      <c r="A651" t="s">
        <v>1846</v>
      </c>
      <c r="B651" t="s">
        <v>1849</v>
      </c>
      <c r="C651">
        <v>3</v>
      </c>
      <c r="D651" t="s">
        <v>1447</v>
      </c>
      <c r="E651" t="s">
        <v>1852</v>
      </c>
      <c r="F651" t="s">
        <v>1806</v>
      </c>
      <c r="I651" t="str">
        <f>IF(ISBLANK('Q 5'!G71),"",IF('Q 5'!G71="&lt;please select&gt;","",'Q 5'!G71))</f>
        <v>1682957</v>
      </c>
    </row>
    <row r="652" spans="1:11" x14ac:dyDescent="0.3">
      <c r="A652" t="s">
        <v>1846</v>
      </c>
      <c r="B652" t="s">
        <v>1849</v>
      </c>
      <c r="C652">
        <v>4</v>
      </c>
      <c r="D652" t="s">
        <v>1447</v>
      </c>
      <c r="E652" t="s">
        <v>1852</v>
      </c>
      <c r="F652" t="s">
        <v>1806</v>
      </c>
      <c r="I652" t="str">
        <f>IF(ISBLANK('Q 5'!G72),"",IF('Q 5'!G72="&lt;please select&gt;","",'Q 5'!G72))</f>
        <v>1487504.94</v>
      </c>
    </row>
    <row r="653" spans="1:11" x14ac:dyDescent="0.3">
      <c r="A653" t="s">
        <v>1846</v>
      </c>
      <c r="B653" t="s">
        <v>1849</v>
      </c>
      <c r="C653">
        <v>5</v>
      </c>
      <c r="D653" t="s">
        <v>1447</v>
      </c>
      <c r="E653" t="s">
        <v>1852</v>
      </c>
      <c r="F653" t="s">
        <v>1806</v>
      </c>
      <c r="I653" t="str">
        <f>IF(ISBLANK('Q 5'!G73),"",IF('Q 5'!G73="&lt;please select&gt;","",'Q 5'!G73))</f>
        <v>523412.3</v>
      </c>
    </row>
    <row r="654" spans="1:11" x14ac:dyDescent="0.3">
      <c r="A654" t="s">
        <v>1846</v>
      </c>
      <c r="B654" t="s">
        <v>1849</v>
      </c>
      <c r="C654">
        <v>6</v>
      </c>
      <c r="D654" t="s">
        <v>1447</v>
      </c>
      <c r="E654" t="s">
        <v>1852</v>
      </c>
      <c r="F654" t="s">
        <v>1806</v>
      </c>
      <c r="I654" t="str">
        <f>IF(ISBLANK('Q 5'!G74),"",IF('Q 5'!G74="&lt;please select&gt;","",'Q 5'!G74))</f>
        <v>3866856.38</v>
      </c>
    </row>
    <row r="655" spans="1:11" x14ac:dyDescent="0.3">
      <c r="A655" t="s">
        <v>1846</v>
      </c>
      <c r="B655" t="s">
        <v>1849</v>
      </c>
      <c r="C655">
        <v>7</v>
      </c>
      <c r="D655" t="s">
        <v>1447</v>
      </c>
      <c r="E655" t="s">
        <v>1852</v>
      </c>
      <c r="F655" t="s">
        <v>1806</v>
      </c>
      <c r="I655" t="str">
        <f>IF(ISBLANK('Q 5'!G75),"",IF('Q 5'!G75="&lt;please select&gt;","",'Q 5'!G75))</f>
        <v>1619737.01</v>
      </c>
    </row>
    <row r="656" spans="1:11" x14ac:dyDescent="0.3">
      <c r="A656" t="s">
        <v>1846</v>
      </c>
      <c r="B656" t="s">
        <v>1849</v>
      </c>
      <c r="C656">
        <v>8</v>
      </c>
      <c r="D656" t="s">
        <v>1447</v>
      </c>
      <c r="E656" t="s">
        <v>1852</v>
      </c>
      <c r="F656" t="s">
        <v>1806</v>
      </c>
      <c r="I656" t="str">
        <f>IF(ISBLANK('Q 5'!G76),"",IF('Q 5'!G76="&lt;please select&gt;","",'Q 5'!G76))</f>
        <v>1750385.23</v>
      </c>
    </row>
    <row r="657" spans="1:9" x14ac:dyDescent="0.3">
      <c r="A657" t="s">
        <v>1846</v>
      </c>
      <c r="B657" t="s">
        <v>1849</v>
      </c>
      <c r="C657">
        <v>9</v>
      </c>
      <c r="D657" t="s">
        <v>1447</v>
      </c>
      <c r="E657" t="s">
        <v>1852</v>
      </c>
      <c r="F657" t="s">
        <v>1806</v>
      </c>
      <c r="I657" t="str">
        <f>IF(ISBLANK('Q 5'!G77),"",IF('Q 5'!G77="&lt;please select&gt;","",'Q 5'!G77))</f>
        <v>4851325.61</v>
      </c>
    </row>
    <row r="658" spans="1:9" x14ac:dyDescent="0.3">
      <c r="A658" t="s">
        <v>1846</v>
      </c>
      <c r="B658" t="s">
        <v>1849</v>
      </c>
      <c r="C658">
        <v>10</v>
      </c>
      <c r="D658" t="s">
        <v>1447</v>
      </c>
      <c r="E658" t="s">
        <v>1852</v>
      </c>
      <c r="F658" t="s">
        <v>1806</v>
      </c>
      <c r="I658" t="str">
        <f>IF(ISBLANK('Q 5'!G78),"",IF('Q 5'!G78="&lt;please select&gt;","",'Q 5'!G78))</f>
        <v>1583261.28</v>
      </c>
    </row>
    <row r="659" spans="1:9" x14ac:dyDescent="0.3">
      <c r="A659" t="s">
        <v>1846</v>
      </c>
      <c r="B659" t="s">
        <v>1849</v>
      </c>
      <c r="C659">
        <v>11</v>
      </c>
      <c r="D659" t="s">
        <v>1447</v>
      </c>
      <c r="E659" t="s">
        <v>1852</v>
      </c>
      <c r="F659" t="s">
        <v>1806</v>
      </c>
      <c r="I659" t="str">
        <f>IF(ISBLANK('Q 5'!G79),"",IF('Q 5'!G79="&lt;please select&gt;","",'Q 5'!G79))</f>
        <v>510478</v>
      </c>
    </row>
    <row r="660" spans="1:9" x14ac:dyDescent="0.3">
      <c r="A660" t="s">
        <v>1846</v>
      </c>
      <c r="B660" t="s">
        <v>1849</v>
      </c>
      <c r="C660">
        <v>12</v>
      </c>
      <c r="D660" t="s">
        <v>1447</v>
      </c>
      <c r="E660" t="s">
        <v>1852</v>
      </c>
      <c r="F660" t="s">
        <v>1806</v>
      </c>
      <c r="I660" t="str">
        <f>IF(ISBLANK('Q 5'!G80),"",IF('Q 5'!G80="&lt;please select&gt;","",'Q 5'!G80))</f>
        <v>126332.8</v>
      </c>
    </row>
    <row r="661" spans="1:9" x14ac:dyDescent="0.3">
      <c r="A661" t="s">
        <v>1846</v>
      </c>
      <c r="B661" t="s">
        <v>1849</v>
      </c>
      <c r="C661">
        <v>13</v>
      </c>
      <c r="D661" t="s">
        <v>1447</v>
      </c>
      <c r="E661" t="s">
        <v>1852</v>
      </c>
      <c r="F661" t="s">
        <v>1806</v>
      </c>
      <c r="I661" t="str">
        <f>IF(ISBLANK('Q 5'!G81),"",IF('Q 5'!G81="&lt;please select&gt;","",'Q 5'!G81))</f>
        <v>18833.9</v>
      </c>
    </row>
    <row r="662" spans="1:9" x14ac:dyDescent="0.3">
      <c r="A662" t="s">
        <v>1846</v>
      </c>
      <c r="B662" t="s">
        <v>1849</v>
      </c>
      <c r="C662">
        <v>14</v>
      </c>
      <c r="D662" t="s">
        <v>1447</v>
      </c>
      <c r="E662" t="s">
        <v>1852</v>
      </c>
      <c r="F662" t="s">
        <v>1806</v>
      </c>
      <c r="I662" t="str">
        <f>IF(ISBLANK('Q 5'!G82),"",IF('Q 5'!G82="&lt;please select&gt;","",'Q 5'!G82))</f>
        <v>1284</v>
      </c>
    </row>
    <row r="663" spans="1:9" x14ac:dyDescent="0.3">
      <c r="A663" t="s">
        <v>1846</v>
      </c>
      <c r="B663" t="s">
        <v>1849</v>
      </c>
      <c r="C663">
        <v>15</v>
      </c>
      <c r="D663" t="s">
        <v>1447</v>
      </c>
      <c r="E663" t="s">
        <v>1852</v>
      </c>
      <c r="F663" t="s">
        <v>1806</v>
      </c>
      <c r="I663" t="str">
        <f>IF(ISBLANK('Q 5'!G83),"",IF('Q 5'!G83="&lt;please select&gt;","",'Q 5'!G83))</f>
        <v>115189</v>
      </c>
    </row>
    <row r="664" spans="1:9" x14ac:dyDescent="0.3">
      <c r="A664" t="s">
        <v>1846</v>
      </c>
      <c r="B664" t="s">
        <v>1849</v>
      </c>
      <c r="C664">
        <v>16</v>
      </c>
      <c r="D664" t="s">
        <v>1447</v>
      </c>
      <c r="E664" t="s">
        <v>1852</v>
      </c>
      <c r="F664" t="s">
        <v>1806</v>
      </c>
      <c r="I664" t="str">
        <f>IF(ISBLANK('Q 5'!G84),"",IF('Q 5'!G84="&lt;please select&gt;","",'Q 5'!G84))</f>
        <v>7364794.9</v>
      </c>
    </row>
    <row r="665" spans="1:9" x14ac:dyDescent="0.3">
      <c r="A665" t="s">
        <v>1846</v>
      </c>
      <c r="B665" t="s">
        <v>1849</v>
      </c>
      <c r="C665">
        <v>17</v>
      </c>
      <c r="D665" t="s">
        <v>1447</v>
      </c>
      <c r="E665" t="s">
        <v>1852</v>
      </c>
      <c r="F665" t="s">
        <v>1806</v>
      </c>
      <c r="I665" t="str">
        <f>IF(ISBLANK('Q 5'!G85),"",IF('Q 5'!G85="&lt;please select&gt;","",'Q 5'!G85))</f>
        <v>1420979.78</v>
      </c>
    </row>
    <row r="666" spans="1:9" x14ac:dyDescent="0.3">
      <c r="A666" t="s">
        <v>1846</v>
      </c>
      <c r="B666" t="s">
        <v>1849</v>
      </c>
      <c r="C666">
        <v>18</v>
      </c>
      <c r="D666" t="s">
        <v>1447</v>
      </c>
      <c r="E666" t="s">
        <v>1852</v>
      </c>
      <c r="F666" t="s">
        <v>1806</v>
      </c>
      <c r="I666" t="str">
        <f>IF(ISBLANK('Q 5'!G86),"",IF('Q 5'!G86="&lt;please select&gt;","",'Q 5'!G86))</f>
        <v>520159.57</v>
      </c>
    </row>
    <row r="667" spans="1:9" x14ac:dyDescent="0.3">
      <c r="A667" t="s">
        <v>1846</v>
      </c>
      <c r="B667" t="s">
        <v>1849</v>
      </c>
      <c r="C667">
        <v>19</v>
      </c>
      <c r="D667" t="s">
        <v>1447</v>
      </c>
      <c r="E667" t="s">
        <v>1852</v>
      </c>
      <c r="F667" t="s">
        <v>1806</v>
      </c>
      <c r="I667" t="str">
        <f>IF(ISBLANK('Q 5'!G87),"",IF('Q 5'!G87="&lt;please select&gt;","",'Q 5'!G87))</f>
        <v>1334272.54</v>
      </c>
    </row>
    <row r="668" spans="1:9" x14ac:dyDescent="0.3">
      <c r="A668" t="s">
        <v>1846</v>
      </c>
      <c r="B668" t="s">
        <v>1849</v>
      </c>
      <c r="C668">
        <v>20</v>
      </c>
      <c r="D668" t="s">
        <v>1447</v>
      </c>
      <c r="E668" t="s">
        <v>1852</v>
      </c>
      <c r="F668" t="s">
        <v>1806</v>
      </c>
      <c r="I668" t="str">
        <f>IF(ISBLANK('Q 5'!G88),"",IF('Q 5'!G88="&lt;please select&gt;","",'Q 5'!G88))</f>
        <v>116589.2</v>
      </c>
    </row>
    <row r="669" spans="1:9" x14ac:dyDescent="0.3">
      <c r="A669" t="s">
        <v>1846</v>
      </c>
      <c r="B669" t="s">
        <v>1849</v>
      </c>
      <c r="C669">
        <v>21</v>
      </c>
      <c r="D669" t="s">
        <v>1447</v>
      </c>
      <c r="E669" t="s">
        <v>1852</v>
      </c>
      <c r="F669" t="s">
        <v>1806</v>
      </c>
      <c r="I669" t="str">
        <f>IF(ISBLANK('Q 5'!G89),"",IF('Q 5'!G89="&lt;please select&gt;","",'Q 5'!G89))</f>
        <v>420000.62</v>
      </c>
    </row>
    <row r="670" spans="1:9" x14ac:dyDescent="0.3">
      <c r="A670" t="s">
        <v>1846</v>
      </c>
      <c r="B670" t="s">
        <v>1849</v>
      </c>
      <c r="C670">
        <v>22</v>
      </c>
      <c r="D670" t="s">
        <v>1447</v>
      </c>
      <c r="E670" t="s">
        <v>1852</v>
      </c>
      <c r="F670" t="s">
        <v>1806</v>
      </c>
      <c r="I670" t="str">
        <f>IF(ISBLANK('Q 5'!G90),"",IF('Q 5'!G90="&lt;please select&gt;","",'Q 5'!G90))</f>
        <v>100334.9</v>
      </c>
    </row>
    <row r="671" spans="1:9" x14ac:dyDescent="0.3">
      <c r="A671" t="s">
        <v>1846</v>
      </c>
      <c r="B671" t="s">
        <v>1849</v>
      </c>
      <c r="C671">
        <v>23</v>
      </c>
      <c r="D671" t="s">
        <v>1447</v>
      </c>
      <c r="E671" t="s">
        <v>1852</v>
      </c>
      <c r="F671" t="s">
        <v>1806</v>
      </c>
      <c r="I671" t="str">
        <f>IF(ISBLANK('Q 5'!G91),"",IF('Q 5'!G91="&lt;please select&gt;","",'Q 5'!G91))</f>
        <v>1239422.37</v>
      </c>
    </row>
    <row r="672" spans="1:9" x14ac:dyDescent="0.3">
      <c r="A672" t="s">
        <v>1846</v>
      </c>
      <c r="B672" t="s">
        <v>1849</v>
      </c>
      <c r="C672">
        <v>24</v>
      </c>
      <c r="D672" t="s">
        <v>1447</v>
      </c>
      <c r="E672" t="s">
        <v>1852</v>
      </c>
      <c r="F672" t="s">
        <v>1806</v>
      </c>
      <c r="I672" t="str">
        <f>IF(ISBLANK('Q 5'!G92),"",IF('Q 5'!G92="&lt;please select&gt;","",'Q 5'!G92))</f>
        <v>6804483.38</v>
      </c>
    </row>
    <row r="673" spans="1:9" x14ac:dyDescent="0.3">
      <c r="A673" t="s">
        <v>1846</v>
      </c>
      <c r="B673" t="s">
        <v>1849</v>
      </c>
      <c r="C673">
        <v>25</v>
      </c>
      <c r="D673" t="s">
        <v>1447</v>
      </c>
      <c r="E673" t="s">
        <v>1852</v>
      </c>
      <c r="F673" t="s">
        <v>1806</v>
      </c>
      <c r="I673" t="str">
        <f>IF(ISBLANK('Q 5'!G93),"",IF('Q 5'!G93="&lt;please select&gt;","",'Q 5'!G93))</f>
        <v>250140.1</v>
      </c>
    </row>
    <row r="674" spans="1:9" x14ac:dyDescent="0.3">
      <c r="A674" t="s">
        <v>1846</v>
      </c>
      <c r="B674" t="s">
        <v>1849</v>
      </c>
      <c r="C674">
        <v>26</v>
      </c>
      <c r="D674" t="s">
        <v>1447</v>
      </c>
      <c r="E674" t="s">
        <v>1852</v>
      </c>
      <c r="F674" t="s">
        <v>1806</v>
      </c>
      <c r="I674" t="str">
        <f>IF(ISBLANK('Q 5'!G94),"",IF('Q 5'!G94="&lt;please select&gt;","",'Q 5'!G94))</f>
        <v>342904.8</v>
      </c>
    </row>
    <row r="675" spans="1:9" x14ac:dyDescent="0.3">
      <c r="A675" t="s">
        <v>1846</v>
      </c>
      <c r="B675" t="s">
        <v>1849</v>
      </c>
      <c r="C675">
        <v>27</v>
      </c>
      <c r="D675" t="s">
        <v>1447</v>
      </c>
      <c r="E675" t="s">
        <v>1852</v>
      </c>
      <c r="F675" t="s">
        <v>1806</v>
      </c>
      <c r="I675" t="str">
        <f>IF(ISBLANK('Q 5'!G95),"",IF('Q 5'!G95="&lt;please select&gt;","",'Q 5'!G95))</f>
        <v>736200.7</v>
      </c>
    </row>
    <row r="676" spans="1:9" x14ac:dyDescent="0.3">
      <c r="A676" t="s">
        <v>1846</v>
      </c>
      <c r="B676" t="s">
        <v>1849</v>
      </c>
      <c r="C676">
        <v>28</v>
      </c>
      <c r="D676" t="s">
        <v>1447</v>
      </c>
      <c r="E676" t="s">
        <v>1852</v>
      </c>
      <c r="F676" t="s">
        <v>1806</v>
      </c>
      <c r="I676" t="str">
        <f>IF(ISBLANK('Q 5'!G96),"",IF('Q 5'!G96="&lt;please select&gt;","",'Q 5'!G96))</f>
        <v>325</v>
      </c>
    </row>
    <row r="677" spans="1:9" x14ac:dyDescent="0.3">
      <c r="A677" t="s">
        <v>1846</v>
      </c>
      <c r="B677" t="s">
        <v>1849</v>
      </c>
      <c r="C677">
        <v>29</v>
      </c>
      <c r="D677" t="s">
        <v>1447</v>
      </c>
      <c r="E677" t="s">
        <v>1852</v>
      </c>
      <c r="F677" t="s">
        <v>1806</v>
      </c>
      <c r="I677" t="str">
        <f>IF(ISBLANK('Q 5'!G97),"",IF('Q 5'!G97="&lt;please select&gt;","",'Q 5'!G97))</f>
        <v>15075.9</v>
      </c>
    </row>
    <row r="678" spans="1:9" x14ac:dyDescent="0.3">
      <c r="A678" t="s">
        <v>1846</v>
      </c>
      <c r="B678" t="s">
        <v>1849</v>
      </c>
      <c r="C678">
        <v>30</v>
      </c>
      <c r="D678" t="s">
        <v>1447</v>
      </c>
      <c r="E678" t="s">
        <v>1852</v>
      </c>
      <c r="F678" t="s">
        <v>1806</v>
      </c>
      <c r="I678" t="str">
        <f>IF(ISBLANK('Q 5'!G98),"",IF('Q 5'!G98="&lt;please select&gt;","",'Q 5'!G98))</f>
        <v>3105533.27</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150065022.63</v>
      </c>
    </row>
    <row r="780" spans="1:9" x14ac:dyDescent="0.3">
      <c r="A780" t="s">
        <v>1846</v>
      </c>
      <c r="B780" t="s">
        <v>1849</v>
      </c>
      <c r="C780">
        <v>2</v>
      </c>
      <c r="D780" t="s">
        <v>1447</v>
      </c>
      <c r="E780" t="s">
        <v>1853</v>
      </c>
      <c r="F780" t="s">
        <v>1806</v>
      </c>
      <c r="I780" t="str">
        <f>IF(ISBLANK('Q 5'!H70),"",IF('Q 5'!H70="&lt;please select&gt;","",'Q 5'!H70))</f>
        <v>2732390.15</v>
      </c>
    </row>
    <row r="781" spans="1:9" x14ac:dyDescent="0.3">
      <c r="A781" t="s">
        <v>1846</v>
      </c>
      <c r="B781" t="s">
        <v>1849</v>
      </c>
      <c r="C781">
        <v>3</v>
      </c>
      <c r="D781" t="s">
        <v>1447</v>
      </c>
      <c r="E781" t="s">
        <v>1853</v>
      </c>
      <c r="F781" t="s">
        <v>1806</v>
      </c>
      <c r="I781" t="str">
        <f>IF(ISBLANK('Q 5'!H71),"",IF('Q 5'!H71="&lt;please select&gt;","",'Q 5'!H71))</f>
        <v>1682957</v>
      </c>
    </row>
    <row r="782" spans="1:9" x14ac:dyDescent="0.3">
      <c r="A782" t="s">
        <v>1846</v>
      </c>
      <c r="B782" t="s">
        <v>1849</v>
      </c>
      <c r="C782">
        <v>4</v>
      </c>
      <c r="D782" t="s">
        <v>1447</v>
      </c>
      <c r="E782" t="s">
        <v>1853</v>
      </c>
      <c r="F782" t="s">
        <v>1806</v>
      </c>
      <c r="I782" t="str">
        <f>IF(ISBLANK('Q 5'!H72),"",IF('Q 5'!H72="&lt;please select&gt;","",'Q 5'!H72))</f>
        <v>1487504.94</v>
      </c>
    </row>
    <row r="783" spans="1:9" x14ac:dyDescent="0.3">
      <c r="A783" t="s">
        <v>1846</v>
      </c>
      <c r="B783" t="s">
        <v>1849</v>
      </c>
      <c r="C783">
        <v>5</v>
      </c>
      <c r="D783" t="s">
        <v>1447</v>
      </c>
      <c r="E783" t="s">
        <v>1853</v>
      </c>
      <c r="F783" t="s">
        <v>1806</v>
      </c>
      <c r="I783" t="str">
        <f>IF(ISBLANK('Q 5'!H73),"",IF('Q 5'!H73="&lt;please select&gt;","",'Q 5'!H73))</f>
        <v>523412.3</v>
      </c>
    </row>
    <row r="784" spans="1:9" x14ac:dyDescent="0.3">
      <c r="A784" t="s">
        <v>1846</v>
      </c>
      <c r="B784" t="s">
        <v>1849</v>
      </c>
      <c r="C784">
        <v>6</v>
      </c>
      <c r="D784" t="s">
        <v>1447</v>
      </c>
      <c r="E784" t="s">
        <v>1853</v>
      </c>
      <c r="F784" t="s">
        <v>1806</v>
      </c>
      <c r="I784" t="str">
        <f>IF(ISBLANK('Q 5'!H74),"",IF('Q 5'!H74="&lt;please select&gt;","",'Q 5'!H74))</f>
        <v>3866856.38</v>
      </c>
    </row>
    <row r="785" spans="1:9" x14ac:dyDescent="0.3">
      <c r="A785" t="s">
        <v>1846</v>
      </c>
      <c r="B785" t="s">
        <v>1849</v>
      </c>
      <c r="C785">
        <v>7</v>
      </c>
      <c r="D785" t="s">
        <v>1447</v>
      </c>
      <c r="E785" t="s">
        <v>1853</v>
      </c>
      <c r="F785" t="s">
        <v>1806</v>
      </c>
      <c r="I785" t="str">
        <f>IF(ISBLANK('Q 5'!H75),"",IF('Q 5'!H75="&lt;please select&gt;","",'Q 5'!H75))</f>
        <v>1619737.01</v>
      </c>
    </row>
    <row r="786" spans="1:9" x14ac:dyDescent="0.3">
      <c r="A786" t="s">
        <v>1846</v>
      </c>
      <c r="B786" t="s">
        <v>1849</v>
      </c>
      <c r="C786">
        <v>8</v>
      </c>
      <c r="D786" t="s">
        <v>1447</v>
      </c>
      <c r="E786" t="s">
        <v>1853</v>
      </c>
      <c r="F786" t="s">
        <v>1806</v>
      </c>
      <c r="I786" t="str">
        <f>IF(ISBLANK('Q 5'!H76),"",IF('Q 5'!H76="&lt;please select&gt;","",'Q 5'!H76))</f>
        <v>1750385.23</v>
      </c>
    </row>
    <row r="787" spans="1:9" x14ac:dyDescent="0.3">
      <c r="A787" t="s">
        <v>1846</v>
      </c>
      <c r="B787" t="s">
        <v>1849</v>
      </c>
      <c r="C787">
        <v>9</v>
      </c>
      <c r="D787" t="s">
        <v>1447</v>
      </c>
      <c r="E787" t="s">
        <v>1853</v>
      </c>
      <c r="F787" t="s">
        <v>1806</v>
      </c>
      <c r="I787" t="str">
        <f>IF(ISBLANK('Q 5'!H77),"",IF('Q 5'!H77="&lt;please select&gt;","",'Q 5'!H77))</f>
        <v>4851325.61</v>
      </c>
    </row>
    <row r="788" spans="1:9" x14ac:dyDescent="0.3">
      <c r="A788" t="s">
        <v>1846</v>
      </c>
      <c r="B788" t="s">
        <v>1849</v>
      </c>
      <c r="C788">
        <v>10</v>
      </c>
      <c r="D788" t="s">
        <v>1447</v>
      </c>
      <c r="E788" t="s">
        <v>1853</v>
      </c>
      <c r="F788" t="s">
        <v>1806</v>
      </c>
      <c r="I788" t="str">
        <f>IF(ISBLANK('Q 5'!H78),"",IF('Q 5'!H78="&lt;please select&gt;","",'Q 5'!H78))</f>
        <v>1583261.28</v>
      </c>
    </row>
    <row r="789" spans="1:9" x14ac:dyDescent="0.3">
      <c r="A789" t="s">
        <v>1846</v>
      </c>
      <c r="B789" t="s">
        <v>1849</v>
      </c>
      <c r="C789">
        <v>11</v>
      </c>
      <c r="D789" t="s">
        <v>1447</v>
      </c>
      <c r="E789" t="s">
        <v>1853</v>
      </c>
      <c r="F789" t="s">
        <v>1806</v>
      </c>
      <c r="I789" t="str">
        <f>IF(ISBLANK('Q 5'!H79),"",IF('Q 5'!H79="&lt;please select&gt;","",'Q 5'!H79))</f>
        <v>510478</v>
      </c>
    </row>
    <row r="790" spans="1:9" x14ac:dyDescent="0.3">
      <c r="A790" t="s">
        <v>1846</v>
      </c>
      <c r="B790" t="s">
        <v>1849</v>
      </c>
      <c r="C790">
        <v>12</v>
      </c>
      <c r="D790" t="s">
        <v>1447</v>
      </c>
      <c r="E790" t="s">
        <v>1853</v>
      </c>
      <c r="F790" t="s">
        <v>1806</v>
      </c>
      <c r="I790" t="str">
        <f>IF(ISBLANK('Q 5'!H80),"",IF('Q 5'!H80="&lt;please select&gt;","",'Q 5'!H80))</f>
        <v>126332.8</v>
      </c>
    </row>
    <row r="791" spans="1:9" x14ac:dyDescent="0.3">
      <c r="A791" t="s">
        <v>1846</v>
      </c>
      <c r="B791" t="s">
        <v>1849</v>
      </c>
      <c r="C791">
        <v>13</v>
      </c>
      <c r="D791" t="s">
        <v>1447</v>
      </c>
      <c r="E791" t="s">
        <v>1853</v>
      </c>
      <c r="F791" t="s">
        <v>1806</v>
      </c>
      <c r="I791" t="str">
        <f>IF(ISBLANK('Q 5'!H81),"",IF('Q 5'!H81="&lt;please select&gt;","",'Q 5'!H81))</f>
        <v>18833.9</v>
      </c>
    </row>
    <row r="792" spans="1:9" x14ac:dyDescent="0.3">
      <c r="A792" t="s">
        <v>1846</v>
      </c>
      <c r="B792" t="s">
        <v>1849</v>
      </c>
      <c r="C792">
        <v>14</v>
      </c>
      <c r="D792" t="s">
        <v>1447</v>
      </c>
      <c r="E792" t="s">
        <v>1853</v>
      </c>
      <c r="F792" t="s">
        <v>1806</v>
      </c>
      <c r="I792" t="str">
        <f>IF(ISBLANK('Q 5'!H82),"",IF('Q 5'!H82="&lt;please select&gt;","",'Q 5'!H82))</f>
        <v>1284</v>
      </c>
    </row>
    <row r="793" spans="1:9" x14ac:dyDescent="0.3">
      <c r="A793" t="s">
        <v>1846</v>
      </c>
      <c r="B793" t="s">
        <v>1849</v>
      </c>
      <c r="C793">
        <v>15</v>
      </c>
      <c r="D793" t="s">
        <v>1447</v>
      </c>
      <c r="E793" t="s">
        <v>1853</v>
      </c>
      <c r="F793" t="s">
        <v>1806</v>
      </c>
      <c r="I793" t="str">
        <f>IF(ISBLANK('Q 5'!H83),"",IF('Q 5'!H83="&lt;please select&gt;","",'Q 5'!H83))</f>
        <v>115189</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2100040</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
      </c>
    </row>
    <row r="914" spans="1:9" x14ac:dyDescent="0.3">
      <c r="A914" t="s">
        <v>1846</v>
      </c>
      <c r="B914" t="s">
        <v>1849</v>
      </c>
      <c r="C914">
        <v>6</v>
      </c>
      <c r="D914" t="s">
        <v>1447</v>
      </c>
      <c r="E914" t="s">
        <v>1854</v>
      </c>
      <c r="F914" t="s">
        <v>1806</v>
      </c>
      <c r="I914" t="str">
        <f>IF(ISBLANK('Q 5'!I74),"",IF('Q 5'!I74="&lt;please select&gt;","",'Q 5'!I74))</f>
        <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
      </c>
    </row>
    <row r="918" spans="1:9" x14ac:dyDescent="0.3">
      <c r="A918" t="s">
        <v>1846</v>
      </c>
      <c r="B918" t="s">
        <v>1849</v>
      </c>
      <c r="C918">
        <v>10</v>
      </c>
      <c r="D918" t="s">
        <v>1447</v>
      </c>
      <c r="E918" t="s">
        <v>1854</v>
      </c>
      <c r="F918" t="s">
        <v>1806</v>
      </c>
      <c r="I918" t="str">
        <f>IF(ISBLANK('Q 5'!I78),"",IF('Q 5'!I78="&lt;please select&gt;","",'Q 5'!I78))</f>
        <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7364794.9</v>
      </c>
    </row>
    <row r="925" spans="1:9" x14ac:dyDescent="0.3">
      <c r="A925" t="s">
        <v>1846</v>
      </c>
      <c r="B925" t="s">
        <v>1849</v>
      </c>
      <c r="C925">
        <v>17</v>
      </c>
      <c r="D925" t="s">
        <v>1447</v>
      </c>
      <c r="E925" t="s">
        <v>1854</v>
      </c>
      <c r="F925" t="s">
        <v>1806</v>
      </c>
      <c r="I925" t="str">
        <f>IF(ISBLANK('Q 5'!I85),"",IF('Q 5'!I85="&lt;please select&gt;","",'Q 5'!I85))</f>
        <v>1420979.78</v>
      </c>
    </row>
    <row r="926" spans="1:9" x14ac:dyDescent="0.3">
      <c r="A926" t="s">
        <v>1846</v>
      </c>
      <c r="B926" t="s">
        <v>1849</v>
      </c>
      <c r="C926">
        <v>18</v>
      </c>
      <c r="D926" t="s">
        <v>1447</v>
      </c>
      <c r="E926" t="s">
        <v>1854</v>
      </c>
      <c r="F926" t="s">
        <v>1806</v>
      </c>
      <c r="I926" t="str">
        <f>IF(ISBLANK('Q 5'!I86),"",IF('Q 5'!I86="&lt;please select&gt;","",'Q 5'!I86))</f>
        <v>520159.57</v>
      </c>
    </row>
    <row r="927" spans="1:9" x14ac:dyDescent="0.3">
      <c r="A927" t="s">
        <v>1846</v>
      </c>
      <c r="B927" t="s">
        <v>1849</v>
      </c>
      <c r="C927">
        <v>19</v>
      </c>
      <c r="D927" t="s">
        <v>1447</v>
      </c>
      <c r="E927" t="s">
        <v>1854</v>
      </c>
      <c r="F927" t="s">
        <v>1806</v>
      </c>
      <c r="I927" t="str">
        <f>IF(ISBLANK('Q 5'!I87),"",IF('Q 5'!I87="&lt;please select&gt;","",'Q 5'!I87))</f>
        <v>1334272.54</v>
      </c>
    </row>
    <row r="928" spans="1:9" x14ac:dyDescent="0.3">
      <c r="A928" t="s">
        <v>1846</v>
      </c>
      <c r="B928" t="s">
        <v>1849</v>
      </c>
      <c r="C928">
        <v>20</v>
      </c>
      <c r="D928" t="s">
        <v>1447</v>
      </c>
      <c r="E928" t="s">
        <v>1854</v>
      </c>
      <c r="F928" t="s">
        <v>1806</v>
      </c>
      <c r="I928" t="str">
        <f>IF(ISBLANK('Q 5'!I88),"",IF('Q 5'!I88="&lt;please select&gt;","",'Q 5'!I88))</f>
        <v>116589.2</v>
      </c>
    </row>
    <row r="929" spans="1:9" x14ac:dyDescent="0.3">
      <c r="A929" t="s">
        <v>1846</v>
      </c>
      <c r="B929" t="s">
        <v>1849</v>
      </c>
      <c r="C929">
        <v>21</v>
      </c>
      <c r="D929" t="s">
        <v>1447</v>
      </c>
      <c r="E929" t="s">
        <v>1854</v>
      </c>
      <c r="F929" t="s">
        <v>1806</v>
      </c>
      <c r="I929" t="str">
        <f>IF(ISBLANK('Q 5'!I89),"",IF('Q 5'!I89="&lt;please select&gt;","",'Q 5'!I89))</f>
        <v>420000.62</v>
      </c>
    </row>
    <row r="930" spans="1:9" x14ac:dyDescent="0.3">
      <c r="A930" t="s">
        <v>1846</v>
      </c>
      <c r="B930" t="s">
        <v>1849</v>
      </c>
      <c r="C930">
        <v>22</v>
      </c>
      <c r="D930" t="s">
        <v>1447</v>
      </c>
      <c r="E930" t="s">
        <v>1854</v>
      </c>
      <c r="F930" t="s">
        <v>1806</v>
      </c>
      <c r="I930" t="str">
        <f>IF(ISBLANK('Q 5'!I90),"",IF('Q 5'!I90="&lt;please select&gt;","",'Q 5'!I90))</f>
        <v>100334.9</v>
      </c>
    </row>
    <row r="931" spans="1:9" x14ac:dyDescent="0.3">
      <c r="A931" t="s">
        <v>1846</v>
      </c>
      <c r="B931" t="s">
        <v>1849</v>
      </c>
      <c r="C931">
        <v>23</v>
      </c>
      <c r="D931" t="s">
        <v>1447</v>
      </c>
      <c r="E931" t="s">
        <v>1854</v>
      </c>
      <c r="F931" t="s">
        <v>1806</v>
      </c>
      <c r="I931" t="str">
        <f>IF(ISBLANK('Q 5'!I91),"",IF('Q 5'!I91="&lt;please select&gt;","",'Q 5'!I91))</f>
        <v>1239422.37</v>
      </c>
    </row>
    <row r="932" spans="1:9" x14ac:dyDescent="0.3">
      <c r="A932" t="s">
        <v>1846</v>
      </c>
      <c r="B932" t="s">
        <v>1849</v>
      </c>
      <c r="C932">
        <v>24</v>
      </c>
      <c r="D932" t="s">
        <v>1447</v>
      </c>
      <c r="E932" t="s">
        <v>1854</v>
      </c>
      <c r="F932" t="s">
        <v>1806</v>
      </c>
      <c r="I932" t="str">
        <f>IF(ISBLANK('Q 5'!I92),"",IF('Q 5'!I92="&lt;please select&gt;","",'Q 5'!I92))</f>
        <v>6804483.38</v>
      </c>
    </row>
    <row r="933" spans="1:9" x14ac:dyDescent="0.3">
      <c r="A933" t="s">
        <v>1846</v>
      </c>
      <c r="B933" t="s">
        <v>1849</v>
      </c>
      <c r="C933">
        <v>25</v>
      </c>
      <c r="D933" t="s">
        <v>1447</v>
      </c>
      <c r="E933" t="s">
        <v>1854</v>
      </c>
      <c r="F933" t="s">
        <v>1806</v>
      </c>
      <c r="I933" t="str">
        <f>IF(ISBLANK('Q 5'!I93),"",IF('Q 5'!I93="&lt;please select&gt;","",'Q 5'!I93))</f>
        <v>250140.1</v>
      </c>
    </row>
    <row r="934" spans="1:9" x14ac:dyDescent="0.3">
      <c r="A934" t="s">
        <v>1846</v>
      </c>
      <c r="B934" t="s">
        <v>1849</v>
      </c>
      <c r="C934">
        <v>26</v>
      </c>
      <c r="D934" t="s">
        <v>1447</v>
      </c>
      <c r="E934" t="s">
        <v>1854</v>
      </c>
      <c r="F934" t="s">
        <v>1806</v>
      </c>
      <c r="I934" t="str">
        <f>IF(ISBLANK('Q 5'!I94),"",IF('Q 5'!I94="&lt;please select&gt;","",'Q 5'!I94))</f>
        <v>342904.8</v>
      </c>
    </row>
    <row r="935" spans="1:9" x14ac:dyDescent="0.3">
      <c r="A935" t="s">
        <v>1846</v>
      </c>
      <c r="B935" t="s">
        <v>1849</v>
      </c>
      <c r="C935">
        <v>27</v>
      </c>
      <c r="D935" t="s">
        <v>1447</v>
      </c>
      <c r="E935" t="s">
        <v>1854</v>
      </c>
      <c r="F935" t="s">
        <v>1806</v>
      </c>
      <c r="I935" t="str">
        <f>IF(ISBLANK('Q 5'!I95),"",IF('Q 5'!I95="&lt;please select&gt;","",'Q 5'!I95))</f>
        <v>736200.7</v>
      </c>
    </row>
    <row r="936" spans="1:9" x14ac:dyDescent="0.3">
      <c r="A936" t="s">
        <v>1846</v>
      </c>
      <c r="B936" t="s">
        <v>1849</v>
      </c>
      <c r="C936">
        <v>28</v>
      </c>
      <c r="D936" t="s">
        <v>1447</v>
      </c>
      <c r="E936" t="s">
        <v>1854</v>
      </c>
      <c r="F936" t="s">
        <v>1806</v>
      </c>
      <c r="I936" t="str">
        <f>IF(ISBLANK('Q 5'!I96),"",IF('Q 5'!I96="&lt;please select&gt;","",'Q 5'!I96))</f>
        <v>325</v>
      </c>
    </row>
    <row r="937" spans="1:9" x14ac:dyDescent="0.3">
      <c r="A937" t="s">
        <v>1846</v>
      </c>
      <c r="B937" t="s">
        <v>1849</v>
      </c>
      <c r="C937">
        <v>29</v>
      </c>
      <c r="D937" t="s">
        <v>1447</v>
      </c>
      <c r="E937" t="s">
        <v>1854</v>
      </c>
      <c r="F937" t="s">
        <v>1806</v>
      </c>
      <c r="I937" t="str">
        <f>IF(ISBLANK('Q 5'!I97),"",IF('Q 5'!I97="&lt;please select&gt;","",'Q 5'!I97))</f>
        <v>15075.9</v>
      </c>
    </row>
    <row r="938" spans="1:9" x14ac:dyDescent="0.3">
      <c r="A938" t="s">
        <v>1846</v>
      </c>
      <c r="B938" t="s">
        <v>1849</v>
      </c>
      <c r="C938">
        <v>30</v>
      </c>
      <c r="D938" t="s">
        <v>1447</v>
      </c>
      <c r="E938" t="s">
        <v>1854</v>
      </c>
      <c r="F938" t="s">
        <v>1806</v>
      </c>
      <c r="I938" t="str">
        <f>IF(ISBLANK('Q 5'!I98),"",IF('Q 5'!I98="&lt;please select&gt;","",'Q 5'!I98))</f>
        <v>1005493.27</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Installation with low emissions</v>
      </c>
    </row>
    <row r="1040" spans="1:11" x14ac:dyDescent="0.3">
      <c r="A1040" t="s">
        <v>1847</v>
      </c>
      <c r="B1040" t="s">
        <v>1855</v>
      </c>
      <c r="C1040">
        <v>2</v>
      </c>
      <c r="D1040" t="s">
        <v>1447</v>
      </c>
      <c r="E1040" t="s">
        <v>1856</v>
      </c>
      <c r="F1040" t="s">
        <v>1737</v>
      </c>
      <c r="K1040" t="str">
        <f>IF(ISBLANK('Q 5'!C204),"",IF('Q 5'!C204="&lt;please select&gt;","",'Q 5'!C204))</f>
        <v>Installation with low emissions</v>
      </c>
    </row>
    <row r="1041" spans="1:11" x14ac:dyDescent="0.3">
      <c r="A1041" t="s">
        <v>1847</v>
      </c>
      <c r="B1041" t="s">
        <v>1855</v>
      </c>
      <c r="C1041">
        <v>3</v>
      </c>
      <c r="D1041" t="s">
        <v>1447</v>
      </c>
      <c r="E1041" t="s">
        <v>1856</v>
      </c>
      <c r="F1041" t="s">
        <v>1737</v>
      </c>
      <c r="K1041" t="str">
        <f>IF(ISBLANK('Q 5'!C205),"",IF('Q 5'!C205="&lt;please select&gt;","",'Q 5'!C205))</f>
        <v>Installation with low emissions</v>
      </c>
    </row>
    <row r="1042" spans="1:11" x14ac:dyDescent="0.3">
      <c r="A1042" t="s">
        <v>1847</v>
      </c>
      <c r="B1042" t="s">
        <v>1855</v>
      </c>
      <c r="C1042">
        <v>4</v>
      </c>
      <c r="D1042" t="s">
        <v>1447</v>
      </c>
      <c r="E1042" t="s">
        <v>1856</v>
      </c>
      <c r="F1042" t="s">
        <v>1737</v>
      </c>
      <c r="K1042" t="str">
        <f>IF(ISBLANK('Q 5'!C206),"",IF('Q 5'!C206="&lt;please select&gt;","",'Q 5'!C206))</f>
        <v>Installation with low emissions</v>
      </c>
    </row>
    <row r="1043" spans="1:11" x14ac:dyDescent="0.3">
      <c r="A1043" t="s">
        <v>1847</v>
      </c>
      <c r="B1043" t="s">
        <v>1855</v>
      </c>
      <c r="C1043">
        <v>5</v>
      </c>
      <c r="D1043" t="s">
        <v>1447</v>
      </c>
      <c r="E1043" t="s">
        <v>1856</v>
      </c>
      <c r="F1043" t="s">
        <v>1737</v>
      </c>
      <c r="K1043" t="str">
        <f>IF(ISBLANK('Q 5'!C207),"",IF('Q 5'!C207="&lt;please select&gt;","",'Q 5'!C207))</f>
        <v>Installation with low emissions</v>
      </c>
    </row>
    <row r="1044" spans="1:11" x14ac:dyDescent="0.3">
      <c r="A1044" t="s">
        <v>1847</v>
      </c>
      <c r="B1044" t="s">
        <v>1855</v>
      </c>
      <c r="C1044">
        <v>6</v>
      </c>
      <c r="D1044" t="s">
        <v>1447</v>
      </c>
      <c r="E1044" t="s">
        <v>1856</v>
      </c>
      <c r="F1044" t="s">
        <v>1737</v>
      </c>
      <c r="K1044" t="str">
        <f>IF(ISBLANK('Q 5'!C208),"",IF('Q 5'!C208="&lt;please select&gt;","",'Q 5'!C208))</f>
        <v>Installation with low emissions</v>
      </c>
    </row>
    <row r="1045" spans="1:11" x14ac:dyDescent="0.3">
      <c r="A1045" t="s">
        <v>1847</v>
      </c>
      <c r="B1045" t="s">
        <v>1855</v>
      </c>
      <c r="C1045">
        <v>7</v>
      </c>
      <c r="D1045" t="s">
        <v>1447</v>
      </c>
      <c r="E1045" t="s">
        <v>1856</v>
      </c>
      <c r="F1045" t="s">
        <v>1737</v>
      </c>
      <c r="K1045" t="str">
        <f>IF(ISBLANK('Q 5'!C209),"",IF('Q 5'!C209="&lt;please select&gt;","",'Q 5'!C209))</f>
        <v>Installation with low emissions</v>
      </c>
    </row>
    <row r="1046" spans="1:11" x14ac:dyDescent="0.3">
      <c r="A1046" t="s">
        <v>1847</v>
      </c>
      <c r="B1046" t="s">
        <v>1855</v>
      </c>
      <c r="C1046">
        <v>8</v>
      </c>
      <c r="D1046" t="s">
        <v>1447</v>
      </c>
      <c r="E1046" t="s">
        <v>1856</v>
      </c>
      <c r="F1046" t="s">
        <v>1737</v>
      </c>
      <c r="K1046" t="str">
        <f>IF(ISBLANK('Q 5'!C210),"",IF('Q 5'!C210="&lt;please select&gt;","",'Q 5'!C210))</f>
        <v>Installation with low emissions</v>
      </c>
    </row>
    <row r="1047" spans="1:11" x14ac:dyDescent="0.3">
      <c r="A1047" t="s">
        <v>1847</v>
      </c>
      <c r="B1047" t="s">
        <v>1855</v>
      </c>
      <c r="C1047">
        <v>9</v>
      </c>
      <c r="D1047" t="s">
        <v>1447</v>
      </c>
      <c r="E1047" t="s">
        <v>1856</v>
      </c>
      <c r="F1047" t="s">
        <v>1737</v>
      </c>
      <c r="K1047" t="str">
        <f>IF(ISBLANK('Q 5'!C211),"",IF('Q 5'!C211="&lt;please select&gt;","",'Q 5'!C211))</f>
        <v>Installation with low emissions</v>
      </c>
    </row>
    <row r="1048" spans="1:11" x14ac:dyDescent="0.3">
      <c r="A1048" t="s">
        <v>1847</v>
      </c>
      <c r="B1048" t="s">
        <v>1855</v>
      </c>
      <c r="C1048">
        <v>10</v>
      </c>
      <c r="D1048" t="s">
        <v>1447</v>
      </c>
      <c r="E1048" t="s">
        <v>1856</v>
      </c>
      <c r="F1048" t="s">
        <v>1737</v>
      </c>
      <c r="K1048" t="str">
        <f>IF(ISBLANK('Q 5'!C212),"",IF('Q 5'!C212="&lt;please select&gt;","",'Q 5'!C212))</f>
        <v>Installation with low emissions</v>
      </c>
    </row>
    <row r="1049" spans="1:11" x14ac:dyDescent="0.3">
      <c r="A1049" t="s">
        <v>1847</v>
      </c>
      <c r="B1049" t="s">
        <v>1855</v>
      </c>
      <c r="C1049">
        <v>11</v>
      </c>
      <c r="D1049" t="s">
        <v>1447</v>
      </c>
      <c r="E1049" t="s">
        <v>1856</v>
      </c>
      <c r="F1049" t="s">
        <v>1737</v>
      </c>
      <c r="K1049" t="str">
        <f>IF(ISBLANK('Q 5'!C213),"",IF('Q 5'!C213="&lt;please select&gt;","",'Q 5'!C213))</f>
        <v>Installation with low emissions</v>
      </c>
    </row>
    <row r="1050" spans="1:11" x14ac:dyDescent="0.3">
      <c r="A1050" t="s">
        <v>1847</v>
      </c>
      <c r="B1050" t="s">
        <v>1855</v>
      </c>
      <c r="C1050">
        <v>12</v>
      </c>
      <c r="D1050" t="s">
        <v>1447</v>
      </c>
      <c r="E1050" t="s">
        <v>1856</v>
      </c>
      <c r="F1050" t="s">
        <v>1737</v>
      </c>
      <c r="K1050" t="str">
        <f>IF(ISBLANK('Q 5'!C214),"",IF('Q 5'!C214="&lt;please select&gt;","",'Q 5'!C214))</f>
        <v>Installation with low emissions</v>
      </c>
    </row>
    <row r="1051" spans="1:11" x14ac:dyDescent="0.3">
      <c r="A1051" t="s">
        <v>1847</v>
      </c>
      <c r="B1051" t="s">
        <v>1855</v>
      </c>
      <c r="C1051">
        <v>13</v>
      </c>
      <c r="D1051" t="s">
        <v>1447</v>
      </c>
      <c r="E1051" t="s">
        <v>1856</v>
      </c>
      <c r="F1051" t="s">
        <v>1737</v>
      </c>
      <c r="K1051" t="str">
        <f>IF(ISBLANK('Q 5'!C215),"",IF('Q 5'!C215="&lt;please select&gt;","",'Q 5'!C215))</f>
        <v>Installation with low emissions</v>
      </c>
    </row>
    <row r="1052" spans="1:11" x14ac:dyDescent="0.3">
      <c r="A1052" t="s">
        <v>1847</v>
      </c>
      <c r="B1052" t="s">
        <v>1855</v>
      </c>
      <c r="C1052">
        <v>14</v>
      </c>
      <c r="D1052" t="s">
        <v>1447</v>
      </c>
      <c r="E1052" t="s">
        <v>1856</v>
      </c>
      <c r="F1052" t="s">
        <v>1737</v>
      </c>
      <c r="K1052" t="str">
        <f>IF(ISBLANK('Q 5'!C216),"",IF('Q 5'!C216="&lt;please select&gt;","",'Q 5'!C216))</f>
        <v>Installation with low emissions</v>
      </c>
    </row>
    <row r="1053" spans="1:11" x14ac:dyDescent="0.3">
      <c r="A1053" t="s">
        <v>1847</v>
      </c>
      <c r="B1053" t="s">
        <v>1855</v>
      </c>
      <c r="C1053">
        <v>15</v>
      </c>
      <c r="D1053" t="s">
        <v>1447</v>
      </c>
      <c r="E1053" t="s">
        <v>1856</v>
      </c>
      <c r="F1053" t="s">
        <v>1737</v>
      </c>
      <c r="K1053" t="str">
        <f>IF(ISBLANK('Q 5'!C217),"",IF('Q 5'!C217="&lt;please select&gt;","",'Q 5'!C217))</f>
        <v>Installation with low emissions</v>
      </c>
    </row>
    <row r="1054" spans="1:11" x14ac:dyDescent="0.3">
      <c r="A1054" t="s">
        <v>1847</v>
      </c>
      <c r="B1054" t="s">
        <v>1855</v>
      </c>
      <c r="C1054">
        <v>16</v>
      </c>
      <c r="D1054" t="s">
        <v>1447</v>
      </c>
      <c r="E1054" t="s">
        <v>1856</v>
      </c>
      <c r="F1054" t="s">
        <v>1737</v>
      </c>
      <c r="K1054" t="str">
        <f>IF(ISBLANK('Q 5'!C218),"",IF('Q 5'!C218="&lt;please select&gt;","",'Q 5'!C218))</f>
        <v>Installation with low emissions</v>
      </c>
    </row>
    <row r="1055" spans="1:11" x14ac:dyDescent="0.3">
      <c r="A1055" t="s">
        <v>1847</v>
      </c>
      <c r="B1055" t="s">
        <v>1855</v>
      </c>
      <c r="C1055">
        <v>17</v>
      </c>
      <c r="D1055" t="s">
        <v>1447</v>
      </c>
      <c r="E1055" t="s">
        <v>1856</v>
      </c>
      <c r="F1055" t="s">
        <v>1737</v>
      </c>
      <c r="K1055" t="str">
        <f>IF(ISBLANK('Q 5'!C219),"",IF('Q 5'!C219="&lt;please select&gt;","",'Q 5'!C219))</f>
        <v>Installation with low emissions</v>
      </c>
    </row>
    <row r="1056" spans="1:11" x14ac:dyDescent="0.3">
      <c r="A1056" t="s">
        <v>1847</v>
      </c>
      <c r="B1056" t="s">
        <v>1855</v>
      </c>
      <c r="C1056">
        <v>18</v>
      </c>
      <c r="D1056" t="s">
        <v>1447</v>
      </c>
      <c r="E1056" t="s">
        <v>1856</v>
      </c>
      <c r="F1056" t="s">
        <v>1737</v>
      </c>
      <c r="K1056" t="str">
        <f>IF(ISBLANK('Q 5'!C220),"",IF('Q 5'!C220="&lt;please select&gt;","",'Q 5'!C220))</f>
        <v>Installation with low emissions</v>
      </c>
    </row>
    <row r="1057" spans="1:11" x14ac:dyDescent="0.3">
      <c r="A1057" t="s">
        <v>1847</v>
      </c>
      <c r="B1057" t="s">
        <v>1855</v>
      </c>
      <c r="C1057">
        <v>19</v>
      </c>
      <c r="D1057" t="s">
        <v>1447</v>
      </c>
      <c r="E1057" t="s">
        <v>1856</v>
      </c>
      <c r="F1057" t="s">
        <v>1737</v>
      </c>
      <c r="K1057" t="str">
        <f>IF(ISBLANK('Q 5'!C221),"",IF('Q 5'!C221="&lt;please select&gt;","",'Q 5'!C221))</f>
        <v>Installation with low emissions</v>
      </c>
    </row>
    <row r="1058" spans="1:11" x14ac:dyDescent="0.3">
      <c r="A1058" t="s">
        <v>1847</v>
      </c>
      <c r="B1058" t="s">
        <v>1855</v>
      </c>
      <c r="C1058">
        <v>20</v>
      </c>
      <c r="D1058" t="s">
        <v>1447</v>
      </c>
      <c r="E1058" t="s">
        <v>1856</v>
      </c>
      <c r="F1058" t="s">
        <v>1737</v>
      </c>
      <c r="K1058" t="str">
        <f>IF(ISBLANK('Q 5'!C222),"",IF('Q 5'!C222="&lt;please select&gt;","",'Q 5'!C222))</f>
        <v>Installation with low emissions</v>
      </c>
    </row>
    <row r="1059" spans="1:11" x14ac:dyDescent="0.3">
      <c r="A1059" t="s">
        <v>1847</v>
      </c>
      <c r="B1059" t="s">
        <v>1855</v>
      </c>
      <c r="C1059">
        <v>21</v>
      </c>
      <c r="D1059" t="s">
        <v>1447</v>
      </c>
      <c r="E1059" t="s">
        <v>1856</v>
      </c>
      <c r="F1059" t="s">
        <v>1737</v>
      </c>
      <c r="K1059" t="str">
        <f>IF(ISBLANK('Q 5'!C223),"",IF('Q 5'!C223="&lt;please select&gt;","",'Q 5'!C223))</f>
        <v>Installation with low emissions</v>
      </c>
    </row>
    <row r="1060" spans="1:11" x14ac:dyDescent="0.3">
      <c r="A1060" t="s">
        <v>1847</v>
      </c>
      <c r="B1060" t="s">
        <v>1855</v>
      </c>
      <c r="C1060">
        <v>22</v>
      </c>
      <c r="D1060" t="s">
        <v>1447</v>
      </c>
      <c r="E1060" t="s">
        <v>1856</v>
      </c>
      <c r="F1060" t="s">
        <v>1737</v>
      </c>
      <c r="K1060" t="str">
        <f>IF(ISBLANK('Q 5'!C224),"",IF('Q 5'!C224="&lt;please select&gt;","",'Q 5'!C224))</f>
        <v>Installation with low emissions</v>
      </c>
    </row>
    <row r="1061" spans="1:11" x14ac:dyDescent="0.3">
      <c r="A1061" t="s">
        <v>1847</v>
      </c>
      <c r="B1061" t="s">
        <v>1855</v>
      </c>
      <c r="C1061">
        <v>23</v>
      </c>
      <c r="D1061" t="s">
        <v>1447</v>
      </c>
      <c r="E1061" t="s">
        <v>1856</v>
      </c>
      <c r="F1061" t="s">
        <v>1737</v>
      </c>
      <c r="K1061" t="str">
        <f>IF(ISBLANK('Q 5'!C225),"",IF('Q 5'!C225="&lt;please select&gt;","",'Q 5'!C225))</f>
        <v>Installation with low emissions</v>
      </c>
    </row>
    <row r="1062" spans="1:11" x14ac:dyDescent="0.3">
      <c r="A1062" t="s">
        <v>1847</v>
      </c>
      <c r="B1062" t="s">
        <v>1855</v>
      </c>
      <c r="C1062">
        <v>24</v>
      </c>
      <c r="D1062" t="s">
        <v>1447</v>
      </c>
      <c r="E1062" t="s">
        <v>1856</v>
      </c>
      <c r="F1062" t="s">
        <v>1737</v>
      </c>
      <c r="K1062" t="str">
        <f>IF(ISBLANK('Q 5'!C226),"",IF('Q 5'!C226="&lt;please select&gt;","",'Q 5'!C226))</f>
        <v>Installation with low emissions</v>
      </c>
    </row>
    <row r="1063" spans="1:11" x14ac:dyDescent="0.3">
      <c r="A1063" t="s">
        <v>1847</v>
      </c>
      <c r="B1063" t="s">
        <v>1855</v>
      </c>
      <c r="C1063">
        <v>25</v>
      </c>
      <c r="D1063" t="s">
        <v>1447</v>
      </c>
      <c r="E1063" t="s">
        <v>1856</v>
      </c>
      <c r="F1063" t="s">
        <v>1737</v>
      </c>
      <c r="K1063" t="str">
        <f>IF(ISBLANK('Q 5'!C227),"",IF('Q 5'!C227="&lt;please select&gt;","",'Q 5'!C227))</f>
        <v>Installation with low emissions</v>
      </c>
    </row>
    <row r="1064" spans="1:11" x14ac:dyDescent="0.3">
      <c r="A1064" t="s">
        <v>1847</v>
      </c>
      <c r="B1064" t="s">
        <v>1855</v>
      </c>
      <c r="C1064">
        <v>26</v>
      </c>
      <c r="D1064" t="s">
        <v>1447</v>
      </c>
      <c r="E1064" t="s">
        <v>1856</v>
      </c>
      <c r="F1064" t="s">
        <v>1737</v>
      </c>
      <c r="K1064" t="str">
        <f>IF(ISBLANK('Q 5'!C228),"",IF('Q 5'!C228="&lt;please select&gt;","",'Q 5'!C228))</f>
        <v>Installation with low emissions</v>
      </c>
    </row>
    <row r="1065" spans="1:11" x14ac:dyDescent="0.3">
      <c r="A1065" t="s">
        <v>1847</v>
      </c>
      <c r="B1065" t="s">
        <v>1855</v>
      </c>
      <c r="C1065">
        <v>27</v>
      </c>
      <c r="D1065" t="s">
        <v>1447</v>
      </c>
      <c r="E1065" t="s">
        <v>1856</v>
      </c>
      <c r="F1065" t="s">
        <v>1737</v>
      </c>
      <c r="K1065" t="str">
        <f>IF(ISBLANK('Q 5'!C229),"",IF('Q 5'!C229="&lt;please select&gt;","",'Q 5'!C229))</f>
        <v>Installation with low emissions</v>
      </c>
    </row>
    <row r="1066" spans="1:11" x14ac:dyDescent="0.3">
      <c r="A1066" t="s">
        <v>1847</v>
      </c>
      <c r="B1066" t="s">
        <v>1855</v>
      </c>
      <c r="C1066">
        <v>28</v>
      </c>
      <c r="D1066" t="s">
        <v>1447</v>
      </c>
      <c r="E1066" t="s">
        <v>1856</v>
      </c>
      <c r="F1066" t="s">
        <v>1737</v>
      </c>
      <c r="K1066" t="str">
        <f>IF(ISBLANK('Q 5'!C230),"",IF('Q 5'!C230="&lt;please select&gt;","",'Q 5'!C230))</f>
        <v>Installation with low emissions</v>
      </c>
    </row>
    <row r="1067" spans="1:11" x14ac:dyDescent="0.3">
      <c r="A1067" t="s">
        <v>1847</v>
      </c>
      <c r="B1067" t="s">
        <v>1855</v>
      </c>
      <c r="C1067">
        <v>29</v>
      </c>
      <c r="D1067" t="s">
        <v>1447</v>
      </c>
      <c r="E1067" t="s">
        <v>1856</v>
      </c>
      <c r="F1067" t="s">
        <v>1737</v>
      </c>
      <c r="K1067" t="str">
        <f>IF(ISBLANK('Q 5'!C231),"",IF('Q 5'!C231="&lt;please select&gt;","",'Q 5'!C231))</f>
        <v>Installation with low emissions</v>
      </c>
    </row>
    <row r="1068" spans="1:11" x14ac:dyDescent="0.3">
      <c r="A1068" t="s">
        <v>1847</v>
      </c>
      <c r="B1068" t="s">
        <v>1855</v>
      </c>
      <c r="C1068">
        <v>30</v>
      </c>
      <c r="D1068" t="s">
        <v>1447</v>
      </c>
      <c r="E1068" t="s">
        <v>1856</v>
      </c>
      <c r="F1068" t="s">
        <v>1737</v>
      </c>
      <c r="K1068" t="str">
        <f>IF(ISBLANK('Q 5'!C232),"",IF('Q 5'!C232="&lt;please select&gt;","",'Q 5'!C232))</f>
        <v>Installation with low emissions</v>
      </c>
    </row>
    <row r="1069" spans="1:11" x14ac:dyDescent="0.3">
      <c r="A1069" t="s">
        <v>1847</v>
      </c>
      <c r="B1069" t="s">
        <v>1855</v>
      </c>
      <c r="C1069">
        <v>31</v>
      </c>
      <c r="D1069" t="s">
        <v>1447</v>
      </c>
      <c r="E1069" t="s">
        <v>1856</v>
      </c>
      <c r="F1069" t="s">
        <v>1737</v>
      </c>
      <c r="K1069" t="str">
        <f>IF(ISBLANK('Q 5'!C233),"",IF('Q 5'!C233="&lt;please select&gt;","",'Q 5'!C233))</f>
        <v>Installation with low emissions</v>
      </c>
    </row>
    <row r="1070" spans="1:11" x14ac:dyDescent="0.3">
      <c r="A1070" t="s">
        <v>1847</v>
      </c>
      <c r="B1070" t="s">
        <v>1855</v>
      </c>
      <c r="C1070">
        <v>32</v>
      </c>
      <c r="D1070" t="s">
        <v>1447</v>
      </c>
      <c r="E1070" t="s">
        <v>1856</v>
      </c>
      <c r="F1070" t="s">
        <v>1737</v>
      </c>
      <c r="K1070" t="str">
        <f>IF(ISBLANK('Q 5'!C234),"",IF('Q 5'!C234="&lt;please select&gt;","",'Q 5'!C234))</f>
        <v>Installation with low emissions</v>
      </c>
    </row>
    <row r="1071" spans="1:11" x14ac:dyDescent="0.3">
      <c r="A1071" t="s">
        <v>1847</v>
      </c>
      <c r="B1071" t="s">
        <v>1855</v>
      </c>
      <c r="C1071">
        <v>33</v>
      </c>
      <c r="D1071" t="s">
        <v>1447</v>
      </c>
      <c r="E1071" t="s">
        <v>1856</v>
      </c>
      <c r="F1071" t="s">
        <v>1737</v>
      </c>
      <c r="K1071" t="str">
        <f>IF(ISBLANK('Q 5'!C235),"",IF('Q 5'!C235="&lt;please select&gt;","",'Q 5'!C235))</f>
        <v>Installation with low emissions</v>
      </c>
    </row>
    <row r="1072" spans="1:11" x14ac:dyDescent="0.3">
      <c r="A1072" t="s">
        <v>1847</v>
      </c>
      <c r="B1072" t="s">
        <v>1855</v>
      </c>
      <c r="C1072">
        <v>34</v>
      </c>
      <c r="D1072" t="s">
        <v>1447</v>
      </c>
      <c r="E1072" t="s">
        <v>1856</v>
      </c>
      <c r="F1072" t="s">
        <v>1737</v>
      </c>
      <c r="K1072" t="str">
        <f>IF(ISBLANK('Q 5'!C236),"",IF('Q 5'!C236="&lt;please select&gt;","",'Q 5'!C236))</f>
        <v>Installation with low emissions</v>
      </c>
    </row>
    <row r="1073" spans="1:11" x14ac:dyDescent="0.3">
      <c r="A1073" t="s">
        <v>1847</v>
      </c>
      <c r="B1073" t="s">
        <v>1855</v>
      </c>
      <c r="C1073">
        <v>35</v>
      </c>
      <c r="D1073" t="s">
        <v>1447</v>
      </c>
      <c r="E1073" t="s">
        <v>1856</v>
      </c>
      <c r="F1073" t="s">
        <v>1737</v>
      </c>
      <c r="K1073" t="str">
        <f>IF(ISBLANK('Q 5'!C237),"",IF('Q 5'!C237="&lt;please select&gt;","",'Q 5'!C237))</f>
        <v>Installation with low emissions</v>
      </c>
    </row>
    <row r="1074" spans="1:11" x14ac:dyDescent="0.3">
      <c r="A1074" t="s">
        <v>1847</v>
      </c>
      <c r="B1074" t="s">
        <v>1855</v>
      </c>
      <c r="C1074">
        <v>36</v>
      </c>
      <c r="D1074" t="s">
        <v>1447</v>
      </c>
      <c r="E1074" t="s">
        <v>1856</v>
      </c>
      <c r="F1074" t="s">
        <v>1737</v>
      </c>
      <c r="K1074" t="str">
        <f>IF(ISBLANK('Q 5'!C238),"",IF('Q 5'!C238="&lt;please select&gt;","",'Q 5'!C238))</f>
        <v>Installation with low emissions</v>
      </c>
    </row>
    <row r="1075" spans="1:11" x14ac:dyDescent="0.3">
      <c r="A1075" t="s">
        <v>1847</v>
      </c>
      <c r="B1075" t="s">
        <v>1855</v>
      </c>
      <c r="C1075">
        <v>37</v>
      </c>
      <c r="D1075" t="s">
        <v>1447</v>
      </c>
      <c r="E1075" t="s">
        <v>1856</v>
      </c>
      <c r="F1075" t="s">
        <v>1737</v>
      </c>
      <c r="K1075" t="str">
        <f>IF(ISBLANK('Q 5'!C239),"",IF('Q 5'!C239="&lt;please select&gt;","",'Q 5'!C239))</f>
        <v>Installation with low emissions</v>
      </c>
    </row>
    <row r="1076" spans="1:11" x14ac:dyDescent="0.3">
      <c r="A1076" t="s">
        <v>1847</v>
      </c>
      <c r="B1076" t="s">
        <v>1855</v>
      </c>
      <c r="C1076">
        <v>38</v>
      </c>
      <c r="D1076" t="s">
        <v>1447</v>
      </c>
      <c r="E1076" t="s">
        <v>1856</v>
      </c>
      <c r="F1076" t="s">
        <v>1737</v>
      </c>
      <c r="K1076" t="str">
        <f>IF(ISBLANK('Q 5'!C240),"",IF('Q 5'!C240="&lt;please select&gt;","",'Q 5'!C240))</f>
        <v>Installation with low emissions</v>
      </c>
    </row>
    <row r="1077" spans="1:11" x14ac:dyDescent="0.3">
      <c r="A1077" t="s">
        <v>1847</v>
      </c>
      <c r="B1077" t="s">
        <v>1855</v>
      </c>
      <c r="C1077">
        <v>39</v>
      </c>
      <c r="D1077" t="s">
        <v>1447</v>
      </c>
      <c r="E1077" t="s">
        <v>1856</v>
      </c>
      <c r="F1077" t="s">
        <v>1737</v>
      </c>
      <c r="K1077" t="str">
        <f>IF(ISBLANK('Q 5'!C241),"",IF('Q 5'!C241="&lt;please select&gt;","",'Q 5'!C241))</f>
        <v>Installation with low emissions</v>
      </c>
    </row>
    <row r="1078" spans="1:11" x14ac:dyDescent="0.3">
      <c r="A1078" t="s">
        <v>1847</v>
      </c>
      <c r="B1078" t="s">
        <v>1855</v>
      </c>
      <c r="C1078">
        <v>40</v>
      </c>
      <c r="D1078" t="s">
        <v>1447</v>
      </c>
      <c r="E1078" t="s">
        <v>1856</v>
      </c>
      <c r="F1078" t="s">
        <v>1737</v>
      </c>
      <c r="K1078" t="str">
        <f>IF(ISBLANK('Q 5'!C242),"",IF('Q 5'!C242="&lt;please select&gt;","",'Q 5'!C242))</f>
        <v>Installation with low emissions</v>
      </c>
    </row>
    <row r="1079" spans="1:11" x14ac:dyDescent="0.3">
      <c r="A1079" t="s">
        <v>1847</v>
      </c>
      <c r="B1079" t="s">
        <v>1855</v>
      </c>
      <c r="C1079">
        <v>41</v>
      </c>
      <c r="D1079" t="s">
        <v>1447</v>
      </c>
      <c r="E1079" t="s">
        <v>1856</v>
      </c>
      <c r="F1079" t="s">
        <v>1737</v>
      </c>
      <c r="K1079" t="str">
        <f>IF(ISBLANK('Q 5'!C243),"",IF('Q 5'!C243="&lt;please select&gt;","",'Q 5'!C243))</f>
        <v>Installation with low emissions</v>
      </c>
    </row>
    <row r="1080" spans="1:11" x14ac:dyDescent="0.3">
      <c r="A1080" t="s">
        <v>1847</v>
      </c>
      <c r="B1080" t="s">
        <v>1855</v>
      </c>
      <c r="C1080">
        <v>42</v>
      </c>
      <c r="D1080" t="s">
        <v>1447</v>
      </c>
      <c r="E1080" t="s">
        <v>1856</v>
      </c>
      <c r="F1080" t="s">
        <v>1737</v>
      </c>
      <c r="K1080" t="str">
        <f>IF(ISBLANK('Q 5'!C244),"",IF('Q 5'!C244="&lt;please select&gt;","",'Q 5'!C244))</f>
        <v>Installation with low emissions</v>
      </c>
    </row>
    <row r="1081" spans="1:11" x14ac:dyDescent="0.3">
      <c r="A1081" t="s">
        <v>1847</v>
      </c>
      <c r="B1081" t="s">
        <v>1855</v>
      </c>
      <c r="C1081">
        <v>43</v>
      </c>
      <c r="D1081" t="s">
        <v>1447</v>
      </c>
      <c r="E1081" t="s">
        <v>1856</v>
      </c>
      <c r="F1081" t="s">
        <v>1737</v>
      </c>
      <c r="K1081" t="str">
        <f>IF(ISBLANK('Q 5'!C245),"",IF('Q 5'!C245="&lt;please select&gt;","",'Q 5'!C245))</f>
        <v>Installation with low emissions</v>
      </c>
    </row>
    <row r="1082" spans="1:11" x14ac:dyDescent="0.3">
      <c r="A1082" t="s">
        <v>1847</v>
      </c>
      <c r="B1082" t="s">
        <v>1855</v>
      </c>
      <c r="C1082">
        <v>44</v>
      </c>
      <c r="D1082" t="s">
        <v>1447</v>
      </c>
      <c r="E1082" t="s">
        <v>1856</v>
      </c>
      <c r="F1082" t="s">
        <v>1737</v>
      </c>
      <c r="K1082" t="str">
        <f>IF(ISBLANK('Q 5'!C246),"",IF('Q 5'!C246="&lt;please select&gt;","",'Q 5'!C246))</f>
        <v>Installation with low emissions</v>
      </c>
    </row>
    <row r="1083" spans="1:11" x14ac:dyDescent="0.3">
      <c r="A1083" t="s">
        <v>1847</v>
      </c>
      <c r="B1083" t="s">
        <v>1855</v>
      </c>
      <c r="C1083">
        <v>45</v>
      </c>
      <c r="D1083" t="s">
        <v>1447</v>
      </c>
      <c r="E1083" t="s">
        <v>1856</v>
      </c>
      <c r="F1083" t="s">
        <v>1737</v>
      </c>
      <c r="K1083" t="str">
        <f>IF(ISBLANK('Q 5'!C247),"",IF('Q 5'!C247="&lt;please select&gt;","",'Q 5'!C247))</f>
        <v>Installation with low emissions</v>
      </c>
    </row>
    <row r="1084" spans="1:11" x14ac:dyDescent="0.3">
      <c r="A1084" t="s">
        <v>1847</v>
      </c>
      <c r="B1084" t="s">
        <v>1855</v>
      </c>
      <c r="C1084">
        <v>46</v>
      </c>
      <c r="D1084" t="s">
        <v>1447</v>
      </c>
      <c r="E1084" t="s">
        <v>1856</v>
      </c>
      <c r="F1084" t="s">
        <v>1737</v>
      </c>
      <c r="K1084" t="str">
        <f>IF(ISBLANK('Q 5'!C248),"",IF('Q 5'!C248="&lt;please select&gt;","",'Q 5'!C248))</f>
        <v>Installation with low emissions</v>
      </c>
    </row>
    <row r="1085" spans="1:11" x14ac:dyDescent="0.3">
      <c r="A1085" t="s">
        <v>1847</v>
      </c>
      <c r="B1085" t="s">
        <v>1855</v>
      </c>
      <c r="C1085">
        <v>47</v>
      </c>
      <c r="D1085" t="s">
        <v>1447</v>
      </c>
      <c r="E1085" t="s">
        <v>1856</v>
      </c>
      <c r="F1085" t="s">
        <v>1737</v>
      </c>
      <c r="K1085" t="str">
        <f>IF(ISBLANK('Q 5'!C249),"",IF('Q 5'!C249="&lt;please select&gt;","",'Q 5'!C249))</f>
        <v>Installation with low emissions</v>
      </c>
    </row>
    <row r="1086" spans="1:11" x14ac:dyDescent="0.3">
      <c r="A1086" t="s">
        <v>1847</v>
      </c>
      <c r="B1086" t="s">
        <v>1855</v>
      </c>
      <c r="C1086">
        <v>48</v>
      </c>
      <c r="D1086" t="s">
        <v>1447</v>
      </c>
      <c r="E1086" t="s">
        <v>1856</v>
      </c>
      <c r="F1086" t="s">
        <v>1737</v>
      </c>
      <c r="K1086" t="str">
        <f>IF(ISBLANK('Q 5'!C250),"",IF('Q 5'!C250="&lt;please select&gt;","",'Q 5'!C250))</f>
        <v>Installation with low emissions</v>
      </c>
    </row>
    <row r="1087" spans="1:11" x14ac:dyDescent="0.3">
      <c r="A1087" t="s">
        <v>1847</v>
      </c>
      <c r="B1087" t="s">
        <v>1855</v>
      </c>
      <c r="C1087">
        <v>49</v>
      </c>
      <c r="D1087" t="s">
        <v>1447</v>
      </c>
      <c r="E1087" t="s">
        <v>1856</v>
      </c>
      <c r="F1087" t="s">
        <v>1737</v>
      </c>
      <c r="K1087" t="str">
        <f>IF(ISBLANK('Q 5'!C251),"",IF('Q 5'!C251="&lt;please select&gt;","",'Q 5'!C251))</f>
        <v>Installation with low emissions</v>
      </c>
    </row>
    <row r="1088" spans="1:11" x14ac:dyDescent="0.3">
      <c r="A1088" t="s">
        <v>1847</v>
      </c>
      <c r="B1088" t="s">
        <v>1855</v>
      </c>
      <c r="C1088">
        <v>50</v>
      </c>
      <c r="D1088" t="s">
        <v>1447</v>
      </c>
      <c r="E1088" t="s">
        <v>1856</v>
      </c>
      <c r="F1088" t="s">
        <v>1737</v>
      </c>
      <c r="K1088" t="str">
        <f>IF(ISBLANK('Q 5'!C252),"",IF('Q 5'!C252="&lt;please select&gt;","",'Q 5'!C252))</f>
        <v>Category A installation</v>
      </c>
    </row>
    <row r="1089" spans="1:11" x14ac:dyDescent="0.3">
      <c r="A1089" t="s">
        <v>1847</v>
      </c>
      <c r="B1089" t="s">
        <v>1855</v>
      </c>
      <c r="C1089">
        <v>51</v>
      </c>
      <c r="D1089" t="s">
        <v>1447</v>
      </c>
      <c r="E1089" t="s">
        <v>1856</v>
      </c>
      <c r="F1089" t="s">
        <v>1737</v>
      </c>
      <c r="K1089" t="str">
        <f>IF(ISBLANK('Q 5'!C253),"",IF('Q 5'!C253="&lt;please select&gt;","",'Q 5'!C253))</f>
        <v>Category A installation</v>
      </c>
    </row>
    <row r="1090" spans="1:11" x14ac:dyDescent="0.3">
      <c r="A1090" t="s">
        <v>1847</v>
      </c>
      <c r="B1090" t="s">
        <v>1855</v>
      </c>
      <c r="C1090">
        <v>52</v>
      </c>
      <c r="D1090" t="s">
        <v>1447</v>
      </c>
      <c r="E1090" t="s">
        <v>1856</v>
      </c>
      <c r="F1090" t="s">
        <v>1737</v>
      </c>
      <c r="K1090" t="str">
        <f>IF(ISBLANK('Q 5'!C254),"",IF('Q 5'!C254="&lt;please select&gt;","",'Q 5'!C254))</f>
        <v>Category A installation</v>
      </c>
    </row>
    <row r="1091" spans="1:11" x14ac:dyDescent="0.3">
      <c r="A1091" t="s">
        <v>1847</v>
      </c>
      <c r="B1091" t="s">
        <v>1855</v>
      </c>
      <c r="C1091">
        <v>53</v>
      </c>
      <c r="D1091" t="s">
        <v>1447</v>
      </c>
      <c r="E1091" t="s">
        <v>1856</v>
      </c>
      <c r="F1091" t="s">
        <v>1737</v>
      </c>
      <c r="K1091" t="str">
        <f>IF(ISBLANK('Q 5'!C255),"",IF('Q 5'!C255="&lt;please select&gt;","",'Q 5'!C255))</f>
        <v>Category A installation</v>
      </c>
    </row>
    <row r="1092" spans="1:11" x14ac:dyDescent="0.3">
      <c r="A1092" t="s">
        <v>1847</v>
      </c>
      <c r="B1092" t="s">
        <v>1855</v>
      </c>
      <c r="C1092">
        <v>54</v>
      </c>
      <c r="D1092" t="s">
        <v>1447</v>
      </c>
      <c r="E1092" t="s">
        <v>1856</v>
      </c>
      <c r="F1092" t="s">
        <v>1737</v>
      </c>
      <c r="K1092" t="str">
        <f>IF(ISBLANK('Q 5'!C256),"",IF('Q 5'!C256="&lt;please select&gt;","",'Q 5'!C256))</f>
        <v>Category A installation</v>
      </c>
    </row>
    <row r="1093" spans="1:11" x14ac:dyDescent="0.3">
      <c r="A1093" t="s">
        <v>1847</v>
      </c>
      <c r="B1093" t="s">
        <v>1855</v>
      </c>
      <c r="C1093">
        <v>55</v>
      </c>
      <c r="D1093" t="s">
        <v>1447</v>
      </c>
      <c r="E1093" t="s">
        <v>1856</v>
      </c>
      <c r="F1093" t="s">
        <v>1737</v>
      </c>
      <c r="K1093" t="str">
        <f>IF(ISBLANK('Q 5'!C257),"",IF('Q 5'!C257="&lt;please select&gt;","",'Q 5'!C257))</f>
        <v>Category A installation</v>
      </c>
    </row>
    <row r="1094" spans="1:11" x14ac:dyDescent="0.3">
      <c r="A1094" t="s">
        <v>1847</v>
      </c>
      <c r="B1094" t="s">
        <v>1855</v>
      </c>
      <c r="C1094">
        <v>56</v>
      </c>
      <c r="D1094" t="s">
        <v>1447</v>
      </c>
      <c r="E1094" t="s">
        <v>1856</v>
      </c>
      <c r="F1094" t="s">
        <v>1737</v>
      </c>
      <c r="K1094" t="str">
        <f>IF(ISBLANK('Q 5'!C258),"",IF('Q 5'!C258="&lt;please select&gt;","",'Q 5'!C258))</f>
        <v>Category A installation</v>
      </c>
    </row>
    <row r="1095" spans="1:11" x14ac:dyDescent="0.3">
      <c r="A1095" t="s">
        <v>1847</v>
      </c>
      <c r="B1095" t="s">
        <v>1855</v>
      </c>
      <c r="C1095">
        <v>57</v>
      </c>
      <c r="D1095" t="s">
        <v>1447</v>
      </c>
      <c r="E1095" t="s">
        <v>1856</v>
      </c>
      <c r="F1095" t="s">
        <v>1737</v>
      </c>
      <c r="K1095" t="str">
        <f>IF(ISBLANK('Q 5'!C259),"",IF('Q 5'!C259="&lt;please select&gt;","",'Q 5'!C259))</f>
        <v>Category A installation</v>
      </c>
    </row>
    <row r="1096" spans="1:11" x14ac:dyDescent="0.3">
      <c r="A1096" t="s">
        <v>1847</v>
      </c>
      <c r="B1096" t="s">
        <v>1855</v>
      </c>
      <c r="C1096">
        <v>58</v>
      </c>
      <c r="D1096" t="s">
        <v>1447</v>
      </c>
      <c r="E1096" t="s">
        <v>1856</v>
      </c>
      <c r="F1096" t="s">
        <v>1737</v>
      </c>
      <c r="K1096" t="str">
        <f>IF(ISBLANK('Q 5'!C260),"",IF('Q 5'!C260="&lt;please select&gt;","",'Q 5'!C260))</f>
        <v>Category A installation</v>
      </c>
    </row>
    <row r="1097" spans="1:11" x14ac:dyDescent="0.3">
      <c r="A1097" t="s">
        <v>1847</v>
      </c>
      <c r="B1097" t="s">
        <v>1855</v>
      </c>
      <c r="C1097">
        <v>59</v>
      </c>
      <c r="D1097" t="s">
        <v>1447</v>
      </c>
      <c r="E1097" t="s">
        <v>1856</v>
      </c>
      <c r="F1097" t="s">
        <v>1737</v>
      </c>
      <c r="K1097" t="str">
        <f>IF(ISBLANK('Q 5'!C261),"",IF('Q 5'!C261="&lt;please select&gt;","",'Q 5'!C261))</f>
        <v>Category A installation</v>
      </c>
    </row>
    <row r="1098" spans="1:11" x14ac:dyDescent="0.3">
      <c r="A1098" t="s">
        <v>1847</v>
      </c>
      <c r="B1098" t="s">
        <v>1855</v>
      </c>
      <c r="C1098">
        <v>60</v>
      </c>
      <c r="D1098" t="s">
        <v>1447</v>
      </c>
      <c r="E1098" t="s">
        <v>1856</v>
      </c>
      <c r="F1098" t="s">
        <v>1737</v>
      </c>
      <c r="K1098" t="str">
        <f>IF(ISBLANK('Q 5'!C262),"",IF('Q 5'!C262="&lt;please select&gt;","",'Q 5'!C262))</f>
        <v>Category A installation</v>
      </c>
    </row>
    <row r="1099" spans="1:11" x14ac:dyDescent="0.3">
      <c r="A1099" t="s">
        <v>1847</v>
      </c>
      <c r="B1099" t="s">
        <v>1855</v>
      </c>
      <c r="C1099">
        <v>61</v>
      </c>
      <c r="D1099" t="s">
        <v>1447</v>
      </c>
      <c r="E1099" t="s">
        <v>1856</v>
      </c>
      <c r="F1099" t="s">
        <v>1737</v>
      </c>
      <c r="K1099" t="str">
        <f>IF(ISBLANK('Q 5'!C263),"",IF('Q 5'!C263="&lt;please select&gt;","",'Q 5'!C263))</f>
        <v>Category A installation</v>
      </c>
    </row>
    <row r="1100" spans="1:11" x14ac:dyDescent="0.3">
      <c r="A1100" t="s">
        <v>1847</v>
      </c>
      <c r="B1100" t="s">
        <v>1855</v>
      </c>
      <c r="C1100">
        <v>62</v>
      </c>
      <c r="D1100" t="s">
        <v>1447</v>
      </c>
      <c r="E1100" t="s">
        <v>1856</v>
      </c>
      <c r="F1100" t="s">
        <v>1737</v>
      </c>
      <c r="K1100" t="str">
        <f>IF(ISBLANK('Q 5'!C264),"",IF('Q 5'!C264="&lt;please select&gt;","",'Q 5'!C264))</f>
        <v>Category A installation</v>
      </c>
    </row>
    <row r="1101" spans="1:11" x14ac:dyDescent="0.3">
      <c r="A1101" t="s">
        <v>1847</v>
      </c>
      <c r="B1101" t="s">
        <v>1855</v>
      </c>
      <c r="C1101">
        <v>63</v>
      </c>
      <c r="D1101" t="s">
        <v>1447</v>
      </c>
      <c r="E1101" t="s">
        <v>1856</v>
      </c>
      <c r="F1101" t="s">
        <v>1737</v>
      </c>
      <c r="K1101" t="str">
        <f>IF(ISBLANK('Q 5'!C265),"",IF('Q 5'!C265="&lt;please select&gt;","",'Q 5'!C265))</f>
        <v>Category A installation</v>
      </c>
    </row>
    <row r="1102" spans="1:11" x14ac:dyDescent="0.3">
      <c r="A1102" t="s">
        <v>1847</v>
      </c>
      <c r="B1102" t="s">
        <v>1855</v>
      </c>
      <c r="C1102">
        <v>64</v>
      </c>
      <c r="D1102" t="s">
        <v>1447</v>
      </c>
      <c r="E1102" t="s">
        <v>1856</v>
      </c>
      <c r="F1102" t="s">
        <v>1737</v>
      </c>
      <c r="K1102" t="str">
        <f>IF(ISBLANK('Q 5'!C266),"",IF('Q 5'!C266="&lt;please select&gt;","",'Q 5'!C266))</f>
        <v>Category A installation</v>
      </c>
    </row>
    <row r="1103" spans="1:11" x14ac:dyDescent="0.3">
      <c r="A1103" t="s">
        <v>1847</v>
      </c>
      <c r="B1103" t="s">
        <v>1855</v>
      </c>
      <c r="C1103">
        <v>65</v>
      </c>
      <c r="D1103" t="s">
        <v>1447</v>
      </c>
      <c r="E1103" t="s">
        <v>1856</v>
      </c>
      <c r="F1103" t="s">
        <v>1737</v>
      </c>
      <c r="K1103" t="str">
        <f>IF(ISBLANK('Q 5'!C267),"",IF('Q 5'!C267="&lt;please select&gt;","",'Q 5'!C267))</f>
        <v>Category A installation</v>
      </c>
    </row>
    <row r="1104" spans="1:11" x14ac:dyDescent="0.3">
      <c r="A1104" t="s">
        <v>1847</v>
      </c>
      <c r="B1104" t="s">
        <v>1855</v>
      </c>
      <c r="C1104">
        <v>66</v>
      </c>
      <c r="D1104" t="s">
        <v>1447</v>
      </c>
      <c r="E1104" t="s">
        <v>1856</v>
      </c>
      <c r="F1104" t="s">
        <v>1737</v>
      </c>
      <c r="K1104" t="str">
        <f>IF(ISBLANK('Q 5'!C268),"",IF('Q 5'!C268="&lt;please select&gt;","",'Q 5'!C268))</f>
        <v>Category A installation</v>
      </c>
    </row>
    <row r="1105" spans="1:11" x14ac:dyDescent="0.3">
      <c r="A1105" t="s">
        <v>1847</v>
      </c>
      <c r="B1105" t="s">
        <v>1855</v>
      </c>
      <c r="C1105">
        <v>67</v>
      </c>
      <c r="D1105" t="s">
        <v>1447</v>
      </c>
      <c r="E1105" t="s">
        <v>1856</v>
      </c>
      <c r="F1105" t="s">
        <v>1737</v>
      </c>
      <c r="K1105" t="str">
        <f>IF(ISBLANK('Q 5'!C269),"",IF('Q 5'!C269="&lt;please select&gt;","",'Q 5'!C269))</f>
        <v>Category A installation</v>
      </c>
    </row>
    <row r="1106" spans="1:11" x14ac:dyDescent="0.3">
      <c r="A1106" t="s">
        <v>1847</v>
      </c>
      <c r="B1106" t="s">
        <v>1855</v>
      </c>
      <c r="C1106">
        <v>68</v>
      </c>
      <c r="D1106" t="s">
        <v>1447</v>
      </c>
      <c r="E1106" t="s">
        <v>1856</v>
      </c>
      <c r="F1106" t="s">
        <v>1737</v>
      </c>
      <c r="K1106" t="str">
        <f>IF(ISBLANK('Q 5'!C270),"",IF('Q 5'!C270="&lt;please select&gt;","",'Q 5'!C270))</f>
        <v>Category A installation</v>
      </c>
    </row>
    <row r="1107" spans="1:11" x14ac:dyDescent="0.3">
      <c r="A1107" t="s">
        <v>1847</v>
      </c>
      <c r="B1107" t="s">
        <v>1855</v>
      </c>
      <c r="C1107">
        <v>69</v>
      </c>
      <c r="D1107" t="s">
        <v>1447</v>
      </c>
      <c r="E1107" t="s">
        <v>1856</v>
      </c>
      <c r="F1107" t="s">
        <v>1737</v>
      </c>
      <c r="K1107" t="str">
        <f>IF(ISBLANK('Q 5'!C271),"",IF('Q 5'!C271="&lt;please select&gt;","",'Q 5'!C271))</f>
        <v>Category A installation</v>
      </c>
    </row>
    <row r="1108" spans="1:11" x14ac:dyDescent="0.3">
      <c r="A1108" t="s">
        <v>1847</v>
      </c>
      <c r="B1108" t="s">
        <v>1855</v>
      </c>
      <c r="C1108">
        <v>70</v>
      </c>
      <c r="D1108" t="s">
        <v>1447</v>
      </c>
      <c r="E1108" t="s">
        <v>1856</v>
      </c>
      <c r="F1108" t="s">
        <v>1737</v>
      </c>
      <c r="K1108" t="str">
        <f>IF(ISBLANK('Q 5'!C272),"",IF('Q 5'!C272="&lt;please select&gt;","",'Q 5'!C272))</f>
        <v>Category A installation</v>
      </c>
    </row>
    <row r="1109" spans="1:11" x14ac:dyDescent="0.3">
      <c r="A1109" t="s">
        <v>1847</v>
      </c>
      <c r="B1109" t="s">
        <v>1855</v>
      </c>
      <c r="C1109">
        <v>71</v>
      </c>
      <c r="D1109" t="s">
        <v>1447</v>
      </c>
      <c r="E1109" t="s">
        <v>1856</v>
      </c>
      <c r="F1109" t="s">
        <v>1737</v>
      </c>
      <c r="K1109" t="str">
        <f>IF(ISBLANK('Q 5'!C273),"",IF('Q 5'!C273="&lt;please select&gt;","",'Q 5'!C273))</f>
        <v>Category A installation</v>
      </c>
    </row>
    <row r="1110" spans="1:11" x14ac:dyDescent="0.3">
      <c r="A1110" t="s">
        <v>1847</v>
      </c>
      <c r="B1110" t="s">
        <v>1855</v>
      </c>
      <c r="C1110">
        <v>72</v>
      </c>
      <c r="D1110" t="s">
        <v>1447</v>
      </c>
      <c r="E1110" t="s">
        <v>1856</v>
      </c>
      <c r="F1110" t="s">
        <v>1737</v>
      </c>
      <c r="K1110" t="str">
        <f>IF(ISBLANK('Q 5'!C274),"",IF('Q 5'!C274="&lt;please select&gt;","",'Q 5'!C274))</f>
        <v>Category A installation</v>
      </c>
    </row>
    <row r="1111" spans="1:11" x14ac:dyDescent="0.3">
      <c r="A1111" t="s">
        <v>1847</v>
      </c>
      <c r="B1111" t="s">
        <v>1855</v>
      </c>
      <c r="C1111">
        <v>73</v>
      </c>
      <c r="D1111" t="s">
        <v>1447</v>
      </c>
      <c r="E1111" t="s">
        <v>1856</v>
      </c>
      <c r="F1111" t="s">
        <v>1737</v>
      </c>
      <c r="K1111" t="str">
        <f>IF(ISBLANK('Q 5'!C275),"",IF('Q 5'!C275="&lt;please select&gt;","",'Q 5'!C275))</f>
        <v>Category A installation</v>
      </c>
    </row>
    <row r="1112" spans="1:11" x14ac:dyDescent="0.3">
      <c r="A1112" t="s">
        <v>1847</v>
      </c>
      <c r="B1112" t="s">
        <v>1855</v>
      </c>
      <c r="C1112">
        <v>74</v>
      </c>
      <c r="D1112" t="s">
        <v>1447</v>
      </c>
      <c r="E1112" t="s">
        <v>1856</v>
      </c>
      <c r="F1112" t="s">
        <v>1737</v>
      </c>
      <c r="K1112" t="str">
        <f>IF(ISBLANK('Q 5'!C276),"",IF('Q 5'!C276="&lt;please select&gt;","",'Q 5'!C276))</f>
        <v>Category A installation</v>
      </c>
    </row>
    <row r="1113" spans="1:11" x14ac:dyDescent="0.3">
      <c r="A1113" t="s">
        <v>1847</v>
      </c>
      <c r="B1113" t="s">
        <v>1855</v>
      </c>
      <c r="C1113">
        <v>75</v>
      </c>
      <c r="D1113" t="s">
        <v>1447</v>
      </c>
      <c r="E1113" t="s">
        <v>1856</v>
      </c>
      <c r="F1113" t="s">
        <v>1737</v>
      </c>
      <c r="K1113" t="str">
        <f>IF(ISBLANK('Q 5'!C277),"",IF('Q 5'!C277="&lt;please select&gt;","",'Q 5'!C277))</f>
        <v>Category A installation</v>
      </c>
    </row>
    <row r="1114" spans="1:11" x14ac:dyDescent="0.3">
      <c r="A1114" t="s">
        <v>1847</v>
      </c>
      <c r="B1114" t="s">
        <v>1855</v>
      </c>
      <c r="C1114">
        <v>76</v>
      </c>
      <c r="D1114" t="s">
        <v>1447</v>
      </c>
      <c r="E1114" t="s">
        <v>1856</v>
      </c>
      <c r="F1114" t="s">
        <v>1737</v>
      </c>
      <c r="K1114" t="str">
        <f>IF(ISBLANK('Q 5'!C278),"",IF('Q 5'!C278="&lt;please select&gt;","",'Q 5'!C278))</f>
        <v>Category A installation</v>
      </c>
    </row>
    <row r="1115" spans="1:11" x14ac:dyDescent="0.3">
      <c r="A1115" t="s">
        <v>1847</v>
      </c>
      <c r="B1115" t="s">
        <v>1855</v>
      </c>
      <c r="C1115">
        <v>77</v>
      </c>
      <c r="D1115" t="s">
        <v>1447</v>
      </c>
      <c r="E1115" t="s">
        <v>1856</v>
      </c>
      <c r="F1115" t="s">
        <v>1737</v>
      </c>
      <c r="K1115" t="str">
        <f>IF(ISBLANK('Q 5'!C279),"",IF('Q 5'!C279="&lt;please select&gt;","",'Q 5'!C279))</f>
        <v>Category A installation</v>
      </c>
    </row>
    <row r="1116" spans="1:11" x14ac:dyDescent="0.3">
      <c r="A1116" t="s">
        <v>1847</v>
      </c>
      <c r="B1116" t="s">
        <v>1855</v>
      </c>
      <c r="C1116">
        <v>78</v>
      </c>
      <c r="D1116" t="s">
        <v>1447</v>
      </c>
      <c r="E1116" t="s">
        <v>1856</v>
      </c>
      <c r="F1116" t="s">
        <v>1737</v>
      </c>
      <c r="K1116" t="str">
        <f>IF(ISBLANK('Q 5'!C280),"",IF('Q 5'!C280="&lt;please select&gt;","",'Q 5'!C280))</f>
        <v>Category A installation</v>
      </c>
    </row>
    <row r="1117" spans="1:11" x14ac:dyDescent="0.3">
      <c r="A1117" t="s">
        <v>1847</v>
      </c>
      <c r="B1117" t="s">
        <v>1855</v>
      </c>
      <c r="C1117">
        <v>79</v>
      </c>
      <c r="D1117" t="s">
        <v>1447</v>
      </c>
      <c r="E1117" t="s">
        <v>1856</v>
      </c>
      <c r="F1117" t="s">
        <v>1737</v>
      </c>
      <c r="K1117" t="str">
        <f>IF(ISBLANK('Q 5'!C281),"",IF('Q 5'!C281="&lt;please select&gt;","",'Q 5'!C281))</f>
        <v>Category A installation</v>
      </c>
    </row>
    <row r="1118" spans="1:11" x14ac:dyDescent="0.3">
      <c r="A1118" t="s">
        <v>1847</v>
      </c>
      <c r="B1118" t="s">
        <v>1855</v>
      </c>
      <c r="C1118">
        <v>80</v>
      </c>
      <c r="D1118" t="s">
        <v>1447</v>
      </c>
      <c r="E1118" t="s">
        <v>1856</v>
      </c>
      <c r="F1118" t="s">
        <v>1737</v>
      </c>
      <c r="K1118" t="str">
        <f>IF(ISBLANK('Q 5'!C282),"",IF('Q 5'!C282="&lt;please select&gt;","",'Q 5'!C282))</f>
        <v>Category A installation</v>
      </c>
    </row>
    <row r="1119" spans="1:11" x14ac:dyDescent="0.3">
      <c r="A1119" t="s">
        <v>1847</v>
      </c>
      <c r="B1119" t="s">
        <v>1855</v>
      </c>
      <c r="C1119">
        <v>81</v>
      </c>
      <c r="D1119" t="s">
        <v>1447</v>
      </c>
      <c r="E1119" t="s">
        <v>1856</v>
      </c>
      <c r="F1119" t="s">
        <v>1737</v>
      </c>
      <c r="K1119" t="str">
        <f>IF(ISBLANK('Q 5'!C283),"",IF('Q 5'!C283="&lt;please select&gt;","",'Q 5'!C283))</f>
        <v>Category A installation</v>
      </c>
    </row>
    <row r="1120" spans="1:11" x14ac:dyDescent="0.3">
      <c r="A1120" t="s">
        <v>1847</v>
      </c>
      <c r="B1120" t="s">
        <v>1855</v>
      </c>
      <c r="C1120">
        <v>82</v>
      </c>
      <c r="D1120" t="s">
        <v>1447</v>
      </c>
      <c r="E1120" t="s">
        <v>1856</v>
      </c>
      <c r="F1120" t="s">
        <v>1737</v>
      </c>
      <c r="K1120" t="str">
        <f>IF(ISBLANK('Q 5'!C284),"",IF('Q 5'!C284="&lt;please select&gt;","",'Q 5'!C284))</f>
        <v>Category A installation</v>
      </c>
    </row>
    <row r="1121" spans="1:11" x14ac:dyDescent="0.3">
      <c r="A1121" t="s">
        <v>1847</v>
      </c>
      <c r="B1121" t="s">
        <v>1855</v>
      </c>
      <c r="C1121">
        <v>83</v>
      </c>
      <c r="D1121" t="s">
        <v>1447</v>
      </c>
      <c r="E1121" t="s">
        <v>1856</v>
      </c>
      <c r="F1121" t="s">
        <v>1737</v>
      </c>
      <c r="K1121" t="str">
        <f>IF(ISBLANK('Q 5'!C285),"",IF('Q 5'!C285="&lt;please select&gt;","",'Q 5'!C285))</f>
        <v>Category A installation</v>
      </c>
    </row>
    <row r="1122" spans="1:11" x14ac:dyDescent="0.3">
      <c r="A1122" t="s">
        <v>1847</v>
      </c>
      <c r="B1122" t="s">
        <v>1855</v>
      </c>
      <c r="C1122">
        <v>84</v>
      </c>
      <c r="D1122" t="s">
        <v>1447</v>
      </c>
      <c r="E1122" t="s">
        <v>1856</v>
      </c>
      <c r="F1122" t="s">
        <v>1737</v>
      </c>
      <c r="K1122" t="str">
        <f>IF(ISBLANK('Q 5'!C286),"",IF('Q 5'!C286="&lt;please select&gt;","",'Q 5'!C286))</f>
        <v>Category A installation</v>
      </c>
    </row>
    <row r="1123" spans="1:11" x14ac:dyDescent="0.3">
      <c r="A1123" t="s">
        <v>1847</v>
      </c>
      <c r="B1123" t="s">
        <v>1855</v>
      </c>
      <c r="C1123">
        <v>85</v>
      </c>
      <c r="D1123" t="s">
        <v>1447</v>
      </c>
      <c r="E1123" t="s">
        <v>1856</v>
      </c>
      <c r="F1123" t="s">
        <v>1737</v>
      </c>
      <c r="K1123" t="str">
        <f>IF(ISBLANK('Q 5'!C287),"",IF('Q 5'!C287="&lt;please select&gt;","",'Q 5'!C287))</f>
        <v>Category A installation</v>
      </c>
    </row>
    <row r="1124" spans="1:11" x14ac:dyDescent="0.3">
      <c r="A1124" t="s">
        <v>1847</v>
      </c>
      <c r="B1124" t="s">
        <v>1855</v>
      </c>
      <c r="C1124">
        <v>86</v>
      </c>
      <c r="D1124" t="s">
        <v>1447</v>
      </c>
      <c r="E1124" t="s">
        <v>1856</v>
      </c>
      <c r="F1124" t="s">
        <v>1737</v>
      </c>
      <c r="K1124" t="str">
        <f>IF(ISBLANK('Q 5'!C288),"",IF('Q 5'!C288="&lt;please select&gt;","",'Q 5'!C288))</f>
        <v>Category A installation</v>
      </c>
    </row>
    <row r="1125" spans="1:11" x14ac:dyDescent="0.3">
      <c r="A1125" t="s">
        <v>1847</v>
      </c>
      <c r="B1125" t="s">
        <v>1855</v>
      </c>
      <c r="C1125">
        <v>87</v>
      </c>
      <c r="D1125" t="s">
        <v>1447</v>
      </c>
      <c r="E1125" t="s">
        <v>1856</v>
      </c>
      <c r="F1125" t="s">
        <v>1737</v>
      </c>
      <c r="K1125" t="str">
        <f>IF(ISBLANK('Q 5'!C289),"",IF('Q 5'!C289="&lt;please select&gt;","",'Q 5'!C289))</f>
        <v>Category A installation</v>
      </c>
    </row>
    <row r="1126" spans="1:11" x14ac:dyDescent="0.3">
      <c r="A1126" t="s">
        <v>1847</v>
      </c>
      <c r="B1126" t="s">
        <v>1855</v>
      </c>
      <c r="C1126">
        <v>88</v>
      </c>
      <c r="D1126" t="s">
        <v>1447</v>
      </c>
      <c r="E1126" t="s">
        <v>1856</v>
      </c>
      <c r="F1126" t="s">
        <v>1737</v>
      </c>
      <c r="K1126" t="str">
        <f>IF(ISBLANK('Q 5'!C290),"",IF('Q 5'!C290="&lt;please select&gt;","",'Q 5'!C290))</f>
        <v>Category A installation</v>
      </c>
    </row>
    <row r="1127" spans="1:11" x14ac:dyDescent="0.3">
      <c r="A1127" t="s">
        <v>1847</v>
      </c>
      <c r="B1127" t="s">
        <v>1855</v>
      </c>
      <c r="C1127">
        <v>89</v>
      </c>
      <c r="D1127" t="s">
        <v>1447</v>
      </c>
      <c r="E1127" t="s">
        <v>1856</v>
      </c>
      <c r="F1127" t="s">
        <v>1737</v>
      </c>
      <c r="K1127" t="str">
        <f>IF(ISBLANK('Q 5'!C291),"",IF('Q 5'!C291="&lt;please select&gt;","",'Q 5'!C291))</f>
        <v>Category A installation</v>
      </c>
    </row>
    <row r="1128" spans="1:11" x14ac:dyDescent="0.3">
      <c r="A1128" t="s">
        <v>1847</v>
      </c>
      <c r="B1128" t="s">
        <v>1855</v>
      </c>
      <c r="C1128">
        <v>90</v>
      </c>
      <c r="D1128" t="s">
        <v>1447</v>
      </c>
      <c r="E1128" t="s">
        <v>1856</v>
      </c>
      <c r="F1128" t="s">
        <v>1737</v>
      </c>
      <c r="K1128" t="str">
        <f>IF(ISBLANK('Q 5'!C292),"",IF('Q 5'!C292="&lt;please select&gt;","",'Q 5'!C292))</f>
        <v>Category A installation</v>
      </c>
    </row>
    <row r="1129" spans="1:11" x14ac:dyDescent="0.3">
      <c r="A1129" t="s">
        <v>1847</v>
      </c>
      <c r="B1129" t="s">
        <v>1855</v>
      </c>
      <c r="C1129">
        <v>91</v>
      </c>
      <c r="D1129" t="s">
        <v>1447</v>
      </c>
      <c r="E1129" t="s">
        <v>1856</v>
      </c>
      <c r="F1129" t="s">
        <v>1737</v>
      </c>
      <c r="K1129" t="str">
        <f>IF(ISBLANK('Q 5'!C293),"",IF('Q 5'!C293="&lt;please select&gt;","",'Q 5'!C293))</f>
        <v>Category A installation</v>
      </c>
    </row>
    <row r="1130" spans="1:11" x14ac:dyDescent="0.3">
      <c r="A1130" t="s">
        <v>1847</v>
      </c>
      <c r="B1130" t="s">
        <v>1855</v>
      </c>
      <c r="C1130">
        <v>92</v>
      </c>
      <c r="D1130" t="s">
        <v>1447</v>
      </c>
      <c r="E1130" t="s">
        <v>1856</v>
      </c>
      <c r="F1130" t="s">
        <v>1737</v>
      </c>
      <c r="K1130" t="str">
        <f>IF(ISBLANK('Q 5'!C294),"",IF('Q 5'!C294="&lt;please select&gt;","",'Q 5'!C294))</f>
        <v>Category A installation</v>
      </c>
    </row>
    <row r="1131" spans="1:11" x14ac:dyDescent="0.3">
      <c r="A1131" t="s">
        <v>1847</v>
      </c>
      <c r="B1131" t="s">
        <v>1855</v>
      </c>
      <c r="C1131">
        <v>93</v>
      </c>
      <c r="D1131" t="s">
        <v>1447</v>
      </c>
      <c r="E1131" t="s">
        <v>1856</v>
      </c>
      <c r="F1131" t="s">
        <v>1737</v>
      </c>
      <c r="K1131" t="str">
        <f>IF(ISBLANK('Q 5'!C295),"",IF('Q 5'!C295="&lt;please select&gt;","",'Q 5'!C295))</f>
        <v>Category A installation</v>
      </c>
    </row>
    <row r="1132" spans="1:11" x14ac:dyDescent="0.3">
      <c r="A1132" t="s">
        <v>1847</v>
      </c>
      <c r="B1132" t="s">
        <v>1855</v>
      </c>
      <c r="C1132">
        <v>94</v>
      </c>
      <c r="D1132" t="s">
        <v>1447</v>
      </c>
      <c r="E1132" t="s">
        <v>1856</v>
      </c>
      <c r="F1132" t="s">
        <v>1737</v>
      </c>
      <c r="K1132" t="str">
        <f>IF(ISBLANK('Q 5'!C296),"",IF('Q 5'!C296="&lt;please select&gt;","",'Q 5'!C296))</f>
        <v>Category A installation</v>
      </c>
    </row>
    <row r="1133" spans="1:11" x14ac:dyDescent="0.3">
      <c r="A1133" t="s">
        <v>1847</v>
      </c>
      <c r="B1133" t="s">
        <v>1855</v>
      </c>
      <c r="C1133">
        <v>95</v>
      </c>
      <c r="D1133" t="s">
        <v>1447</v>
      </c>
      <c r="E1133" t="s">
        <v>1856</v>
      </c>
      <c r="F1133" t="s">
        <v>1737</v>
      </c>
      <c r="K1133" t="str">
        <f>IF(ISBLANK('Q 5'!C297),"",IF('Q 5'!C297="&lt;please select&gt;","",'Q 5'!C297))</f>
        <v>Category A installation</v>
      </c>
    </row>
    <row r="1134" spans="1:11" x14ac:dyDescent="0.3">
      <c r="A1134" t="s">
        <v>1847</v>
      </c>
      <c r="B1134" t="s">
        <v>1855</v>
      </c>
      <c r="C1134">
        <v>96</v>
      </c>
      <c r="D1134" t="s">
        <v>1447</v>
      </c>
      <c r="E1134" t="s">
        <v>1856</v>
      </c>
      <c r="F1134" t="s">
        <v>1737</v>
      </c>
      <c r="K1134" t="str">
        <f>IF(ISBLANK('Q 5'!C298),"",IF('Q 5'!C298="&lt;please select&gt;","",'Q 5'!C298))</f>
        <v>Category A installation</v>
      </c>
    </row>
    <row r="1135" spans="1:11" x14ac:dyDescent="0.3">
      <c r="A1135" t="s">
        <v>1847</v>
      </c>
      <c r="B1135" t="s">
        <v>1855</v>
      </c>
      <c r="C1135">
        <v>97</v>
      </c>
      <c r="D1135" t="s">
        <v>1447</v>
      </c>
      <c r="E1135" t="s">
        <v>1856</v>
      </c>
      <c r="F1135" t="s">
        <v>1737</v>
      </c>
      <c r="K1135" t="str">
        <f>IF(ISBLANK('Q 5'!C299),"",IF('Q 5'!C299="&lt;please select&gt;","",'Q 5'!C299))</f>
        <v>Category A installation</v>
      </c>
    </row>
    <row r="1136" spans="1:11" x14ac:dyDescent="0.3">
      <c r="A1136" t="s">
        <v>1847</v>
      </c>
      <c r="B1136" t="s">
        <v>1855</v>
      </c>
      <c r="C1136">
        <v>98</v>
      </c>
      <c r="D1136" t="s">
        <v>1447</v>
      </c>
      <c r="E1136" t="s">
        <v>1856</v>
      </c>
      <c r="F1136" t="s">
        <v>1737</v>
      </c>
      <c r="K1136" t="str">
        <f>IF(ISBLANK('Q 5'!C300),"",IF('Q 5'!C300="&lt;please select&gt;","",'Q 5'!C300))</f>
        <v>Category A installation</v>
      </c>
    </row>
    <row r="1137" spans="1:11" x14ac:dyDescent="0.3">
      <c r="A1137" t="s">
        <v>1847</v>
      </c>
      <c r="B1137" t="s">
        <v>1855</v>
      </c>
      <c r="C1137">
        <v>99</v>
      </c>
      <c r="D1137" t="s">
        <v>1447</v>
      </c>
      <c r="E1137" t="s">
        <v>1856</v>
      </c>
      <c r="F1137" t="s">
        <v>1737</v>
      </c>
      <c r="K1137" t="str">
        <f>IF(ISBLANK('Q 5'!C301),"",IF('Q 5'!C301="&lt;please select&gt;","",'Q 5'!C301))</f>
        <v>Category A installation</v>
      </c>
    </row>
    <row r="1138" spans="1:11" x14ac:dyDescent="0.3">
      <c r="A1138" t="s">
        <v>1847</v>
      </c>
      <c r="B1138" t="s">
        <v>1855</v>
      </c>
      <c r="C1138">
        <v>100</v>
      </c>
      <c r="D1138" t="s">
        <v>1447</v>
      </c>
      <c r="E1138" t="s">
        <v>1856</v>
      </c>
      <c r="F1138" t="s">
        <v>1737</v>
      </c>
      <c r="K1138" t="str">
        <f>IF(ISBLANK('Q 5'!C302),"",IF('Q 5'!C302="&lt;please select&gt;","",'Q 5'!C302))</f>
        <v>Category A installation</v>
      </c>
    </row>
    <row r="1139" spans="1:11" x14ac:dyDescent="0.3">
      <c r="A1139" t="s">
        <v>1847</v>
      </c>
      <c r="B1139" t="s">
        <v>1855</v>
      </c>
      <c r="C1139">
        <v>101</v>
      </c>
      <c r="D1139" t="s">
        <v>1447</v>
      </c>
      <c r="E1139" t="s">
        <v>1856</v>
      </c>
      <c r="F1139" t="s">
        <v>1737</v>
      </c>
      <c r="K1139" t="str">
        <f>IF(ISBLANK('Q 5'!C303),"",IF('Q 5'!C303="&lt;please select&gt;","",'Q 5'!C303))</f>
        <v>Category A installation</v>
      </c>
    </row>
    <row r="1140" spans="1:11" x14ac:dyDescent="0.3">
      <c r="A1140" t="s">
        <v>1847</v>
      </c>
      <c r="B1140" t="s">
        <v>1855</v>
      </c>
      <c r="C1140">
        <v>102</v>
      </c>
      <c r="D1140" t="s">
        <v>1447</v>
      </c>
      <c r="E1140" t="s">
        <v>1856</v>
      </c>
      <c r="F1140" t="s">
        <v>1737</v>
      </c>
      <c r="K1140" t="str">
        <f>IF(ISBLANK('Q 5'!C304),"",IF('Q 5'!C304="&lt;please select&gt;","",'Q 5'!C304))</f>
        <v>Category A installation</v>
      </c>
    </row>
    <row r="1141" spans="1:11" x14ac:dyDescent="0.3">
      <c r="A1141" t="s">
        <v>1847</v>
      </c>
      <c r="B1141" t="s">
        <v>1855</v>
      </c>
      <c r="C1141">
        <v>103</v>
      </c>
      <c r="D1141" t="s">
        <v>1447</v>
      </c>
      <c r="E1141" t="s">
        <v>1856</v>
      </c>
      <c r="F1141" t="s">
        <v>1737</v>
      </c>
      <c r="K1141" t="str">
        <f>IF(ISBLANK('Q 5'!C305),"",IF('Q 5'!C305="&lt;please select&gt;","",'Q 5'!C305))</f>
        <v>Category A installation</v>
      </c>
    </row>
    <row r="1142" spans="1:11" x14ac:dyDescent="0.3">
      <c r="A1142" t="s">
        <v>1847</v>
      </c>
      <c r="B1142" t="s">
        <v>1855</v>
      </c>
      <c r="C1142">
        <v>104</v>
      </c>
      <c r="D1142" t="s">
        <v>1447</v>
      </c>
      <c r="E1142" t="s">
        <v>1856</v>
      </c>
      <c r="F1142" t="s">
        <v>1737</v>
      </c>
      <c r="K1142" t="str">
        <f>IF(ISBLANK('Q 5'!C306),"",IF('Q 5'!C306="&lt;please select&gt;","",'Q 5'!C306))</f>
        <v>Category A installation</v>
      </c>
    </row>
    <row r="1143" spans="1:11" x14ac:dyDescent="0.3">
      <c r="A1143" t="s">
        <v>1847</v>
      </c>
      <c r="B1143" t="s">
        <v>1855</v>
      </c>
      <c r="C1143">
        <v>105</v>
      </c>
      <c r="D1143" t="s">
        <v>1447</v>
      </c>
      <c r="E1143" t="s">
        <v>1856</v>
      </c>
      <c r="F1143" t="s">
        <v>1737</v>
      </c>
      <c r="K1143" t="str">
        <f>IF(ISBLANK('Q 5'!C307),"",IF('Q 5'!C307="&lt;please select&gt;","",'Q 5'!C307))</f>
        <v>Category A installation</v>
      </c>
    </row>
    <row r="1144" spans="1:11" x14ac:dyDescent="0.3">
      <c r="A1144" t="s">
        <v>1847</v>
      </c>
      <c r="B1144" t="s">
        <v>1855</v>
      </c>
      <c r="C1144">
        <v>106</v>
      </c>
      <c r="D1144" t="s">
        <v>1447</v>
      </c>
      <c r="E1144" t="s">
        <v>1856</v>
      </c>
      <c r="F1144" t="s">
        <v>1737</v>
      </c>
      <c r="K1144" t="str">
        <f>IF(ISBLANK('Q 5'!C308),"",IF('Q 5'!C308="&lt;please select&gt;","",'Q 5'!C308))</f>
        <v>Category A installation</v>
      </c>
    </row>
    <row r="1145" spans="1:11" x14ac:dyDescent="0.3">
      <c r="A1145" t="s">
        <v>1847</v>
      </c>
      <c r="B1145" t="s">
        <v>1855</v>
      </c>
      <c r="C1145">
        <v>107</v>
      </c>
      <c r="D1145" t="s">
        <v>1447</v>
      </c>
      <c r="E1145" t="s">
        <v>1856</v>
      </c>
      <c r="F1145" t="s">
        <v>1737</v>
      </c>
      <c r="K1145" t="str">
        <f>IF(ISBLANK('Q 5'!C309),"",IF('Q 5'!C309="&lt;please select&gt;","",'Q 5'!C309))</f>
        <v>Category A installation</v>
      </c>
    </row>
    <row r="1146" spans="1:11" x14ac:dyDescent="0.3">
      <c r="A1146" t="s">
        <v>1847</v>
      </c>
      <c r="B1146" t="s">
        <v>1855</v>
      </c>
      <c r="C1146">
        <v>108</v>
      </c>
      <c r="D1146" t="s">
        <v>1447</v>
      </c>
      <c r="E1146" t="s">
        <v>1856</v>
      </c>
      <c r="F1146" t="s">
        <v>1737</v>
      </c>
      <c r="K1146" t="str">
        <f>IF(ISBLANK('Q 5'!C310),"",IF('Q 5'!C310="&lt;please select&gt;","",'Q 5'!C310))</f>
        <v>Category A installation</v>
      </c>
    </row>
    <row r="1147" spans="1:11" x14ac:dyDescent="0.3">
      <c r="A1147" t="s">
        <v>1847</v>
      </c>
      <c r="B1147" t="s">
        <v>1855</v>
      </c>
      <c r="C1147">
        <v>109</v>
      </c>
      <c r="D1147" t="s">
        <v>1447</v>
      </c>
      <c r="E1147" t="s">
        <v>1856</v>
      </c>
      <c r="F1147" t="s">
        <v>1737</v>
      </c>
      <c r="K1147" t="str">
        <f>IF(ISBLANK('Q 5'!C311),"",IF('Q 5'!C311="&lt;please select&gt;","",'Q 5'!C311))</f>
        <v>Category A installation</v>
      </c>
    </row>
    <row r="1148" spans="1:11" x14ac:dyDescent="0.3">
      <c r="A1148" t="s">
        <v>1847</v>
      </c>
      <c r="B1148" t="s">
        <v>1855</v>
      </c>
      <c r="C1148">
        <v>110</v>
      </c>
      <c r="D1148" t="s">
        <v>1447</v>
      </c>
      <c r="E1148" t="s">
        <v>1856</v>
      </c>
      <c r="F1148" t="s">
        <v>1737</v>
      </c>
      <c r="K1148" t="str">
        <f>IF(ISBLANK('Q 5'!C312),"",IF('Q 5'!C312="&lt;please select&gt;","",'Q 5'!C312))</f>
        <v>Category A installation</v>
      </c>
    </row>
    <row r="1149" spans="1:11" x14ac:dyDescent="0.3">
      <c r="A1149" t="s">
        <v>1847</v>
      </c>
      <c r="B1149" t="s">
        <v>1855</v>
      </c>
      <c r="C1149">
        <v>111</v>
      </c>
      <c r="D1149" t="s">
        <v>1447</v>
      </c>
      <c r="E1149" t="s">
        <v>1856</v>
      </c>
      <c r="F1149" t="s">
        <v>1737</v>
      </c>
      <c r="K1149" t="str">
        <f>IF(ISBLANK('Q 5'!C313),"",IF('Q 5'!C313="&lt;please select&gt;","",'Q 5'!C313))</f>
        <v>Category A installation</v>
      </c>
    </row>
    <row r="1150" spans="1:11" x14ac:dyDescent="0.3">
      <c r="A1150" t="s">
        <v>1847</v>
      </c>
      <c r="B1150" t="s">
        <v>1855</v>
      </c>
      <c r="C1150">
        <v>112</v>
      </c>
      <c r="D1150" t="s">
        <v>1447</v>
      </c>
      <c r="E1150" t="s">
        <v>1856</v>
      </c>
      <c r="F1150" t="s">
        <v>1737</v>
      </c>
      <c r="K1150" t="str">
        <f>IF(ISBLANK('Q 5'!C314),"",IF('Q 5'!C314="&lt;please select&gt;","",'Q 5'!C314))</f>
        <v>Category A installation</v>
      </c>
    </row>
    <row r="1151" spans="1:11" x14ac:dyDescent="0.3">
      <c r="A1151" t="s">
        <v>1847</v>
      </c>
      <c r="B1151" t="s">
        <v>1855</v>
      </c>
      <c r="C1151">
        <v>113</v>
      </c>
      <c r="D1151" t="s">
        <v>1447</v>
      </c>
      <c r="E1151" t="s">
        <v>1856</v>
      </c>
      <c r="F1151" t="s">
        <v>1737</v>
      </c>
      <c r="K1151" t="str">
        <f>IF(ISBLANK('Q 5'!C315),"",IF('Q 5'!C315="&lt;please select&gt;","",'Q 5'!C315))</f>
        <v>Category A installation</v>
      </c>
    </row>
    <row r="1152" spans="1:11" x14ac:dyDescent="0.3">
      <c r="A1152" t="s">
        <v>1847</v>
      </c>
      <c r="B1152" t="s">
        <v>1855</v>
      </c>
      <c r="C1152">
        <v>114</v>
      </c>
      <c r="D1152" t="s">
        <v>1447</v>
      </c>
      <c r="E1152" t="s">
        <v>1856</v>
      </c>
      <c r="F1152" t="s">
        <v>1737</v>
      </c>
      <c r="K1152" t="str">
        <f>IF(ISBLANK('Q 5'!C316),"",IF('Q 5'!C316="&lt;please select&gt;","",'Q 5'!C316))</f>
        <v>Category A installation</v>
      </c>
    </row>
    <row r="1153" spans="1:11" x14ac:dyDescent="0.3">
      <c r="A1153" t="s">
        <v>1847</v>
      </c>
      <c r="B1153" t="s">
        <v>1855</v>
      </c>
      <c r="C1153">
        <v>115</v>
      </c>
      <c r="D1153" t="s">
        <v>1447</v>
      </c>
      <c r="E1153" t="s">
        <v>1856</v>
      </c>
      <c r="F1153" t="s">
        <v>1737</v>
      </c>
      <c r="K1153" t="str">
        <f>IF(ISBLANK('Q 5'!C317),"",IF('Q 5'!C317="&lt;please select&gt;","",'Q 5'!C317))</f>
        <v>Category A installation</v>
      </c>
    </row>
    <row r="1154" spans="1:11" x14ac:dyDescent="0.3">
      <c r="A1154" t="s">
        <v>1847</v>
      </c>
      <c r="B1154" t="s">
        <v>1855</v>
      </c>
      <c r="C1154">
        <v>116</v>
      </c>
      <c r="D1154" t="s">
        <v>1447</v>
      </c>
      <c r="E1154" t="s">
        <v>1856</v>
      </c>
      <c r="F1154" t="s">
        <v>1737</v>
      </c>
      <c r="K1154" t="str">
        <f>IF(ISBLANK('Q 5'!C318),"",IF('Q 5'!C318="&lt;please select&gt;","",'Q 5'!C318))</f>
        <v>Category A installation</v>
      </c>
    </row>
    <row r="1155" spans="1:11" x14ac:dyDescent="0.3">
      <c r="A1155" t="s">
        <v>1847</v>
      </c>
      <c r="B1155" t="s">
        <v>1855</v>
      </c>
      <c r="C1155">
        <v>117</v>
      </c>
      <c r="D1155" t="s">
        <v>1447</v>
      </c>
      <c r="E1155" t="s">
        <v>1856</v>
      </c>
      <c r="F1155" t="s">
        <v>1737</v>
      </c>
      <c r="K1155" t="str">
        <f>IF(ISBLANK('Q 5'!C319),"",IF('Q 5'!C319="&lt;please select&gt;","",'Q 5'!C319))</f>
        <v>Category A installation</v>
      </c>
    </row>
    <row r="1156" spans="1:11" x14ac:dyDescent="0.3">
      <c r="A1156" t="s">
        <v>1847</v>
      </c>
      <c r="B1156" t="s">
        <v>1855</v>
      </c>
      <c r="C1156">
        <v>118</v>
      </c>
      <c r="D1156" t="s">
        <v>1447</v>
      </c>
      <c r="E1156" t="s">
        <v>1856</v>
      </c>
      <c r="F1156" t="s">
        <v>1737</v>
      </c>
      <c r="K1156" t="str">
        <f>IF(ISBLANK('Q 5'!C320),"",IF('Q 5'!C320="&lt;please select&gt;","",'Q 5'!C320))</f>
        <v>Category A installation</v>
      </c>
    </row>
    <row r="1157" spans="1:11" x14ac:dyDescent="0.3">
      <c r="A1157" t="s">
        <v>1847</v>
      </c>
      <c r="B1157" t="s">
        <v>1855</v>
      </c>
      <c r="C1157">
        <v>119</v>
      </c>
      <c r="D1157" t="s">
        <v>1447</v>
      </c>
      <c r="E1157" t="s">
        <v>1856</v>
      </c>
      <c r="F1157" t="s">
        <v>1737</v>
      </c>
      <c r="K1157" t="str">
        <f>IF(ISBLANK('Q 5'!C321),"",IF('Q 5'!C321="&lt;please select&gt;","",'Q 5'!C321))</f>
        <v>Category A installation</v>
      </c>
    </row>
    <row r="1158" spans="1:11" x14ac:dyDescent="0.3">
      <c r="A1158" t="s">
        <v>1847</v>
      </c>
      <c r="B1158" t="s">
        <v>1855</v>
      </c>
      <c r="C1158">
        <v>120</v>
      </c>
      <c r="D1158" t="s">
        <v>1447</v>
      </c>
      <c r="E1158" t="s">
        <v>1856</v>
      </c>
      <c r="F1158" t="s">
        <v>1737</v>
      </c>
      <c r="K1158" t="str">
        <f>IF(ISBLANK('Q 5'!C322),"",IF('Q 5'!C322="&lt;please select&gt;","",'Q 5'!C322))</f>
        <v>Category A installation</v>
      </c>
    </row>
    <row r="1159" spans="1:11" x14ac:dyDescent="0.3">
      <c r="A1159" t="s">
        <v>1847</v>
      </c>
      <c r="B1159" t="s">
        <v>1855</v>
      </c>
      <c r="C1159">
        <v>121</v>
      </c>
      <c r="D1159" t="s">
        <v>1447</v>
      </c>
      <c r="E1159" t="s">
        <v>1856</v>
      </c>
      <c r="F1159" t="s">
        <v>1737</v>
      </c>
      <c r="K1159" t="str">
        <f>IF(ISBLANK('Q 5'!C323),"",IF('Q 5'!C323="&lt;please select&gt;","",'Q 5'!C323))</f>
        <v>Category A installation</v>
      </c>
    </row>
    <row r="1160" spans="1:11" x14ac:dyDescent="0.3">
      <c r="A1160" t="s">
        <v>1847</v>
      </c>
      <c r="B1160" t="s">
        <v>1855</v>
      </c>
      <c r="C1160">
        <v>122</v>
      </c>
      <c r="D1160" t="s">
        <v>1447</v>
      </c>
      <c r="E1160" t="s">
        <v>1856</v>
      </c>
      <c r="F1160" t="s">
        <v>1737</v>
      </c>
      <c r="K1160" t="str">
        <f>IF(ISBLANK('Q 5'!C324),"",IF('Q 5'!C324="&lt;please select&gt;","",'Q 5'!C324))</f>
        <v>Category A installation</v>
      </c>
    </row>
    <row r="1161" spans="1:11" x14ac:dyDescent="0.3">
      <c r="A1161" t="s">
        <v>1847</v>
      </c>
      <c r="B1161" t="s">
        <v>1855</v>
      </c>
      <c r="C1161">
        <v>123</v>
      </c>
      <c r="D1161" t="s">
        <v>1447</v>
      </c>
      <c r="E1161" t="s">
        <v>1856</v>
      </c>
      <c r="F1161" t="s">
        <v>1737</v>
      </c>
      <c r="K1161" t="str">
        <f>IF(ISBLANK('Q 5'!C325),"",IF('Q 5'!C325="&lt;please select&gt;","",'Q 5'!C325))</f>
        <v>Category A installation</v>
      </c>
    </row>
    <row r="1162" spans="1:11" x14ac:dyDescent="0.3">
      <c r="A1162" t="s">
        <v>1847</v>
      </c>
      <c r="B1162" t="s">
        <v>1855</v>
      </c>
      <c r="C1162">
        <v>124</v>
      </c>
      <c r="D1162" t="s">
        <v>1447</v>
      </c>
      <c r="E1162" t="s">
        <v>1856</v>
      </c>
      <c r="F1162" t="s">
        <v>1737</v>
      </c>
      <c r="K1162" t="str">
        <f>IF(ISBLANK('Q 5'!C326),"",IF('Q 5'!C326="&lt;please select&gt;","",'Q 5'!C326))</f>
        <v>Category A installation</v>
      </c>
    </row>
    <row r="1163" spans="1:11" x14ac:dyDescent="0.3">
      <c r="A1163" t="s">
        <v>1847</v>
      </c>
      <c r="B1163" t="s">
        <v>1855</v>
      </c>
      <c r="C1163">
        <v>125</v>
      </c>
      <c r="D1163" t="s">
        <v>1447</v>
      </c>
      <c r="E1163" t="s">
        <v>1856</v>
      </c>
      <c r="F1163" t="s">
        <v>1737</v>
      </c>
      <c r="K1163" t="str">
        <f>IF(ISBLANK('Q 5'!C327),"",IF('Q 5'!C327="&lt;please select&gt;","",'Q 5'!C327))</f>
        <v>Category A installation</v>
      </c>
    </row>
    <row r="1164" spans="1:11" x14ac:dyDescent="0.3">
      <c r="A1164" t="s">
        <v>1847</v>
      </c>
      <c r="B1164" t="s">
        <v>1855</v>
      </c>
      <c r="C1164">
        <v>126</v>
      </c>
      <c r="D1164" t="s">
        <v>1447</v>
      </c>
      <c r="E1164" t="s">
        <v>1856</v>
      </c>
      <c r="F1164" t="s">
        <v>1737</v>
      </c>
      <c r="K1164" t="str">
        <f>IF(ISBLANK('Q 5'!C328),"",IF('Q 5'!C328="&lt;please select&gt;","",'Q 5'!C328))</f>
        <v>Category A installation</v>
      </c>
    </row>
    <row r="1165" spans="1:11" x14ac:dyDescent="0.3">
      <c r="A1165" t="s">
        <v>1847</v>
      </c>
      <c r="B1165" t="s">
        <v>1855</v>
      </c>
      <c r="C1165">
        <v>127</v>
      </c>
      <c r="D1165" t="s">
        <v>1447</v>
      </c>
      <c r="E1165" t="s">
        <v>1856</v>
      </c>
      <c r="F1165" t="s">
        <v>1737</v>
      </c>
      <c r="K1165" t="str">
        <f>IF(ISBLANK('Q 5'!C329),"",IF('Q 5'!C329="&lt;please select&gt;","",'Q 5'!C329))</f>
        <v>Category B installation</v>
      </c>
    </row>
    <row r="1166" spans="1:11" x14ac:dyDescent="0.3">
      <c r="A1166" t="s">
        <v>1847</v>
      </c>
      <c r="B1166" t="s">
        <v>1855</v>
      </c>
      <c r="C1166">
        <v>128</v>
      </c>
      <c r="D1166" t="s">
        <v>1447</v>
      </c>
      <c r="E1166" t="s">
        <v>1856</v>
      </c>
      <c r="F1166" t="s">
        <v>1737</v>
      </c>
      <c r="K1166" t="str">
        <f>IF(ISBLANK('Q 5'!C330),"",IF('Q 5'!C330="&lt;please select&gt;","",'Q 5'!C330))</f>
        <v>Category B installation</v>
      </c>
    </row>
    <row r="1167" spans="1:11" x14ac:dyDescent="0.3">
      <c r="A1167" t="s">
        <v>1847</v>
      </c>
      <c r="B1167" t="s">
        <v>1855</v>
      </c>
      <c r="C1167">
        <v>129</v>
      </c>
      <c r="D1167" t="s">
        <v>1447</v>
      </c>
      <c r="E1167" t="s">
        <v>1856</v>
      </c>
      <c r="F1167" t="s">
        <v>1737</v>
      </c>
      <c r="K1167" t="str">
        <f>IF(ISBLANK('Q 5'!C331),"",IF('Q 5'!C331="&lt;please select&gt;","",'Q 5'!C331))</f>
        <v>Category B installation</v>
      </c>
    </row>
    <row r="1168" spans="1:11" x14ac:dyDescent="0.3">
      <c r="A1168" t="s">
        <v>1847</v>
      </c>
      <c r="B1168" t="s">
        <v>1855</v>
      </c>
      <c r="C1168">
        <v>130</v>
      </c>
      <c r="D1168" t="s">
        <v>1447</v>
      </c>
      <c r="E1168" t="s">
        <v>1856</v>
      </c>
      <c r="F1168" t="s">
        <v>1737</v>
      </c>
      <c r="K1168" t="str">
        <f>IF(ISBLANK('Q 5'!C332),"",IF('Q 5'!C332="&lt;please select&gt;","",'Q 5'!C332))</f>
        <v>Category B installation</v>
      </c>
    </row>
    <row r="1169" spans="1:11" x14ac:dyDescent="0.3">
      <c r="A1169" t="s">
        <v>1847</v>
      </c>
      <c r="B1169" t="s">
        <v>1855</v>
      </c>
      <c r="C1169">
        <v>131</v>
      </c>
      <c r="D1169" t="s">
        <v>1447</v>
      </c>
      <c r="E1169" t="s">
        <v>1856</v>
      </c>
      <c r="F1169" t="s">
        <v>1737</v>
      </c>
      <c r="K1169" t="str">
        <f>IF(ISBLANK('Q 5'!C333),"",IF('Q 5'!C333="&lt;please select&gt;","",'Q 5'!C333))</f>
        <v>Category B installation</v>
      </c>
    </row>
    <row r="1170" spans="1:11" x14ac:dyDescent="0.3">
      <c r="A1170" t="s">
        <v>1847</v>
      </c>
      <c r="B1170" t="s">
        <v>1855</v>
      </c>
      <c r="C1170">
        <v>132</v>
      </c>
      <c r="D1170" t="s">
        <v>1447</v>
      </c>
      <c r="E1170" t="s">
        <v>1856</v>
      </c>
      <c r="F1170" t="s">
        <v>1737</v>
      </c>
      <c r="K1170" t="str">
        <f>IF(ISBLANK('Q 5'!C334),"",IF('Q 5'!C334="&lt;please select&gt;","",'Q 5'!C334))</f>
        <v>Category B installation</v>
      </c>
    </row>
    <row r="1171" spans="1:11" x14ac:dyDescent="0.3">
      <c r="A1171" t="s">
        <v>1847</v>
      </c>
      <c r="B1171" t="s">
        <v>1855</v>
      </c>
      <c r="C1171">
        <v>133</v>
      </c>
      <c r="D1171" t="s">
        <v>1447</v>
      </c>
      <c r="E1171" t="s">
        <v>1856</v>
      </c>
      <c r="F1171" t="s">
        <v>1737</v>
      </c>
      <c r="K1171" t="str">
        <f>IF(ISBLANK('Q 5'!C335),"",IF('Q 5'!C335="&lt;please select&gt;","",'Q 5'!C335))</f>
        <v>Category B installation</v>
      </c>
    </row>
    <row r="1172" spans="1:11" x14ac:dyDescent="0.3">
      <c r="A1172" t="s">
        <v>1847</v>
      </c>
      <c r="B1172" t="s">
        <v>1855</v>
      </c>
      <c r="C1172">
        <v>134</v>
      </c>
      <c r="D1172" t="s">
        <v>1447</v>
      </c>
      <c r="E1172" t="s">
        <v>1856</v>
      </c>
      <c r="F1172" t="s">
        <v>1737</v>
      </c>
      <c r="K1172" t="str">
        <f>IF(ISBLANK('Q 5'!C336),"",IF('Q 5'!C336="&lt;please select&gt;","",'Q 5'!C336))</f>
        <v>Category B installation</v>
      </c>
    </row>
    <row r="1173" spans="1:11" x14ac:dyDescent="0.3">
      <c r="A1173" t="s">
        <v>1847</v>
      </c>
      <c r="B1173" t="s">
        <v>1855</v>
      </c>
      <c r="C1173">
        <v>135</v>
      </c>
      <c r="D1173" t="s">
        <v>1447</v>
      </c>
      <c r="E1173" t="s">
        <v>1856</v>
      </c>
      <c r="F1173" t="s">
        <v>1737</v>
      </c>
      <c r="K1173" t="str">
        <f>IF(ISBLANK('Q 5'!C337),"",IF('Q 5'!C337="&lt;please select&gt;","",'Q 5'!C337))</f>
        <v>Category B installation</v>
      </c>
    </row>
    <row r="1174" spans="1:11" x14ac:dyDescent="0.3">
      <c r="A1174" t="s">
        <v>1847</v>
      </c>
      <c r="B1174" t="s">
        <v>1855</v>
      </c>
      <c r="C1174">
        <v>136</v>
      </c>
      <c r="D1174" t="s">
        <v>1447</v>
      </c>
      <c r="E1174" t="s">
        <v>1856</v>
      </c>
      <c r="F1174" t="s">
        <v>1737</v>
      </c>
      <c r="K1174" t="str">
        <f>IF(ISBLANK('Q 5'!C338),"",IF('Q 5'!C338="&lt;please select&gt;","",'Q 5'!C338))</f>
        <v>Category B installation</v>
      </c>
    </row>
    <row r="1175" spans="1:11" x14ac:dyDescent="0.3">
      <c r="A1175" t="s">
        <v>1847</v>
      </c>
      <c r="B1175" t="s">
        <v>1855</v>
      </c>
      <c r="C1175">
        <v>137</v>
      </c>
      <c r="D1175" t="s">
        <v>1447</v>
      </c>
      <c r="E1175" t="s">
        <v>1856</v>
      </c>
      <c r="F1175" t="s">
        <v>1737</v>
      </c>
      <c r="K1175" t="str">
        <f>IF(ISBLANK('Q 5'!C339),"",IF('Q 5'!C339="&lt;please select&gt;","",'Q 5'!C339))</f>
        <v>Category B installation</v>
      </c>
    </row>
    <row r="1176" spans="1:11" x14ac:dyDescent="0.3">
      <c r="A1176" t="s">
        <v>1847</v>
      </c>
      <c r="B1176" t="s">
        <v>1855</v>
      </c>
      <c r="C1176">
        <v>138</v>
      </c>
      <c r="D1176" t="s">
        <v>1447</v>
      </c>
      <c r="E1176" t="s">
        <v>1856</v>
      </c>
      <c r="F1176" t="s">
        <v>1737</v>
      </c>
      <c r="K1176" t="str">
        <f>IF(ISBLANK('Q 5'!C340),"",IF('Q 5'!C340="&lt;please select&gt;","",'Q 5'!C340))</f>
        <v>Category B installation</v>
      </c>
    </row>
    <row r="1177" spans="1:11" x14ac:dyDescent="0.3">
      <c r="A1177" t="s">
        <v>1847</v>
      </c>
      <c r="B1177" t="s">
        <v>1855</v>
      </c>
      <c r="C1177">
        <v>139</v>
      </c>
      <c r="D1177" t="s">
        <v>1447</v>
      </c>
      <c r="E1177" t="s">
        <v>1856</v>
      </c>
      <c r="F1177" t="s">
        <v>1737</v>
      </c>
      <c r="K1177" t="str">
        <f>IF(ISBLANK('Q 5'!C341),"",IF('Q 5'!C341="&lt;please select&gt;","",'Q 5'!C341))</f>
        <v>Category B installation</v>
      </c>
    </row>
    <row r="1178" spans="1:11" x14ac:dyDescent="0.3">
      <c r="A1178" t="s">
        <v>1847</v>
      </c>
      <c r="B1178" t="s">
        <v>1855</v>
      </c>
      <c r="C1178">
        <v>140</v>
      </c>
      <c r="D1178" t="s">
        <v>1447</v>
      </c>
      <c r="E1178" t="s">
        <v>1856</v>
      </c>
      <c r="F1178" t="s">
        <v>1737</v>
      </c>
      <c r="K1178" t="str">
        <f>IF(ISBLANK('Q 5'!C342),"",IF('Q 5'!C342="&lt;please select&gt;","",'Q 5'!C342))</f>
        <v>Category B installation</v>
      </c>
    </row>
    <row r="1179" spans="1:11" x14ac:dyDescent="0.3">
      <c r="A1179" t="s">
        <v>1847</v>
      </c>
      <c r="B1179" t="s">
        <v>1855</v>
      </c>
      <c r="C1179">
        <v>141</v>
      </c>
      <c r="D1179" t="s">
        <v>1447</v>
      </c>
      <c r="E1179" t="s">
        <v>1856</v>
      </c>
      <c r="F1179" t="s">
        <v>1737</v>
      </c>
      <c r="K1179" t="str">
        <f>IF(ISBLANK('Q 5'!C343),"",IF('Q 5'!C343="&lt;please select&gt;","",'Q 5'!C343))</f>
        <v>Category B installation</v>
      </c>
    </row>
    <row r="1180" spans="1:11" x14ac:dyDescent="0.3">
      <c r="A1180" t="s">
        <v>1847</v>
      </c>
      <c r="B1180" t="s">
        <v>1855</v>
      </c>
      <c r="C1180">
        <v>142</v>
      </c>
      <c r="D1180" t="s">
        <v>1447</v>
      </c>
      <c r="E1180" t="s">
        <v>1856</v>
      </c>
      <c r="F1180" t="s">
        <v>1737</v>
      </c>
      <c r="K1180" t="str">
        <f>IF(ISBLANK('Q 5'!C344),"",IF('Q 5'!C344="&lt;please select&gt;","",'Q 5'!C344))</f>
        <v>Category B installation</v>
      </c>
    </row>
    <row r="1181" spans="1:11" x14ac:dyDescent="0.3">
      <c r="A1181" t="s">
        <v>1847</v>
      </c>
      <c r="B1181" t="s">
        <v>1855</v>
      </c>
      <c r="C1181">
        <v>143</v>
      </c>
      <c r="D1181" t="s">
        <v>1447</v>
      </c>
      <c r="E1181" t="s">
        <v>1856</v>
      </c>
      <c r="F1181" t="s">
        <v>1737</v>
      </c>
      <c r="K1181" t="str">
        <f>IF(ISBLANK('Q 5'!C345),"",IF('Q 5'!C345="&lt;please select&gt;","",'Q 5'!C345))</f>
        <v>Category B installation</v>
      </c>
    </row>
    <row r="1182" spans="1:11" x14ac:dyDescent="0.3">
      <c r="A1182" t="s">
        <v>1847</v>
      </c>
      <c r="B1182" t="s">
        <v>1855</v>
      </c>
      <c r="C1182">
        <v>144</v>
      </c>
      <c r="D1182" t="s">
        <v>1447</v>
      </c>
      <c r="E1182" t="s">
        <v>1856</v>
      </c>
      <c r="F1182" t="s">
        <v>1737</v>
      </c>
      <c r="K1182" t="str">
        <f>IF(ISBLANK('Q 5'!C346),"",IF('Q 5'!C346="&lt;please select&gt;","",'Q 5'!C346))</f>
        <v>Category B installation</v>
      </c>
    </row>
    <row r="1183" spans="1:11" x14ac:dyDescent="0.3">
      <c r="A1183" t="s">
        <v>1847</v>
      </c>
      <c r="B1183" t="s">
        <v>1855</v>
      </c>
      <c r="C1183">
        <v>145</v>
      </c>
      <c r="D1183" t="s">
        <v>1447</v>
      </c>
      <c r="E1183" t="s">
        <v>1856</v>
      </c>
      <c r="F1183" t="s">
        <v>1737</v>
      </c>
      <c r="K1183" t="str">
        <f>IF(ISBLANK('Q 5'!C347),"",IF('Q 5'!C347="&lt;please select&gt;","",'Q 5'!C347))</f>
        <v>Category B installation</v>
      </c>
    </row>
    <row r="1184" spans="1:11" x14ac:dyDescent="0.3">
      <c r="A1184" t="s">
        <v>1847</v>
      </c>
      <c r="B1184" t="s">
        <v>1855</v>
      </c>
      <c r="C1184">
        <v>146</v>
      </c>
      <c r="D1184" t="s">
        <v>1447</v>
      </c>
      <c r="E1184" t="s">
        <v>1856</v>
      </c>
      <c r="F1184" t="s">
        <v>1737</v>
      </c>
      <c r="K1184" t="str">
        <f>IF(ISBLANK('Q 5'!C348),"",IF('Q 5'!C348="&lt;please select&gt;","",'Q 5'!C348))</f>
        <v>Category B installation</v>
      </c>
    </row>
    <row r="1185" spans="1:11" x14ac:dyDescent="0.3">
      <c r="A1185" t="s">
        <v>1847</v>
      </c>
      <c r="B1185" t="s">
        <v>1855</v>
      </c>
      <c r="C1185">
        <v>147</v>
      </c>
      <c r="D1185" t="s">
        <v>1447</v>
      </c>
      <c r="E1185" t="s">
        <v>1856</v>
      </c>
      <c r="F1185" t="s">
        <v>1737</v>
      </c>
      <c r="K1185" t="str">
        <f>IF(ISBLANK('Q 5'!C349),"",IF('Q 5'!C349="&lt;please select&gt;","",'Q 5'!C349))</f>
        <v>Category B installation</v>
      </c>
    </row>
    <row r="1186" spans="1:11" x14ac:dyDescent="0.3">
      <c r="A1186" t="s">
        <v>1847</v>
      </c>
      <c r="B1186" t="s">
        <v>1855</v>
      </c>
      <c r="C1186">
        <v>148</v>
      </c>
      <c r="D1186" t="s">
        <v>1447</v>
      </c>
      <c r="E1186" t="s">
        <v>1856</v>
      </c>
      <c r="F1186" t="s">
        <v>1737</v>
      </c>
      <c r="K1186" t="str">
        <f>IF(ISBLANK('Q 5'!C350),"",IF('Q 5'!C350="&lt;please select&gt;","",'Q 5'!C350))</f>
        <v>Category B installation</v>
      </c>
    </row>
    <row r="1187" spans="1:11" x14ac:dyDescent="0.3">
      <c r="A1187" t="s">
        <v>1847</v>
      </c>
      <c r="B1187" t="s">
        <v>1855</v>
      </c>
      <c r="C1187">
        <v>149</v>
      </c>
      <c r="D1187" t="s">
        <v>1447</v>
      </c>
      <c r="E1187" t="s">
        <v>1856</v>
      </c>
      <c r="F1187" t="s">
        <v>1737</v>
      </c>
      <c r="K1187" t="str">
        <f>IF(ISBLANK('Q 5'!C351),"",IF('Q 5'!C351="&lt;please select&gt;","",'Q 5'!C351))</f>
        <v>Category B installation</v>
      </c>
    </row>
    <row r="1188" spans="1:11" x14ac:dyDescent="0.3">
      <c r="A1188" t="s">
        <v>1847</v>
      </c>
      <c r="B1188" t="s">
        <v>1855</v>
      </c>
      <c r="C1188">
        <v>150</v>
      </c>
      <c r="D1188" t="s">
        <v>1447</v>
      </c>
      <c r="E1188" t="s">
        <v>1856</v>
      </c>
      <c r="F1188" t="s">
        <v>1737</v>
      </c>
      <c r="K1188" t="str">
        <f>IF(ISBLANK('Q 5'!C352),"",IF('Q 5'!C352="&lt;please select&gt;","",'Q 5'!C352))</f>
        <v>Category B installation</v>
      </c>
    </row>
    <row r="1189" spans="1:11" x14ac:dyDescent="0.3">
      <c r="A1189" t="s">
        <v>1847</v>
      </c>
      <c r="B1189" t="s">
        <v>1855</v>
      </c>
      <c r="C1189">
        <v>151</v>
      </c>
      <c r="D1189" t="s">
        <v>1447</v>
      </c>
      <c r="E1189" t="s">
        <v>1856</v>
      </c>
      <c r="F1189" t="s">
        <v>1737</v>
      </c>
      <c r="K1189" t="str">
        <f>IF(ISBLANK('Q 5'!C353),"",IF('Q 5'!C353="&lt;please select&gt;","",'Q 5'!C353))</f>
        <v>Category B installation</v>
      </c>
    </row>
    <row r="1190" spans="1:11" x14ac:dyDescent="0.3">
      <c r="A1190" t="s">
        <v>1847</v>
      </c>
      <c r="B1190" t="s">
        <v>1855</v>
      </c>
      <c r="C1190">
        <v>152</v>
      </c>
      <c r="D1190" t="s">
        <v>1447</v>
      </c>
      <c r="E1190" t="s">
        <v>1856</v>
      </c>
      <c r="F1190" t="s">
        <v>1737</v>
      </c>
      <c r="K1190" t="str">
        <f>IF(ISBLANK('Q 5'!C354),"",IF('Q 5'!C354="&lt;please select&gt;","",'Q 5'!C354))</f>
        <v>Category B installation</v>
      </c>
    </row>
    <row r="1191" spans="1:11" x14ac:dyDescent="0.3">
      <c r="A1191" t="s">
        <v>1847</v>
      </c>
      <c r="B1191" t="s">
        <v>1855</v>
      </c>
      <c r="C1191">
        <v>153</v>
      </c>
      <c r="D1191" t="s">
        <v>1447</v>
      </c>
      <c r="E1191" t="s">
        <v>1856</v>
      </c>
      <c r="F1191" t="s">
        <v>1737</v>
      </c>
      <c r="K1191" t="str">
        <f>IF(ISBLANK('Q 5'!C355),"",IF('Q 5'!C355="&lt;please select&gt;","",'Q 5'!C355))</f>
        <v>Category B installation</v>
      </c>
    </row>
    <row r="1192" spans="1:11" x14ac:dyDescent="0.3">
      <c r="A1192" t="s">
        <v>1847</v>
      </c>
      <c r="B1192" t="s">
        <v>1855</v>
      </c>
      <c r="C1192">
        <v>154</v>
      </c>
      <c r="D1192" t="s">
        <v>1447</v>
      </c>
      <c r="E1192" t="s">
        <v>1856</v>
      </c>
      <c r="F1192" t="s">
        <v>1737</v>
      </c>
      <c r="K1192" t="str">
        <f>IF(ISBLANK('Q 5'!C356),"",IF('Q 5'!C356="&lt;please select&gt;","",'Q 5'!C356))</f>
        <v>Category B installation</v>
      </c>
    </row>
    <row r="1193" spans="1:11" x14ac:dyDescent="0.3">
      <c r="A1193" t="s">
        <v>1847</v>
      </c>
      <c r="B1193" t="s">
        <v>1855</v>
      </c>
      <c r="C1193">
        <v>155</v>
      </c>
      <c r="D1193" t="s">
        <v>1447</v>
      </c>
      <c r="E1193" t="s">
        <v>1856</v>
      </c>
      <c r="F1193" t="s">
        <v>1737</v>
      </c>
      <c r="K1193" t="str">
        <f>IF(ISBLANK('Q 5'!C357),"",IF('Q 5'!C357="&lt;please select&gt;","",'Q 5'!C357))</f>
        <v>Category B installation</v>
      </c>
    </row>
    <row r="1194" spans="1:11" x14ac:dyDescent="0.3">
      <c r="A1194" t="s">
        <v>1847</v>
      </c>
      <c r="B1194" t="s">
        <v>1855</v>
      </c>
      <c r="C1194">
        <v>156</v>
      </c>
      <c r="D1194" t="s">
        <v>1447</v>
      </c>
      <c r="E1194" t="s">
        <v>1856</v>
      </c>
      <c r="F1194" t="s">
        <v>1737</v>
      </c>
      <c r="K1194" t="str">
        <f>IF(ISBLANK('Q 5'!C358),"",IF('Q 5'!C358="&lt;please select&gt;","",'Q 5'!C358))</f>
        <v>Category B installation</v>
      </c>
    </row>
    <row r="1195" spans="1:11" x14ac:dyDescent="0.3">
      <c r="A1195" t="s">
        <v>1847</v>
      </c>
      <c r="B1195" t="s">
        <v>1855</v>
      </c>
      <c r="C1195">
        <v>157</v>
      </c>
      <c r="D1195" t="s">
        <v>1447</v>
      </c>
      <c r="E1195" t="s">
        <v>1856</v>
      </c>
      <c r="F1195" t="s">
        <v>1737</v>
      </c>
      <c r="K1195" t="str">
        <f>IF(ISBLANK('Q 5'!C359),"",IF('Q 5'!C359="&lt;please select&gt;","",'Q 5'!C359))</f>
        <v>Category B installation</v>
      </c>
    </row>
    <row r="1196" spans="1:11" x14ac:dyDescent="0.3">
      <c r="A1196" t="s">
        <v>1847</v>
      </c>
      <c r="B1196" t="s">
        <v>1855</v>
      </c>
      <c r="C1196">
        <v>158</v>
      </c>
      <c r="D1196" t="s">
        <v>1447</v>
      </c>
      <c r="E1196" t="s">
        <v>1856</v>
      </c>
      <c r="F1196" t="s">
        <v>1737</v>
      </c>
      <c r="K1196" t="str">
        <f>IF(ISBLANK('Q 5'!C360),"",IF('Q 5'!C360="&lt;please select&gt;","",'Q 5'!C360))</f>
        <v>Category B installation</v>
      </c>
    </row>
    <row r="1197" spans="1:11" x14ac:dyDescent="0.3">
      <c r="A1197" t="s">
        <v>1847</v>
      </c>
      <c r="B1197" t="s">
        <v>1855</v>
      </c>
      <c r="C1197">
        <v>159</v>
      </c>
      <c r="D1197" t="s">
        <v>1447</v>
      </c>
      <c r="E1197" t="s">
        <v>1856</v>
      </c>
      <c r="F1197" t="s">
        <v>1737</v>
      </c>
      <c r="K1197" t="str">
        <f>IF(ISBLANK('Q 5'!C361),"",IF('Q 5'!C361="&lt;please select&gt;","",'Q 5'!C361))</f>
        <v>Category B installation</v>
      </c>
    </row>
    <row r="1198" spans="1:11" x14ac:dyDescent="0.3">
      <c r="A1198" t="s">
        <v>1847</v>
      </c>
      <c r="B1198" t="s">
        <v>1855</v>
      </c>
      <c r="C1198">
        <v>160</v>
      </c>
      <c r="D1198" t="s">
        <v>1447</v>
      </c>
      <c r="E1198" t="s">
        <v>1856</v>
      </c>
      <c r="F1198" t="s">
        <v>1737</v>
      </c>
      <c r="K1198" t="str">
        <f>IF(ISBLANK('Q 5'!C362),"",IF('Q 5'!C362="&lt;please select&gt;","",'Q 5'!C362))</f>
        <v>Category B installation</v>
      </c>
    </row>
    <row r="1199" spans="1:11" x14ac:dyDescent="0.3">
      <c r="A1199" t="s">
        <v>1847</v>
      </c>
      <c r="B1199" t="s">
        <v>1855</v>
      </c>
      <c r="C1199">
        <v>161</v>
      </c>
      <c r="D1199" t="s">
        <v>1447</v>
      </c>
      <c r="E1199" t="s">
        <v>1856</v>
      </c>
      <c r="F1199" t="s">
        <v>1737</v>
      </c>
      <c r="K1199" t="str">
        <f>IF(ISBLANK('Q 5'!C363),"",IF('Q 5'!C363="&lt;please select&gt;","",'Q 5'!C363))</f>
        <v>Category B installation</v>
      </c>
    </row>
    <row r="1200" spans="1:11" x14ac:dyDescent="0.3">
      <c r="A1200" t="s">
        <v>1847</v>
      </c>
      <c r="B1200" t="s">
        <v>1855</v>
      </c>
      <c r="C1200">
        <v>162</v>
      </c>
      <c r="D1200" t="s">
        <v>1447</v>
      </c>
      <c r="E1200" t="s">
        <v>1856</v>
      </c>
      <c r="F1200" t="s">
        <v>1737</v>
      </c>
      <c r="K1200" t="str">
        <f>IF(ISBLANK('Q 5'!C364),"",IF('Q 5'!C364="&lt;please select&gt;","",'Q 5'!C364))</f>
        <v>Category B installation</v>
      </c>
    </row>
    <row r="1201" spans="1:11" x14ac:dyDescent="0.3">
      <c r="A1201" t="s">
        <v>1847</v>
      </c>
      <c r="B1201" t="s">
        <v>1855</v>
      </c>
      <c r="C1201">
        <v>163</v>
      </c>
      <c r="D1201" t="s">
        <v>1447</v>
      </c>
      <c r="E1201" t="s">
        <v>1856</v>
      </c>
      <c r="F1201" t="s">
        <v>1737</v>
      </c>
      <c r="K1201" t="str">
        <f>IF(ISBLANK('Q 5'!C365),"",IF('Q 5'!C365="&lt;please select&gt;","",'Q 5'!C365))</f>
        <v>Category B installation</v>
      </c>
    </row>
    <row r="1202" spans="1:11" x14ac:dyDescent="0.3">
      <c r="A1202" t="s">
        <v>1847</v>
      </c>
      <c r="B1202" t="s">
        <v>1855</v>
      </c>
      <c r="C1202">
        <v>164</v>
      </c>
      <c r="D1202" t="s">
        <v>1447</v>
      </c>
      <c r="E1202" t="s">
        <v>1856</v>
      </c>
      <c r="F1202" t="s">
        <v>1737</v>
      </c>
      <c r="K1202" t="str">
        <f>IF(ISBLANK('Q 5'!C366),"",IF('Q 5'!C366="&lt;please select&gt;","",'Q 5'!C366))</f>
        <v>Category B installation</v>
      </c>
    </row>
    <row r="1203" spans="1:11" x14ac:dyDescent="0.3">
      <c r="A1203" t="s">
        <v>1847</v>
      </c>
      <c r="B1203" t="s">
        <v>1855</v>
      </c>
      <c r="C1203">
        <v>165</v>
      </c>
      <c r="D1203" t="s">
        <v>1447</v>
      </c>
      <c r="E1203" t="s">
        <v>1856</v>
      </c>
      <c r="F1203" t="s">
        <v>1737</v>
      </c>
      <c r="K1203" t="str">
        <f>IF(ISBLANK('Q 5'!C367),"",IF('Q 5'!C367="&lt;please select&gt;","",'Q 5'!C367))</f>
        <v>Category B installation</v>
      </c>
    </row>
    <row r="1204" spans="1:11" x14ac:dyDescent="0.3">
      <c r="A1204" t="s">
        <v>1847</v>
      </c>
      <c r="B1204" t="s">
        <v>1855</v>
      </c>
      <c r="C1204">
        <v>166</v>
      </c>
      <c r="D1204" t="s">
        <v>1447</v>
      </c>
      <c r="E1204" t="s">
        <v>1856</v>
      </c>
      <c r="F1204" t="s">
        <v>1737</v>
      </c>
      <c r="K1204" t="str">
        <f>IF(ISBLANK('Q 5'!C368),"",IF('Q 5'!C368="&lt;please select&gt;","",'Q 5'!C368))</f>
        <v>Category B installation</v>
      </c>
    </row>
    <row r="1205" spans="1:11" x14ac:dyDescent="0.3">
      <c r="A1205" t="s">
        <v>1847</v>
      </c>
      <c r="B1205" t="s">
        <v>1855</v>
      </c>
      <c r="C1205">
        <v>167</v>
      </c>
      <c r="D1205" t="s">
        <v>1447</v>
      </c>
      <c r="E1205" t="s">
        <v>1856</v>
      </c>
      <c r="F1205" t="s">
        <v>1737</v>
      </c>
      <c r="K1205" t="str">
        <f>IF(ISBLANK('Q 5'!C369),"",IF('Q 5'!C369="&lt;please select&gt;","",'Q 5'!C369))</f>
        <v>Category B installation</v>
      </c>
    </row>
    <row r="1206" spans="1:11" x14ac:dyDescent="0.3">
      <c r="A1206" t="s">
        <v>1847</v>
      </c>
      <c r="B1206" t="s">
        <v>1855</v>
      </c>
      <c r="C1206">
        <v>168</v>
      </c>
      <c r="D1206" t="s">
        <v>1447</v>
      </c>
      <c r="E1206" t="s">
        <v>1856</v>
      </c>
      <c r="F1206" t="s">
        <v>1737</v>
      </c>
      <c r="K1206" t="str">
        <f>IF(ISBLANK('Q 5'!C370),"",IF('Q 5'!C370="&lt;please select&gt;","",'Q 5'!C370))</f>
        <v>Category B installation</v>
      </c>
    </row>
    <row r="1207" spans="1:11" x14ac:dyDescent="0.3">
      <c r="A1207" t="s">
        <v>1847</v>
      </c>
      <c r="B1207" t="s">
        <v>1855</v>
      </c>
      <c r="C1207">
        <v>169</v>
      </c>
      <c r="D1207" t="s">
        <v>1447</v>
      </c>
      <c r="E1207" t="s">
        <v>1856</v>
      </c>
      <c r="F1207" t="s">
        <v>1737</v>
      </c>
      <c r="K1207" t="str">
        <f>IF(ISBLANK('Q 5'!C371),"",IF('Q 5'!C371="&lt;please select&gt;","",'Q 5'!C371))</f>
        <v>Category B installation</v>
      </c>
    </row>
    <row r="1208" spans="1:11" x14ac:dyDescent="0.3">
      <c r="A1208" t="s">
        <v>1847</v>
      </c>
      <c r="B1208" t="s">
        <v>1855</v>
      </c>
      <c r="C1208">
        <v>170</v>
      </c>
      <c r="D1208" t="s">
        <v>1447</v>
      </c>
      <c r="E1208" t="s">
        <v>1856</v>
      </c>
      <c r="F1208" t="s">
        <v>1737</v>
      </c>
      <c r="K1208" t="str">
        <f>IF(ISBLANK('Q 5'!C372),"",IF('Q 5'!C372="&lt;please select&gt;","",'Q 5'!C372))</f>
        <v>Category B installation</v>
      </c>
    </row>
    <row r="1209" spans="1:11" x14ac:dyDescent="0.3">
      <c r="A1209" t="s">
        <v>1847</v>
      </c>
      <c r="B1209" t="s">
        <v>1855</v>
      </c>
      <c r="C1209">
        <v>171</v>
      </c>
      <c r="D1209" t="s">
        <v>1447</v>
      </c>
      <c r="E1209" t="s">
        <v>1856</v>
      </c>
      <c r="F1209" t="s">
        <v>1737</v>
      </c>
      <c r="K1209" t="str">
        <f>IF(ISBLANK('Q 5'!C373),"",IF('Q 5'!C373="&lt;please select&gt;","",'Q 5'!C373))</f>
        <v>Category B installation</v>
      </c>
    </row>
    <row r="1210" spans="1:11" x14ac:dyDescent="0.3">
      <c r="A1210" t="s">
        <v>1847</v>
      </c>
      <c r="B1210" t="s">
        <v>1855</v>
      </c>
      <c r="C1210">
        <v>172</v>
      </c>
      <c r="D1210" t="s">
        <v>1447</v>
      </c>
      <c r="E1210" t="s">
        <v>1856</v>
      </c>
      <c r="F1210" t="s">
        <v>1737</v>
      </c>
      <c r="K1210" t="str">
        <f>IF(ISBLANK('Q 5'!C374),"",IF('Q 5'!C374="&lt;please select&gt;","",'Q 5'!C374))</f>
        <v>Category B installation</v>
      </c>
    </row>
    <row r="1211" spans="1:11" x14ac:dyDescent="0.3">
      <c r="A1211" t="s">
        <v>1847</v>
      </c>
      <c r="B1211" t="s">
        <v>1855</v>
      </c>
      <c r="C1211">
        <v>173</v>
      </c>
      <c r="D1211" t="s">
        <v>1447</v>
      </c>
      <c r="E1211" t="s">
        <v>1856</v>
      </c>
      <c r="F1211" t="s">
        <v>1737</v>
      </c>
      <c r="K1211" t="str">
        <f>IF(ISBLANK('Q 5'!C375),"",IF('Q 5'!C375="&lt;please select&gt;","",'Q 5'!C375))</f>
        <v>Category B installation</v>
      </c>
    </row>
    <row r="1212" spans="1:11" x14ac:dyDescent="0.3">
      <c r="A1212" t="s">
        <v>1847</v>
      </c>
      <c r="B1212" t="s">
        <v>1855</v>
      </c>
      <c r="C1212">
        <v>174</v>
      </c>
      <c r="D1212" t="s">
        <v>1447</v>
      </c>
      <c r="E1212" t="s">
        <v>1856</v>
      </c>
      <c r="F1212" t="s">
        <v>1737</v>
      </c>
      <c r="K1212" t="str">
        <f>IF(ISBLANK('Q 5'!C376),"",IF('Q 5'!C376="&lt;please select&gt;","",'Q 5'!C376))</f>
        <v>Category B installation</v>
      </c>
    </row>
    <row r="1213" spans="1:11" x14ac:dyDescent="0.3">
      <c r="A1213" t="s">
        <v>1847</v>
      </c>
      <c r="B1213" t="s">
        <v>1855</v>
      </c>
      <c r="C1213">
        <v>175</v>
      </c>
      <c r="D1213" t="s">
        <v>1447</v>
      </c>
      <c r="E1213" t="s">
        <v>1856</v>
      </c>
      <c r="F1213" t="s">
        <v>1737</v>
      </c>
      <c r="K1213" t="str">
        <f>IF(ISBLANK('Q 5'!C377),"",IF('Q 5'!C377="&lt;please select&gt;","",'Q 5'!C377))</f>
        <v>Category B installation</v>
      </c>
    </row>
    <row r="1214" spans="1:11" x14ac:dyDescent="0.3">
      <c r="A1214" t="s">
        <v>1847</v>
      </c>
      <c r="B1214" t="s">
        <v>1855</v>
      </c>
      <c r="C1214">
        <v>176</v>
      </c>
      <c r="D1214" t="s">
        <v>1447</v>
      </c>
      <c r="E1214" t="s">
        <v>1856</v>
      </c>
      <c r="F1214" t="s">
        <v>1737</v>
      </c>
      <c r="K1214" t="str">
        <f>IF(ISBLANK('Q 5'!C378),"",IF('Q 5'!C378="&lt;please select&gt;","",'Q 5'!C378))</f>
        <v>Category B installation</v>
      </c>
    </row>
    <row r="1215" spans="1:11" x14ac:dyDescent="0.3">
      <c r="A1215" t="s">
        <v>1847</v>
      </c>
      <c r="B1215" t="s">
        <v>1855</v>
      </c>
      <c r="C1215">
        <v>177</v>
      </c>
      <c r="D1215" t="s">
        <v>1447</v>
      </c>
      <c r="E1215" t="s">
        <v>1856</v>
      </c>
      <c r="F1215" t="s">
        <v>1737</v>
      </c>
      <c r="K1215" t="str">
        <f>IF(ISBLANK('Q 5'!C379),"",IF('Q 5'!C379="&lt;please select&gt;","",'Q 5'!C379))</f>
        <v>Category B installation</v>
      </c>
    </row>
    <row r="1216" spans="1:11" x14ac:dyDescent="0.3">
      <c r="A1216" t="s">
        <v>1847</v>
      </c>
      <c r="B1216" t="s">
        <v>1855</v>
      </c>
      <c r="C1216">
        <v>178</v>
      </c>
      <c r="D1216" t="s">
        <v>1447</v>
      </c>
      <c r="E1216" t="s">
        <v>1856</v>
      </c>
      <c r="F1216" t="s">
        <v>1737</v>
      </c>
      <c r="K1216" t="str">
        <f>IF(ISBLANK('Q 5'!C380),"",IF('Q 5'!C380="&lt;please select&gt;","",'Q 5'!C380))</f>
        <v>Category C installation</v>
      </c>
    </row>
    <row r="1217" spans="1:11" x14ac:dyDescent="0.3">
      <c r="A1217" t="s">
        <v>1847</v>
      </c>
      <c r="B1217" t="s">
        <v>1855</v>
      </c>
      <c r="C1217">
        <v>179</v>
      </c>
      <c r="D1217" t="s">
        <v>1447</v>
      </c>
      <c r="E1217" t="s">
        <v>1856</v>
      </c>
      <c r="F1217" t="s">
        <v>1737</v>
      </c>
      <c r="K1217" t="str">
        <f>IF(ISBLANK('Q 5'!C381),"",IF('Q 5'!C381="&lt;please select&gt;","",'Q 5'!C381))</f>
        <v>Category C installation</v>
      </c>
    </row>
    <row r="1218" spans="1:11" x14ac:dyDescent="0.3">
      <c r="A1218" t="s">
        <v>1847</v>
      </c>
      <c r="B1218" t="s">
        <v>1855</v>
      </c>
      <c r="C1218">
        <v>180</v>
      </c>
      <c r="D1218" t="s">
        <v>1447</v>
      </c>
      <c r="E1218" t="s">
        <v>1856</v>
      </c>
      <c r="F1218" t="s">
        <v>1737</v>
      </c>
      <c r="K1218" t="str">
        <f>IF(ISBLANK('Q 5'!C382),"",IF('Q 5'!C382="&lt;please select&gt;","",'Q 5'!C382))</f>
        <v>Category C installation</v>
      </c>
    </row>
    <row r="1219" spans="1:11" x14ac:dyDescent="0.3">
      <c r="A1219" t="s">
        <v>1847</v>
      </c>
      <c r="B1219" t="s">
        <v>1855</v>
      </c>
      <c r="C1219">
        <v>181</v>
      </c>
      <c r="D1219" t="s">
        <v>1447</v>
      </c>
      <c r="E1219" t="s">
        <v>1856</v>
      </c>
      <c r="F1219" t="s">
        <v>1737</v>
      </c>
      <c r="K1219" t="str">
        <f>IF(ISBLANK('Q 5'!C383),"",IF('Q 5'!C383="&lt;please select&gt;","",'Q 5'!C383))</f>
        <v>Category C installation</v>
      </c>
    </row>
    <row r="1220" spans="1:11" x14ac:dyDescent="0.3">
      <c r="A1220" t="s">
        <v>1847</v>
      </c>
      <c r="B1220" t="s">
        <v>1855</v>
      </c>
      <c r="C1220">
        <v>182</v>
      </c>
      <c r="D1220" t="s">
        <v>1447</v>
      </c>
      <c r="E1220" t="s">
        <v>1856</v>
      </c>
      <c r="F1220" t="s">
        <v>1737</v>
      </c>
      <c r="K1220" t="str">
        <f>IF(ISBLANK('Q 5'!C384),"",IF('Q 5'!C384="&lt;please select&gt;","",'Q 5'!C384))</f>
        <v>Category C installation</v>
      </c>
    </row>
    <row r="1221" spans="1:11" x14ac:dyDescent="0.3">
      <c r="A1221" t="s">
        <v>1847</v>
      </c>
      <c r="B1221" t="s">
        <v>1855</v>
      </c>
      <c r="C1221">
        <v>183</v>
      </c>
      <c r="D1221" t="s">
        <v>1447</v>
      </c>
      <c r="E1221" t="s">
        <v>1856</v>
      </c>
      <c r="F1221" t="s">
        <v>1737</v>
      </c>
      <c r="K1221" t="str">
        <f>IF(ISBLANK('Q 5'!C385),"",IF('Q 5'!C385="&lt;please select&gt;","",'Q 5'!C385))</f>
        <v>Category C installation</v>
      </c>
    </row>
    <row r="1222" spans="1:11" x14ac:dyDescent="0.3">
      <c r="A1222" t="s">
        <v>1847</v>
      </c>
      <c r="B1222" t="s">
        <v>1855</v>
      </c>
      <c r="C1222">
        <v>184</v>
      </c>
      <c r="D1222" t="s">
        <v>1447</v>
      </c>
      <c r="E1222" t="s">
        <v>1856</v>
      </c>
      <c r="F1222" t="s">
        <v>1737</v>
      </c>
      <c r="K1222" t="str">
        <f>IF(ISBLANK('Q 5'!C386),"",IF('Q 5'!C386="&lt;please select&gt;","",'Q 5'!C386))</f>
        <v>Category C installation</v>
      </c>
    </row>
    <row r="1223" spans="1:11" x14ac:dyDescent="0.3">
      <c r="A1223" t="s">
        <v>1847</v>
      </c>
      <c r="B1223" t="s">
        <v>1855</v>
      </c>
      <c r="C1223">
        <v>185</v>
      </c>
      <c r="D1223" t="s">
        <v>1447</v>
      </c>
      <c r="E1223" t="s">
        <v>1856</v>
      </c>
      <c r="F1223" t="s">
        <v>1737</v>
      </c>
      <c r="K1223" t="str">
        <f>IF(ISBLANK('Q 5'!C387),"",IF('Q 5'!C387="&lt;please select&gt;","",'Q 5'!C387))</f>
        <v>Category C installation</v>
      </c>
    </row>
    <row r="1224" spans="1:11" x14ac:dyDescent="0.3">
      <c r="A1224" t="s">
        <v>1847</v>
      </c>
      <c r="B1224" t="s">
        <v>1855</v>
      </c>
      <c r="C1224">
        <v>186</v>
      </c>
      <c r="D1224" t="s">
        <v>1447</v>
      </c>
      <c r="E1224" t="s">
        <v>1856</v>
      </c>
      <c r="F1224" t="s">
        <v>1737</v>
      </c>
      <c r="K1224" t="str">
        <f>IF(ISBLANK('Q 5'!C388),"",IF('Q 5'!C388="&lt;please select&gt;","",'Q 5'!C388))</f>
        <v>Category C installation</v>
      </c>
    </row>
    <row r="1225" spans="1:11" x14ac:dyDescent="0.3">
      <c r="A1225" t="s">
        <v>1847</v>
      </c>
      <c r="B1225" t="s">
        <v>1855</v>
      </c>
      <c r="C1225">
        <v>187</v>
      </c>
      <c r="D1225" t="s">
        <v>1447</v>
      </c>
      <c r="E1225" t="s">
        <v>1856</v>
      </c>
      <c r="F1225" t="s">
        <v>1737</v>
      </c>
      <c r="K1225" t="str">
        <f>IF(ISBLANK('Q 5'!C389),"",IF('Q 5'!C389="&lt;please select&gt;","",'Q 5'!C389))</f>
        <v>Category C installation</v>
      </c>
    </row>
    <row r="1226" spans="1:11" x14ac:dyDescent="0.3">
      <c r="A1226" t="s">
        <v>1847</v>
      </c>
      <c r="B1226" t="s">
        <v>1855</v>
      </c>
      <c r="C1226">
        <v>188</v>
      </c>
      <c r="D1226" t="s">
        <v>1447</v>
      </c>
      <c r="E1226" t="s">
        <v>1856</v>
      </c>
      <c r="F1226" t="s">
        <v>1737</v>
      </c>
      <c r="K1226" t="str">
        <f>IF(ISBLANK('Q 5'!C390),"",IF('Q 5'!C390="&lt;please select&gt;","",'Q 5'!C390))</f>
        <v>Category C installation</v>
      </c>
    </row>
    <row r="1227" spans="1:11" x14ac:dyDescent="0.3">
      <c r="A1227" t="s">
        <v>1847</v>
      </c>
      <c r="B1227" t="s">
        <v>1855</v>
      </c>
      <c r="C1227">
        <v>189</v>
      </c>
      <c r="D1227" t="s">
        <v>1447</v>
      </c>
      <c r="E1227" t="s">
        <v>1856</v>
      </c>
      <c r="F1227" t="s">
        <v>1737</v>
      </c>
      <c r="K1227" t="str">
        <f>IF(ISBLANK('Q 5'!C391),"",IF('Q 5'!C391="&lt;please select&gt;","",'Q 5'!C391))</f>
        <v>Category C installation</v>
      </c>
    </row>
    <row r="1228" spans="1:11" x14ac:dyDescent="0.3">
      <c r="A1228" t="s">
        <v>1847</v>
      </c>
      <c r="B1228" t="s">
        <v>1855</v>
      </c>
      <c r="C1228">
        <v>190</v>
      </c>
      <c r="D1228" t="s">
        <v>1447</v>
      </c>
      <c r="E1228" t="s">
        <v>1856</v>
      </c>
      <c r="F1228" t="s">
        <v>1737</v>
      </c>
      <c r="K1228" t="str">
        <f>IF(ISBLANK('Q 5'!C392),"",IF('Q 5'!C392="&lt;please select&gt;","",'Q 5'!C392))</f>
        <v>Category C installation</v>
      </c>
    </row>
    <row r="1229" spans="1:11" x14ac:dyDescent="0.3">
      <c r="A1229" t="s">
        <v>1847</v>
      </c>
      <c r="B1229" t="s">
        <v>1855</v>
      </c>
      <c r="C1229">
        <v>191</v>
      </c>
      <c r="D1229" t="s">
        <v>1447</v>
      </c>
      <c r="E1229" t="s">
        <v>1856</v>
      </c>
      <c r="F1229" t="s">
        <v>1737</v>
      </c>
      <c r="K1229" t="str">
        <f>IF(ISBLANK('Q 5'!C393),"",IF('Q 5'!C393="&lt;please select&gt;","",'Q 5'!C393))</f>
        <v>Category C installation</v>
      </c>
    </row>
    <row r="1230" spans="1:11" x14ac:dyDescent="0.3">
      <c r="A1230" t="s">
        <v>1847</v>
      </c>
      <c r="B1230" t="s">
        <v>1855</v>
      </c>
      <c r="C1230">
        <v>192</v>
      </c>
      <c r="D1230" t="s">
        <v>1447</v>
      </c>
      <c r="E1230" t="s">
        <v>1856</v>
      </c>
      <c r="F1230" t="s">
        <v>1737</v>
      </c>
      <c r="K1230" t="str">
        <f>IF(ISBLANK('Q 5'!C394),"",IF('Q 5'!C394="&lt;please select&gt;","",'Q 5'!C394))</f>
        <v>Category C installation</v>
      </c>
    </row>
    <row r="1231" spans="1:11" x14ac:dyDescent="0.3">
      <c r="A1231" t="s">
        <v>1847</v>
      </c>
      <c r="B1231" t="s">
        <v>1855</v>
      </c>
      <c r="C1231">
        <v>193</v>
      </c>
      <c r="D1231" t="s">
        <v>1447</v>
      </c>
      <c r="E1231" t="s">
        <v>1856</v>
      </c>
      <c r="F1231" t="s">
        <v>1737</v>
      </c>
      <c r="K1231" t="str">
        <f>IF(ISBLANK('Q 5'!C395),"",IF('Q 5'!C395="&lt;please select&gt;","",'Q 5'!C395))</f>
        <v>Category C installation</v>
      </c>
    </row>
    <row r="1232" spans="1:11" x14ac:dyDescent="0.3">
      <c r="A1232" t="s">
        <v>1847</v>
      </c>
      <c r="B1232" t="s">
        <v>1855</v>
      </c>
      <c r="C1232">
        <v>194</v>
      </c>
      <c r="D1232" t="s">
        <v>1447</v>
      </c>
      <c r="E1232" t="s">
        <v>1856</v>
      </c>
      <c r="F1232" t="s">
        <v>1737</v>
      </c>
      <c r="K1232" t="str">
        <f>IF(ISBLANK('Q 5'!C396),"",IF('Q 5'!C396="&lt;please select&gt;","",'Q 5'!C396))</f>
        <v>Category C installation</v>
      </c>
    </row>
    <row r="1233" spans="1:11" x14ac:dyDescent="0.3">
      <c r="A1233" t="s">
        <v>1847</v>
      </c>
      <c r="B1233" t="s">
        <v>1855</v>
      </c>
      <c r="C1233">
        <v>195</v>
      </c>
      <c r="D1233" t="s">
        <v>1447</v>
      </c>
      <c r="E1233" t="s">
        <v>1856</v>
      </c>
      <c r="F1233" t="s">
        <v>1737</v>
      </c>
      <c r="K1233" t="str">
        <f>IF(ISBLANK('Q 5'!C397),"",IF('Q 5'!C397="&lt;please select&gt;","",'Q 5'!C397))</f>
        <v>Category C installation</v>
      </c>
    </row>
    <row r="1234" spans="1:11" x14ac:dyDescent="0.3">
      <c r="A1234" t="s">
        <v>1847</v>
      </c>
      <c r="B1234" t="s">
        <v>1855</v>
      </c>
      <c r="C1234">
        <v>196</v>
      </c>
      <c r="D1234" t="s">
        <v>1447</v>
      </c>
      <c r="E1234" t="s">
        <v>1856</v>
      </c>
      <c r="F1234" t="s">
        <v>1737</v>
      </c>
      <c r="K1234" t="str">
        <f>IF(ISBLANK('Q 5'!C398),"",IF('Q 5'!C398="&lt;please select&gt;","",'Q 5'!C398))</f>
        <v>Category C installation</v>
      </c>
    </row>
    <row r="1235" spans="1:11" x14ac:dyDescent="0.3">
      <c r="A1235" t="s">
        <v>1847</v>
      </c>
      <c r="B1235" t="s">
        <v>1855</v>
      </c>
      <c r="C1235">
        <v>197</v>
      </c>
      <c r="D1235" t="s">
        <v>1447</v>
      </c>
      <c r="E1235" t="s">
        <v>1856</v>
      </c>
      <c r="F1235" t="s">
        <v>1737</v>
      </c>
      <c r="K1235" t="str">
        <f>IF(ISBLANK('Q 5'!C399),"",IF('Q 5'!C399="&lt;please select&gt;","",'Q 5'!C399))</f>
        <v>Category C installation</v>
      </c>
    </row>
    <row r="1236" spans="1:11" x14ac:dyDescent="0.3">
      <c r="A1236" t="s">
        <v>1847</v>
      </c>
      <c r="B1236" t="s">
        <v>1855</v>
      </c>
      <c r="C1236">
        <v>198</v>
      </c>
      <c r="D1236" t="s">
        <v>1447</v>
      </c>
      <c r="E1236" t="s">
        <v>1856</v>
      </c>
      <c r="F1236" t="s">
        <v>1737</v>
      </c>
      <c r="K1236" t="str">
        <f>IF(ISBLANK('Q 5'!C400),"",IF('Q 5'!C400="&lt;please select&gt;","",'Q 5'!C400))</f>
        <v>Category C installation</v>
      </c>
    </row>
    <row r="1237" spans="1:11" x14ac:dyDescent="0.3">
      <c r="A1237" t="s">
        <v>1847</v>
      </c>
      <c r="B1237" t="s">
        <v>1855</v>
      </c>
      <c r="C1237">
        <v>199</v>
      </c>
      <c r="D1237" t="s">
        <v>1447</v>
      </c>
      <c r="E1237" t="s">
        <v>1856</v>
      </c>
      <c r="F1237" t="s">
        <v>1737</v>
      </c>
      <c r="K1237" t="str">
        <f>IF(ISBLANK('Q 5'!C401),"",IF('Q 5'!C401="&lt;please select&gt;","",'Q 5'!C401))</f>
        <v>Category C installation</v>
      </c>
    </row>
    <row r="1238" spans="1:11" x14ac:dyDescent="0.3">
      <c r="A1238" t="s">
        <v>1847</v>
      </c>
      <c r="B1238" t="s">
        <v>1855</v>
      </c>
      <c r="C1238">
        <v>200</v>
      </c>
      <c r="D1238" t="s">
        <v>1447</v>
      </c>
      <c r="E1238" t="s">
        <v>1856</v>
      </c>
      <c r="F1238" t="s">
        <v>1737</v>
      </c>
      <c r="K1238" t="str">
        <f>IF(ISBLANK('Q 5'!C402),"",IF('Q 5'!C402="&lt;please select&gt;","",'Q 5'!C402))</f>
        <v>Category C installation</v>
      </c>
    </row>
    <row r="1239" spans="1:11" x14ac:dyDescent="0.3">
      <c r="A1239" t="s">
        <v>1847</v>
      </c>
      <c r="B1239" t="s">
        <v>1855</v>
      </c>
      <c r="C1239">
        <v>201</v>
      </c>
      <c r="D1239" t="s">
        <v>1447</v>
      </c>
      <c r="E1239" t="s">
        <v>1856</v>
      </c>
      <c r="F1239" t="s">
        <v>1737</v>
      </c>
      <c r="K1239" t="str">
        <f>IF(ISBLANK('Q 5'!C403),"",IF('Q 5'!C403="&lt;please select&gt;","",'Q 5'!C403))</f>
        <v>Category C installation</v>
      </c>
    </row>
    <row r="1240" spans="1:11" x14ac:dyDescent="0.3">
      <c r="A1240" t="s">
        <v>1847</v>
      </c>
      <c r="B1240" t="s">
        <v>1855</v>
      </c>
      <c r="C1240">
        <v>202</v>
      </c>
      <c r="D1240" t="s">
        <v>1447</v>
      </c>
      <c r="E1240" t="s">
        <v>1856</v>
      </c>
      <c r="F1240" t="s">
        <v>1737</v>
      </c>
      <c r="K1240" t="str">
        <f>IF(ISBLANK('Q 5'!C404),"",IF('Q 5'!C404="&lt;please select&gt;","",'Q 5'!C404))</f>
        <v>Category C installation</v>
      </c>
    </row>
    <row r="1241" spans="1:11" x14ac:dyDescent="0.3">
      <c r="A1241" t="s">
        <v>1847</v>
      </c>
      <c r="B1241" t="s">
        <v>1855</v>
      </c>
      <c r="C1241">
        <v>203</v>
      </c>
      <c r="D1241" t="s">
        <v>1447</v>
      </c>
      <c r="E1241" t="s">
        <v>1856</v>
      </c>
      <c r="F1241" t="s">
        <v>1737</v>
      </c>
      <c r="K1241" t="str">
        <f>IF(ISBLANK('Q 5'!C405),"",IF('Q 5'!C405="&lt;please select&gt;","",'Q 5'!C405))</f>
        <v>Category C installation</v>
      </c>
    </row>
    <row r="1242" spans="1:11" x14ac:dyDescent="0.3">
      <c r="A1242" t="s">
        <v>1847</v>
      </c>
      <c r="B1242" t="s">
        <v>1855</v>
      </c>
      <c r="C1242">
        <v>204</v>
      </c>
      <c r="D1242" t="s">
        <v>1447</v>
      </c>
      <c r="E1242" t="s">
        <v>1856</v>
      </c>
      <c r="F1242" t="s">
        <v>1737</v>
      </c>
      <c r="K1242" t="str">
        <f>IF(ISBLANK('Q 5'!C406),"",IF('Q 5'!C406="&lt;please select&gt;","",'Q 5'!C406))</f>
        <v>Category C installation</v>
      </c>
    </row>
    <row r="1243" spans="1:11" x14ac:dyDescent="0.3">
      <c r="A1243" t="s">
        <v>1847</v>
      </c>
      <c r="B1243" t="s">
        <v>1855</v>
      </c>
      <c r="C1243">
        <v>205</v>
      </c>
      <c r="D1243" t="s">
        <v>1447</v>
      </c>
      <c r="E1243" t="s">
        <v>1856</v>
      </c>
      <c r="F1243" t="s">
        <v>1737</v>
      </c>
      <c r="K1243" t="str">
        <f>IF(ISBLANK('Q 5'!C407),"",IF('Q 5'!C407="&lt;please select&gt;","",'Q 5'!C407))</f>
        <v>Category C installation</v>
      </c>
    </row>
    <row r="1244" spans="1:11" x14ac:dyDescent="0.3">
      <c r="A1244" t="s">
        <v>1847</v>
      </c>
      <c r="B1244" t="s">
        <v>1855</v>
      </c>
      <c r="C1244">
        <v>206</v>
      </c>
      <c r="D1244" t="s">
        <v>1447</v>
      </c>
      <c r="E1244" t="s">
        <v>1856</v>
      </c>
      <c r="F1244" t="s">
        <v>1737</v>
      </c>
      <c r="K1244" t="str">
        <f>IF(ISBLANK('Q 5'!C408),"",IF('Q 5'!C408="&lt;please select&gt;","",'Q 5'!C408))</f>
        <v>Category C installation</v>
      </c>
    </row>
    <row r="1245" spans="1:11" x14ac:dyDescent="0.3">
      <c r="A1245" t="s">
        <v>1847</v>
      </c>
      <c r="B1245" t="s">
        <v>1855</v>
      </c>
      <c r="C1245">
        <v>207</v>
      </c>
      <c r="D1245" t="s">
        <v>1447</v>
      </c>
      <c r="E1245" t="s">
        <v>1856</v>
      </c>
      <c r="F1245" t="s">
        <v>1737</v>
      </c>
      <c r="K1245" t="str">
        <f>IF(ISBLANK('Q 5'!C409),"",IF('Q 5'!C409="&lt;please select&gt;","",'Q 5'!C409))</f>
        <v>Category C installation</v>
      </c>
    </row>
    <row r="1246" spans="1:11" x14ac:dyDescent="0.3">
      <c r="A1246" t="s">
        <v>1847</v>
      </c>
      <c r="B1246" t="s">
        <v>1855</v>
      </c>
      <c r="C1246">
        <v>208</v>
      </c>
      <c r="D1246" t="s">
        <v>1447</v>
      </c>
      <c r="E1246" t="s">
        <v>1856</v>
      </c>
      <c r="F1246" t="s">
        <v>1737</v>
      </c>
      <c r="K1246" t="str">
        <f>IF(ISBLANK('Q 5'!C410),"",IF('Q 5'!C410="&lt;please select&gt;","",'Q 5'!C410))</f>
        <v>Category C installation</v>
      </c>
    </row>
    <row r="1247" spans="1:11" x14ac:dyDescent="0.3">
      <c r="A1247" t="s">
        <v>1847</v>
      </c>
      <c r="B1247" t="s">
        <v>1855</v>
      </c>
      <c r="C1247">
        <v>209</v>
      </c>
      <c r="D1247" t="s">
        <v>1447</v>
      </c>
      <c r="E1247" t="s">
        <v>1856</v>
      </c>
      <c r="F1247" t="s">
        <v>1737</v>
      </c>
      <c r="K1247" t="str">
        <f>IF(ISBLANK('Q 5'!C411),"",IF('Q 5'!C411="&lt;please select&gt;","",'Q 5'!C411))</f>
        <v>Category C installation</v>
      </c>
    </row>
    <row r="1248" spans="1:11" x14ac:dyDescent="0.3">
      <c r="A1248" t="s">
        <v>1847</v>
      </c>
      <c r="B1248" t="s">
        <v>1855</v>
      </c>
      <c r="C1248">
        <v>210</v>
      </c>
      <c r="D1248" t="s">
        <v>1447</v>
      </c>
      <c r="E1248" t="s">
        <v>1856</v>
      </c>
      <c r="F1248" t="s">
        <v>1737</v>
      </c>
      <c r="K1248" t="str">
        <f>IF(ISBLANK('Q 5'!C412),"",IF('Q 5'!C412="&lt;please select&gt;","",'Q 5'!C412))</f>
        <v>Category C installation</v>
      </c>
    </row>
    <row r="1249" spans="1:11" x14ac:dyDescent="0.3">
      <c r="A1249" t="s">
        <v>1847</v>
      </c>
      <c r="B1249" t="s">
        <v>1855</v>
      </c>
      <c r="C1249">
        <v>211</v>
      </c>
      <c r="D1249" t="s">
        <v>1447</v>
      </c>
      <c r="E1249" t="s">
        <v>1856</v>
      </c>
      <c r="F1249" t="s">
        <v>1737</v>
      </c>
      <c r="K1249" t="str">
        <f>IF(ISBLANK('Q 5'!C413),"",IF('Q 5'!C413="&lt;please select&gt;","",'Q 5'!C413))</f>
        <v>Category C installation</v>
      </c>
    </row>
    <row r="1250" spans="1:11" x14ac:dyDescent="0.3">
      <c r="A1250" t="s">
        <v>1847</v>
      </c>
      <c r="B1250" t="s">
        <v>1855</v>
      </c>
      <c r="C1250">
        <v>212</v>
      </c>
      <c r="D1250" t="s">
        <v>1447</v>
      </c>
      <c r="E1250" t="s">
        <v>1856</v>
      </c>
      <c r="F1250" t="s">
        <v>1737</v>
      </c>
      <c r="K1250" t="str">
        <f>IF(ISBLANK('Q 5'!C414),"",IF('Q 5'!C414="&lt;please select&gt;","",'Q 5'!C414))</f>
        <v>Category C installation</v>
      </c>
    </row>
    <row r="1251" spans="1:11" x14ac:dyDescent="0.3">
      <c r="A1251" t="s">
        <v>1847</v>
      </c>
      <c r="B1251" t="s">
        <v>1855</v>
      </c>
      <c r="C1251">
        <v>213</v>
      </c>
      <c r="D1251" t="s">
        <v>1447</v>
      </c>
      <c r="E1251" t="s">
        <v>1856</v>
      </c>
      <c r="F1251" t="s">
        <v>1737</v>
      </c>
      <c r="K1251" t="str">
        <f>IF(ISBLANK('Q 5'!C415),"",IF('Q 5'!C415="&lt;please select&gt;","",'Q 5'!C415))</f>
        <v>Category C installation</v>
      </c>
    </row>
    <row r="1252" spans="1:11" x14ac:dyDescent="0.3">
      <c r="A1252" t="s">
        <v>1847</v>
      </c>
      <c r="B1252" t="s">
        <v>1855</v>
      </c>
      <c r="C1252">
        <v>214</v>
      </c>
      <c r="D1252" t="s">
        <v>1447</v>
      </c>
      <c r="E1252" t="s">
        <v>1856</v>
      </c>
      <c r="F1252" t="s">
        <v>1737</v>
      </c>
      <c r="K1252" t="str">
        <f>IF(ISBLANK('Q 5'!C416),"",IF('Q 5'!C416="&lt;please select&gt;","",'Q 5'!C416))</f>
        <v>Category C installation</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Benzyna</v>
      </c>
    </row>
    <row r="1840" spans="1:11" x14ac:dyDescent="0.3">
      <c r="A1840" t="s">
        <v>1847</v>
      </c>
      <c r="B1840" t="s">
        <v>1855</v>
      </c>
      <c r="C1840">
        <v>2</v>
      </c>
      <c r="D1840" t="s">
        <v>1447</v>
      </c>
      <c r="E1840" t="s">
        <v>1857</v>
      </c>
      <c r="F1840" t="s">
        <v>1741</v>
      </c>
      <c r="G1840" t="str">
        <f>IF(ISBLANK('Q 5'!H204),"",IF('Q 5'!H204="&lt;please select&gt;","",'Q 5'!H204))</f>
        <v>Biogaz</v>
      </c>
    </row>
    <row r="1841" spans="1:7" x14ac:dyDescent="0.3">
      <c r="A1841" t="s">
        <v>1847</v>
      </c>
      <c r="B1841" t="s">
        <v>1855</v>
      </c>
      <c r="C1841">
        <v>3</v>
      </c>
      <c r="D1841" t="s">
        <v>1447</v>
      </c>
      <c r="E1841" t="s">
        <v>1857</v>
      </c>
      <c r="F1841" t="s">
        <v>1741</v>
      </c>
      <c r="G1841" t="str">
        <f>IF(ISBLANK('Q 5'!H205),"",IF('Q 5'!H205="&lt;please select&gt;","",'Q 5'!H205))</f>
        <v>Biomasa</v>
      </c>
    </row>
    <row r="1842" spans="1:7" x14ac:dyDescent="0.3">
      <c r="A1842" t="s">
        <v>1847</v>
      </c>
      <c r="B1842" t="s">
        <v>1855</v>
      </c>
      <c r="C1842">
        <v>4</v>
      </c>
      <c r="D1842" t="s">
        <v>1447</v>
      </c>
      <c r="E1842" t="s">
        <v>1857</v>
      </c>
      <c r="F1842" t="s">
        <v>1741</v>
      </c>
      <c r="G1842" t="str">
        <f>IF(ISBLANK('Q 5'!H206),"",IF('Q 5'!H206="&lt;please select&gt;","",'Q 5'!H206))</f>
        <v>Butyleny</v>
      </c>
    </row>
    <row r="1843" spans="1:7" x14ac:dyDescent="0.3">
      <c r="A1843" t="s">
        <v>1847</v>
      </c>
      <c r="B1843" t="s">
        <v>1855</v>
      </c>
      <c r="C1843">
        <v>5</v>
      </c>
      <c r="D1843" t="s">
        <v>1447</v>
      </c>
      <c r="E1843" t="s">
        <v>1857</v>
      </c>
      <c r="F1843" t="s">
        <v>1741</v>
      </c>
      <c r="G1843" t="str">
        <f>IF(ISBLANK('Q 5'!H207),"",IF('Q 5'!H207="&lt;please select&gt;","",'Q 5'!H207))</f>
        <v>Elektrody</v>
      </c>
    </row>
    <row r="1844" spans="1:7" x14ac:dyDescent="0.3">
      <c r="A1844" t="s">
        <v>1847</v>
      </c>
      <c r="B1844" t="s">
        <v>1855</v>
      </c>
      <c r="C1844">
        <v>6</v>
      </c>
      <c r="D1844" t="s">
        <v>1447</v>
      </c>
      <c r="E1844" t="s">
        <v>1857</v>
      </c>
      <c r="F1844" t="s">
        <v>1741</v>
      </c>
      <c r="G1844" t="str">
        <f>IF(ISBLANK('Q 5'!H208),"",IF('Q 5'!H208="&lt;please select&gt;","",'Q 5'!H208))</f>
        <v>Gaz koksowniczy</v>
      </c>
    </row>
    <row r="1845" spans="1:7" x14ac:dyDescent="0.3">
      <c r="A1845" t="s">
        <v>1847</v>
      </c>
      <c r="B1845" t="s">
        <v>1855</v>
      </c>
      <c r="C1845">
        <v>7</v>
      </c>
      <c r="D1845" t="s">
        <v>1447</v>
      </c>
      <c r="E1845" t="s">
        <v>1857</v>
      </c>
      <c r="F1845" t="s">
        <v>1741</v>
      </c>
      <c r="G1845" t="str">
        <f>IF(ISBLANK('Q 5'!H209),"",IF('Q 5'!H209="&lt;please select&gt;","",'Q 5'!H209))</f>
        <v>Gaz LPG</v>
      </c>
    </row>
    <row r="1846" spans="1:7" x14ac:dyDescent="0.3">
      <c r="A1846" t="s">
        <v>1847</v>
      </c>
      <c r="B1846" t="s">
        <v>1855</v>
      </c>
      <c r="C1846">
        <v>8</v>
      </c>
      <c r="D1846" t="s">
        <v>1447</v>
      </c>
      <c r="E1846" t="s">
        <v>1857</v>
      </c>
      <c r="F1846" t="s">
        <v>1741</v>
      </c>
      <c r="G1846" t="str">
        <f>IF(ISBLANK('Q 5'!H210),"",IF('Q 5'!H210="&lt;please select&gt;","",'Q 5'!H210))</f>
        <v>Gaz Propan</v>
      </c>
    </row>
    <row r="1847" spans="1:7" x14ac:dyDescent="0.3">
      <c r="A1847" t="s">
        <v>1847</v>
      </c>
      <c r="B1847" t="s">
        <v>1855</v>
      </c>
      <c r="C1847">
        <v>9</v>
      </c>
      <c r="D1847" t="s">
        <v>1447</v>
      </c>
      <c r="E1847" t="s">
        <v>1857</v>
      </c>
      <c r="F1847" t="s">
        <v>1741</v>
      </c>
      <c r="G1847" t="str">
        <f>IF(ISBLANK('Q 5'!H211),"",IF('Q 5'!H211="&lt;please select&gt;","",'Q 5'!H211))</f>
        <v>Gaz Propan Butan</v>
      </c>
    </row>
    <row r="1848" spans="1:7" x14ac:dyDescent="0.3">
      <c r="A1848" t="s">
        <v>1847</v>
      </c>
      <c r="B1848" t="s">
        <v>1855</v>
      </c>
      <c r="C1848">
        <v>10</v>
      </c>
      <c r="D1848" t="s">
        <v>1447</v>
      </c>
      <c r="E1848" t="s">
        <v>1857</v>
      </c>
      <c r="F1848" t="s">
        <v>1741</v>
      </c>
      <c r="G1848" t="str">
        <f>IF(ISBLANK('Q 5'!H212),"",IF('Q 5'!H212="&lt;please select&gt;","",'Q 5'!H212))</f>
        <v>Gaz resztkowy</v>
      </c>
    </row>
    <row r="1849" spans="1:7" x14ac:dyDescent="0.3">
      <c r="A1849" t="s">
        <v>1847</v>
      </c>
      <c r="B1849" t="s">
        <v>1855</v>
      </c>
      <c r="C1849">
        <v>11</v>
      </c>
      <c r="D1849" t="s">
        <v>1447</v>
      </c>
      <c r="E1849" t="s">
        <v>1857</v>
      </c>
      <c r="F1849" t="s">
        <v>1741</v>
      </c>
      <c r="G1849" t="str">
        <f>IF(ISBLANK('Q 5'!H213),"",IF('Q 5'!H213="&lt;please select&gt;","",'Q 5'!H213))</f>
        <v>Gaz rafineryjny</v>
      </c>
    </row>
    <row r="1850" spans="1:7" x14ac:dyDescent="0.3">
      <c r="A1850" t="s">
        <v>1847</v>
      </c>
      <c r="B1850" t="s">
        <v>1855</v>
      </c>
      <c r="C1850">
        <v>12</v>
      </c>
      <c r="D1850" t="s">
        <v>1447</v>
      </c>
      <c r="E1850" t="s">
        <v>1857</v>
      </c>
      <c r="F1850" t="s">
        <v>1741</v>
      </c>
      <c r="G1850" t="str">
        <f>IF(ISBLANK('Q 5'!H214),"",IF('Q 5'!H214="&lt;please select&gt;","",'Q 5'!H214))</f>
        <v>Gaz z odmetanowania kopalń</v>
      </c>
    </row>
    <row r="1851" spans="1:7" x14ac:dyDescent="0.3">
      <c r="A1851" t="s">
        <v>1847</v>
      </c>
      <c r="B1851" t="s">
        <v>1855</v>
      </c>
      <c r="C1851">
        <v>13</v>
      </c>
      <c r="D1851" t="s">
        <v>1447</v>
      </c>
      <c r="E1851" t="s">
        <v>1857</v>
      </c>
      <c r="F1851" t="s">
        <v>1741</v>
      </c>
      <c r="G1851" t="str">
        <f>IF(ISBLANK('Q 5'!H215),"",IF('Q 5'!H215="&lt;please select&gt;","",'Q 5'!H215))</f>
        <v>Gaz ziemny wysokometanowy</v>
      </c>
    </row>
    <row r="1852" spans="1:7" x14ac:dyDescent="0.3">
      <c r="A1852" t="s">
        <v>1847</v>
      </c>
      <c r="B1852" t="s">
        <v>1855</v>
      </c>
      <c r="C1852">
        <v>14</v>
      </c>
      <c r="D1852" t="s">
        <v>1447</v>
      </c>
      <c r="E1852" t="s">
        <v>1857</v>
      </c>
      <c r="F1852" t="s">
        <v>1741</v>
      </c>
      <c r="G1852" t="str">
        <f>IF(ISBLANK('Q 5'!H216),"",IF('Q 5'!H216="&lt;please select&gt;","",'Q 5'!H216))</f>
        <v>Gaz ziemny zaazotowany</v>
      </c>
    </row>
    <row r="1853" spans="1:7" x14ac:dyDescent="0.3">
      <c r="A1853" t="s">
        <v>1847</v>
      </c>
      <c r="B1853" t="s">
        <v>1855</v>
      </c>
      <c r="C1853">
        <v>15</v>
      </c>
      <c r="D1853" t="s">
        <v>1447</v>
      </c>
      <c r="E1853" t="s">
        <v>1857</v>
      </c>
      <c r="F1853" t="s">
        <v>1741</v>
      </c>
      <c r="G1853" t="str">
        <f>IF(ISBLANK('Q 5'!H217),"",IF('Q 5'!H217="&lt;please select&gt;","",'Q 5'!H217))</f>
        <v>Gazy złowonne</v>
      </c>
    </row>
    <row r="1854" spans="1:7" x14ac:dyDescent="0.3">
      <c r="A1854" t="s">
        <v>1847</v>
      </c>
      <c r="B1854" t="s">
        <v>1855</v>
      </c>
      <c r="C1854">
        <v>16</v>
      </c>
      <c r="D1854" t="s">
        <v>1447</v>
      </c>
      <c r="E1854" t="s">
        <v>1857</v>
      </c>
      <c r="F1854" t="s">
        <v>1741</v>
      </c>
      <c r="G1854" t="str">
        <f>IF(ISBLANK('Q 5'!H218),"",IF('Q 5'!H218="&lt;please select&gt;","",'Q 5'!H218))</f>
        <v>Gazy zrzutowe</v>
      </c>
    </row>
    <row r="1855" spans="1:7" x14ac:dyDescent="0.3">
      <c r="A1855" t="s">
        <v>1847</v>
      </c>
      <c r="B1855" t="s">
        <v>1855</v>
      </c>
      <c r="C1855">
        <v>17</v>
      </c>
      <c r="D1855" t="s">
        <v>1447</v>
      </c>
      <c r="E1855" t="s">
        <v>1857</v>
      </c>
      <c r="F1855" t="s">
        <v>1741</v>
      </c>
      <c r="G1855" t="str">
        <f>IF(ISBLANK('Q 5'!H219),"",IF('Q 5'!H219="&lt;please select&gt;","",'Q 5'!H219))</f>
        <v>Glina</v>
      </c>
    </row>
    <row r="1856" spans="1:7" x14ac:dyDescent="0.3">
      <c r="A1856" t="s">
        <v>1847</v>
      </c>
      <c r="B1856" t="s">
        <v>1855</v>
      </c>
      <c r="C1856">
        <v>18</v>
      </c>
      <c r="D1856" t="s">
        <v>1447</v>
      </c>
      <c r="E1856" t="s">
        <v>1857</v>
      </c>
      <c r="F1856" t="s">
        <v>1741</v>
      </c>
      <c r="G1856" t="str">
        <f>IF(ISBLANK('Q 5'!H220),"",IF('Q 5'!H220="&lt;please select&gt;","",'Q 5'!H220))</f>
        <v>Kamień wapienny</v>
      </c>
    </row>
    <row r="1857" spans="1:7" x14ac:dyDescent="0.3">
      <c r="A1857" t="s">
        <v>1847</v>
      </c>
      <c r="B1857" t="s">
        <v>1855</v>
      </c>
      <c r="C1857">
        <v>19</v>
      </c>
      <c r="D1857" t="s">
        <v>1447</v>
      </c>
      <c r="E1857" t="s">
        <v>1857</v>
      </c>
      <c r="F1857" t="s">
        <v>1741</v>
      </c>
      <c r="G1857" t="str">
        <f>IF(ISBLANK('Q 5'!H221),"",IF('Q 5'!H221="&lt;please select&gt;","",'Q 5'!H221))</f>
        <v>Koks</v>
      </c>
    </row>
    <row r="1858" spans="1:7" x14ac:dyDescent="0.3">
      <c r="A1858" t="s">
        <v>1847</v>
      </c>
      <c r="B1858" t="s">
        <v>1855</v>
      </c>
      <c r="C1858">
        <v>20</v>
      </c>
      <c r="D1858" t="s">
        <v>1447</v>
      </c>
      <c r="E1858" t="s">
        <v>1857</v>
      </c>
      <c r="F1858" t="s">
        <v>1741</v>
      </c>
      <c r="G1858" t="str">
        <f>IF(ISBLANK('Q 5'!H222),"",IF('Q 5'!H222="&lt;please select&gt;","",'Q 5'!H222))</f>
        <v>Ług czarny</v>
      </c>
    </row>
    <row r="1859" spans="1:7" x14ac:dyDescent="0.3">
      <c r="A1859" t="s">
        <v>1847</v>
      </c>
      <c r="B1859" t="s">
        <v>1855</v>
      </c>
      <c r="C1859">
        <v>21</v>
      </c>
      <c r="D1859" t="s">
        <v>1447</v>
      </c>
      <c r="E1859" t="s">
        <v>1857</v>
      </c>
      <c r="F1859" t="s">
        <v>1741</v>
      </c>
      <c r="G1859" t="str">
        <f>IF(ISBLANK('Q 5'!H223),"",IF('Q 5'!H223="&lt;please select&gt;","",'Q 5'!H223))</f>
        <v>Mazut</v>
      </c>
    </row>
    <row r="1860" spans="1:7" x14ac:dyDescent="0.3">
      <c r="A1860" t="s">
        <v>1847</v>
      </c>
      <c r="B1860" t="s">
        <v>1855</v>
      </c>
      <c r="C1860">
        <v>22</v>
      </c>
      <c r="D1860" t="s">
        <v>1447</v>
      </c>
      <c r="E1860" t="s">
        <v>1857</v>
      </c>
      <c r="F1860" t="s">
        <v>1741</v>
      </c>
      <c r="G1860" t="str">
        <f>IF(ISBLANK('Q 5'!H224),"",IF('Q 5'!H224="&lt;please select&gt;","",'Q 5'!H224))</f>
        <v>Mączką wapienna</v>
      </c>
    </row>
    <row r="1861" spans="1:7" x14ac:dyDescent="0.3">
      <c r="A1861" t="s">
        <v>1847</v>
      </c>
      <c r="B1861" t="s">
        <v>1855</v>
      </c>
      <c r="C1861">
        <v>23</v>
      </c>
      <c r="D1861" t="s">
        <v>1447</v>
      </c>
      <c r="E1861" t="s">
        <v>1857</v>
      </c>
      <c r="F1861" t="s">
        <v>1741</v>
      </c>
      <c r="G1861" t="str">
        <f>IF(ISBLANK('Q 5'!H225),"",IF('Q 5'!H225="&lt;please select&gt;","",'Q 5'!H225))</f>
        <v>Metanol</v>
      </c>
    </row>
    <row r="1862" spans="1:7" x14ac:dyDescent="0.3">
      <c r="A1862" t="s">
        <v>1847</v>
      </c>
      <c r="B1862" t="s">
        <v>1855</v>
      </c>
      <c r="C1862">
        <v>24</v>
      </c>
      <c r="D1862" t="s">
        <v>1447</v>
      </c>
      <c r="E1862" t="s">
        <v>1857</v>
      </c>
      <c r="F1862" t="s">
        <v>1741</v>
      </c>
      <c r="G1862" t="str">
        <f>IF(ISBLANK('Q 5'!H226),"",IF('Q 5'!H226="&lt;please select&gt;","",'Q 5'!H226))</f>
        <v>Mieszanina porafinacyjna</v>
      </c>
    </row>
    <row r="1863" spans="1:7" x14ac:dyDescent="0.3">
      <c r="A1863" t="s">
        <v>1847</v>
      </c>
      <c r="B1863" t="s">
        <v>1855</v>
      </c>
      <c r="C1863">
        <v>25</v>
      </c>
      <c r="D1863" t="s">
        <v>1447</v>
      </c>
      <c r="E1863" t="s">
        <v>1857</v>
      </c>
      <c r="F1863" t="s">
        <v>1741</v>
      </c>
      <c r="G1863" t="str">
        <f>IF(ISBLANK('Q 5'!H227),"",IF('Q 5'!H227="&lt;please select&gt;","",'Q 5'!H227))</f>
        <v>Mocznik</v>
      </c>
    </row>
    <row r="1864" spans="1:7" x14ac:dyDescent="0.3">
      <c r="A1864" t="s">
        <v>1847</v>
      </c>
      <c r="B1864" t="s">
        <v>1855</v>
      </c>
      <c r="C1864">
        <v>26</v>
      </c>
      <c r="D1864" t="s">
        <v>1447</v>
      </c>
      <c r="E1864" t="s">
        <v>1857</v>
      </c>
      <c r="F1864" t="s">
        <v>1741</v>
      </c>
      <c r="G1864" t="str">
        <f>IF(ISBLANK('Q 5'!H228),"",IF('Q 5'!H228="&lt;please select&gt;","",'Q 5'!H228))</f>
        <v>Nawęglacz</v>
      </c>
    </row>
    <row r="1865" spans="1:7" x14ac:dyDescent="0.3">
      <c r="A1865" t="s">
        <v>1847</v>
      </c>
      <c r="B1865" t="s">
        <v>1855</v>
      </c>
      <c r="C1865">
        <v>27</v>
      </c>
      <c r="D1865" t="s">
        <v>1447</v>
      </c>
      <c r="E1865" t="s">
        <v>1857</v>
      </c>
      <c r="F1865" t="s">
        <v>1741</v>
      </c>
      <c r="G1865" t="str">
        <f>IF(ISBLANK('Q 5'!H229),"",IF('Q 5'!H229="&lt;please select&gt;","",'Q 5'!H229))</f>
        <v>Olej napędowy</v>
      </c>
    </row>
    <row r="1866" spans="1:7" x14ac:dyDescent="0.3">
      <c r="A1866" t="s">
        <v>1847</v>
      </c>
      <c r="B1866" t="s">
        <v>1855</v>
      </c>
      <c r="C1866">
        <v>28</v>
      </c>
      <c r="D1866" t="s">
        <v>1447</v>
      </c>
      <c r="E1866" t="s">
        <v>1857</v>
      </c>
      <c r="F1866" t="s">
        <v>1741</v>
      </c>
      <c r="G1866" t="str">
        <f>IF(ISBLANK('Q 5'!H230),"",IF('Q 5'!H230="&lt;please select&gt;","",'Q 5'!H230))</f>
        <v>Olej opałowy bardzo lekki</v>
      </c>
    </row>
    <row r="1867" spans="1:7" x14ac:dyDescent="0.3">
      <c r="A1867" t="s">
        <v>1847</v>
      </c>
      <c r="B1867" t="s">
        <v>1855</v>
      </c>
      <c r="C1867">
        <v>29</v>
      </c>
      <c r="D1867" t="s">
        <v>1447</v>
      </c>
      <c r="E1867" t="s">
        <v>1857</v>
      </c>
      <c r="F1867" t="s">
        <v>1741</v>
      </c>
      <c r="G1867" t="str">
        <f>IF(ISBLANK('Q 5'!H231),"",IF('Q 5'!H231="&lt;please select&gt;","",'Q 5'!H231))</f>
        <v>Olej opałowy ciężki</v>
      </c>
    </row>
    <row r="1868" spans="1:7" x14ac:dyDescent="0.3">
      <c r="A1868" t="s">
        <v>1847</v>
      </c>
      <c r="B1868" t="s">
        <v>1855</v>
      </c>
      <c r="C1868">
        <v>30</v>
      </c>
      <c r="D1868" t="s">
        <v>1447</v>
      </c>
      <c r="E1868" t="s">
        <v>1857</v>
      </c>
      <c r="F1868" t="s">
        <v>1741</v>
      </c>
      <c r="G1868" t="str">
        <f>IF(ISBLANK('Q 5'!H232),"",IF('Q 5'!H232="&lt;please select&gt;","",'Q 5'!H232))</f>
        <v>Olej opałowy lekki</v>
      </c>
    </row>
    <row r="1869" spans="1:7" x14ac:dyDescent="0.3">
      <c r="A1869" t="s">
        <v>1847</v>
      </c>
      <c r="B1869" t="s">
        <v>1855</v>
      </c>
      <c r="C1869">
        <v>31</v>
      </c>
      <c r="D1869" t="s">
        <v>1447</v>
      </c>
      <c r="E1869" t="s">
        <v>1857</v>
      </c>
      <c r="F1869" t="s">
        <v>1741</v>
      </c>
      <c r="G1869" t="str">
        <f>IF(ISBLANK('Q 5'!H233),"",IF('Q 5'!H233="&lt;please select&gt;","",'Q 5'!H233))</f>
        <v>Olej opałowy średni</v>
      </c>
    </row>
    <row r="1870" spans="1:7" x14ac:dyDescent="0.3">
      <c r="A1870" t="s">
        <v>1847</v>
      </c>
      <c r="B1870" t="s">
        <v>1855</v>
      </c>
      <c r="C1870">
        <v>32</v>
      </c>
      <c r="D1870" t="s">
        <v>1447</v>
      </c>
      <c r="E1870" t="s">
        <v>1857</v>
      </c>
      <c r="F1870" t="s">
        <v>1741</v>
      </c>
      <c r="G1870" t="str">
        <f>IF(ISBLANK('Q 5'!H234),"",IF('Q 5'!H234="&lt;please select&gt;","",'Q 5'!H234))</f>
        <v>Olej opałowy pozostałościowy</v>
      </c>
    </row>
    <row r="1871" spans="1:7" x14ac:dyDescent="0.3">
      <c r="A1871" t="s">
        <v>1847</v>
      </c>
      <c r="B1871" t="s">
        <v>1855</v>
      </c>
      <c r="C1871">
        <v>33</v>
      </c>
      <c r="D1871" t="s">
        <v>1447</v>
      </c>
      <c r="E1871" t="s">
        <v>1857</v>
      </c>
      <c r="F1871" t="s">
        <v>1741</v>
      </c>
      <c r="G1871" t="str">
        <f>IF(ISBLANK('Q 5'!H235),"",IF('Q 5'!H235="&lt;please select&gt;","",'Q 5'!H235))</f>
        <v>Pozostałości procesowe</v>
      </c>
    </row>
    <row r="1872" spans="1:7" x14ac:dyDescent="0.3">
      <c r="A1872" t="s">
        <v>1847</v>
      </c>
      <c r="B1872" t="s">
        <v>1855</v>
      </c>
      <c r="C1872">
        <v>34</v>
      </c>
      <c r="D1872" t="s">
        <v>1447</v>
      </c>
      <c r="E1872" t="s">
        <v>1857</v>
      </c>
      <c r="F1872" t="s">
        <v>1741</v>
      </c>
      <c r="G1872" t="str">
        <f>IF(ISBLANK('Q 5'!H236),"",IF('Q 5'!H236="&lt;please select&gt;","",'Q 5'!H236))</f>
        <v>Produkcja wodoru z gazu ziemnego</v>
      </c>
    </row>
    <row r="1873" spans="1:7" x14ac:dyDescent="0.3">
      <c r="A1873" t="s">
        <v>1847</v>
      </c>
      <c r="B1873" t="s">
        <v>1855</v>
      </c>
      <c r="C1873">
        <v>35</v>
      </c>
      <c r="D1873" t="s">
        <v>1447</v>
      </c>
      <c r="E1873" t="s">
        <v>1857</v>
      </c>
      <c r="F1873" t="s">
        <v>1741</v>
      </c>
      <c r="G1873" t="str">
        <f>IF(ISBLANK('Q 5'!H237),"",IF('Q 5'!H237="&lt;please select&gt;","",'Q 5'!H237))</f>
        <v>przedgon benzolowy - IOKS</v>
      </c>
    </row>
    <row r="1874" spans="1:7" x14ac:dyDescent="0.3">
      <c r="A1874" t="s">
        <v>1847</v>
      </c>
      <c r="B1874" t="s">
        <v>1855</v>
      </c>
      <c r="C1874">
        <v>36</v>
      </c>
      <c r="D1874" t="s">
        <v>1447</v>
      </c>
      <c r="E1874" t="s">
        <v>1857</v>
      </c>
      <c r="F1874" t="s">
        <v>1741</v>
      </c>
      <c r="G1874" t="str">
        <f>IF(ISBLANK('Q 5'!H238),"",IF('Q 5'!H238="&lt;please select&gt;","",'Q 5'!H238))</f>
        <v>przedgon benzolowy - pochodnia</v>
      </c>
    </row>
    <row r="1875" spans="1:7" x14ac:dyDescent="0.3">
      <c r="A1875" t="s">
        <v>1847</v>
      </c>
      <c r="B1875" t="s">
        <v>1855</v>
      </c>
      <c r="C1875">
        <v>37</v>
      </c>
      <c r="D1875" t="s">
        <v>1447</v>
      </c>
      <c r="E1875" t="s">
        <v>1857</v>
      </c>
      <c r="F1875" t="s">
        <v>1741</v>
      </c>
      <c r="G1875" t="str">
        <f>IF(ISBLANK('Q 5'!H239),"",IF('Q 5'!H239="&lt;please select&gt;","",'Q 5'!H239))</f>
        <v>Soda</v>
      </c>
    </row>
    <row r="1876" spans="1:7" x14ac:dyDescent="0.3">
      <c r="A1876" t="s">
        <v>1847</v>
      </c>
      <c r="B1876" t="s">
        <v>1855</v>
      </c>
      <c r="C1876">
        <v>38</v>
      </c>
      <c r="D1876" t="s">
        <v>1447</v>
      </c>
      <c r="E1876" t="s">
        <v>1857</v>
      </c>
      <c r="F1876" t="s">
        <v>1741</v>
      </c>
      <c r="G1876" t="str">
        <f>IF(ISBLANK('Q 5'!H240),"",IF('Q 5'!H240="&lt;please select&gt;","",'Q 5'!H240))</f>
        <v>Spieniacz</v>
      </c>
    </row>
    <row r="1877" spans="1:7" x14ac:dyDescent="0.3">
      <c r="A1877" t="s">
        <v>1847</v>
      </c>
      <c r="B1877" t="s">
        <v>1855</v>
      </c>
      <c r="C1877">
        <v>39</v>
      </c>
      <c r="D1877" t="s">
        <v>1447</v>
      </c>
      <c r="E1877" t="s">
        <v>1857</v>
      </c>
      <c r="F1877" t="s">
        <v>1741</v>
      </c>
      <c r="G1877" t="str">
        <f>IF(ISBLANK('Q 5'!H241),"",IF('Q 5'!H241="&lt;please select&gt;","",'Q 5'!H241))</f>
        <v>Stal</v>
      </c>
    </row>
    <row r="1878" spans="1:7" x14ac:dyDescent="0.3">
      <c r="A1878" t="s">
        <v>1847</v>
      </c>
      <c r="B1878" t="s">
        <v>1855</v>
      </c>
      <c r="C1878">
        <v>40</v>
      </c>
      <c r="D1878" t="s">
        <v>1447</v>
      </c>
      <c r="E1878" t="s">
        <v>1857</v>
      </c>
      <c r="F1878" t="s">
        <v>1741</v>
      </c>
      <c r="G1878" t="str">
        <f>IF(ISBLANK('Q 5'!H242),"",IF('Q 5'!H242="&lt;please select&gt;","",'Q 5'!H242))</f>
        <v>Utlenianie katalityczne metanolu</v>
      </c>
    </row>
    <row r="1879" spans="1:7" x14ac:dyDescent="0.3">
      <c r="A1879" t="s">
        <v>1847</v>
      </c>
      <c r="B1879" t="s">
        <v>1855</v>
      </c>
      <c r="C1879">
        <v>41</v>
      </c>
      <c r="D1879" t="s">
        <v>1447</v>
      </c>
      <c r="E1879" t="s">
        <v>1857</v>
      </c>
      <c r="F1879" t="s">
        <v>1741</v>
      </c>
      <c r="G1879" t="str">
        <f>IF(ISBLANK('Q 5'!H243),"",IF('Q 5'!H243="&lt;please select&gt;","",'Q 5'!H243))</f>
        <v>Węgiel brunatny</v>
      </c>
    </row>
    <row r="1880" spans="1:7" x14ac:dyDescent="0.3">
      <c r="A1880" t="s">
        <v>1847</v>
      </c>
      <c r="B1880" t="s">
        <v>1855</v>
      </c>
      <c r="C1880">
        <v>42</v>
      </c>
      <c r="D1880" t="s">
        <v>1447</v>
      </c>
      <c r="E1880" t="s">
        <v>1857</v>
      </c>
      <c r="F1880" t="s">
        <v>1741</v>
      </c>
      <c r="G1880" t="str">
        <f>IF(ISBLANK('Q 5'!H244),"",IF('Q 5'!H244="&lt;please select&gt;","",'Q 5'!H244))</f>
        <v>Węgiel kamienny</v>
      </c>
    </row>
    <row r="1881" spans="1:7" x14ac:dyDescent="0.3">
      <c r="A1881" t="s">
        <v>1847</v>
      </c>
      <c r="B1881" t="s">
        <v>1855</v>
      </c>
      <c r="C1881">
        <v>43</v>
      </c>
      <c r="D1881" t="s">
        <v>1447</v>
      </c>
      <c r="E1881" t="s">
        <v>1857</v>
      </c>
      <c r="F1881" t="s">
        <v>1741</v>
      </c>
      <c r="G1881" t="str">
        <f>IF(ISBLANK('Q 5'!H245),"",IF('Q 5'!H245="&lt;please select&gt;","",'Q 5'!H245))</f>
        <v>Węglan Baru</v>
      </c>
    </row>
    <row r="1882" spans="1:7" x14ac:dyDescent="0.3">
      <c r="A1882" t="s">
        <v>1847</v>
      </c>
      <c r="B1882" t="s">
        <v>1855</v>
      </c>
      <c r="C1882">
        <v>44</v>
      </c>
      <c r="D1882" t="s">
        <v>1447</v>
      </c>
      <c r="E1882" t="s">
        <v>1857</v>
      </c>
      <c r="F1882" t="s">
        <v>1741</v>
      </c>
      <c r="G1882" t="str">
        <f>IF(ISBLANK('Q 5'!H246),"",IF('Q 5'!H246="&lt;please select&gt;","",'Q 5'!H246))</f>
        <v>Węglan Magnezu</v>
      </c>
    </row>
    <row r="1883" spans="1:7" x14ac:dyDescent="0.3">
      <c r="A1883" t="s">
        <v>1847</v>
      </c>
      <c r="B1883" t="s">
        <v>1855</v>
      </c>
      <c r="C1883">
        <v>45</v>
      </c>
      <c r="D1883" t="s">
        <v>1447</v>
      </c>
      <c r="E1883" t="s">
        <v>1857</v>
      </c>
      <c r="F1883" t="s">
        <v>1741</v>
      </c>
      <c r="G1883" t="str">
        <f>IF(ISBLANK('Q 5'!H247),"",IF('Q 5'!H247="&lt;please select&gt;","",'Q 5'!H247))</f>
        <v>Węglan Sodu</v>
      </c>
    </row>
    <row r="1884" spans="1:7" x14ac:dyDescent="0.3">
      <c r="A1884" t="s">
        <v>1847</v>
      </c>
      <c r="B1884" t="s">
        <v>1855</v>
      </c>
      <c r="C1884">
        <v>46</v>
      </c>
      <c r="D1884" t="s">
        <v>1447</v>
      </c>
      <c r="E1884" t="s">
        <v>1857</v>
      </c>
      <c r="F1884" t="s">
        <v>1741</v>
      </c>
      <c r="G1884" t="str">
        <f>IF(ISBLANK('Q 5'!H248),"",IF('Q 5'!H248="&lt;please select&gt;","",'Q 5'!H248))</f>
        <v>Węglan Wapnia</v>
      </c>
    </row>
    <row r="1885" spans="1:7" x14ac:dyDescent="0.3">
      <c r="A1885" t="s">
        <v>1847</v>
      </c>
      <c r="B1885" t="s">
        <v>1855</v>
      </c>
      <c r="C1885">
        <v>47</v>
      </c>
      <c r="D1885" t="s">
        <v>1447</v>
      </c>
      <c r="E1885" t="s">
        <v>1857</v>
      </c>
      <c r="F1885" t="s">
        <v>1741</v>
      </c>
      <c r="G1885" t="str">
        <f>IF(ISBLANK('Q 5'!H249),"",IF('Q 5'!H249="&lt;please select&gt;","",'Q 5'!H249))</f>
        <v>Zanieczyszczone powietrze procesowe</v>
      </c>
    </row>
    <row r="1886" spans="1:7" x14ac:dyDescent="0.3">
      <c r="A1886" t="s">
        <v>1847</v>
      </c>
      <c r="B1886" t="s">
        <v>1855</v>
      </c>
      <c r="C1886">
        <v>48</v>
      </c>
      <c r="D1886" t="s">
        <v>1447</v>
      </c>
      <c r="E1886" t="s">
        <v>1857</v>
      </c>
      <c r="F1886" t="s">
        <v>1741</v>
      </c>
      <c r="G1886" t="str">
        <f>IF(ISBLANK('Q 5'!H250),"",IF('Q 5'!H250="&lt;please select&gt;","",'Q 5'!H250))</f>
        <v>Złom stalowy</v>
      </c>
    </row>
    <row r="1887" spans="1:7" x14ac:dyDescent="0.3">
      <c r="A1887" t="s">
        <v>1847</v>
      </c>
      <c r="B1887" t="s">
        <v>1855</v>
      </c>
      <c r="C1887">
        <v>49</v>
      </c>
      <c r="D1887" t="s">
        <v>1447</v>
      </c>
      <c r="E1887" t="s">
        <v>1857</v>
      </c>
      <c r="F1887" t="s">
        <v>1741</v>
      </c>
      <c r="G1887" t="str">
        <f>IF(ISBLANK('Q 5'!H251),"",IF('Q 5'!H251="&lt;please select&gt;","",'Q 5'!H251))</f>
        <v>Żelazostopy</v>
      </c>
    </row>
    <row r="1888" spans="1:7" x14ac:dyDescent="0.3">
      <c r="A1888" t="s">
        <v>1847</v>
      </c>
      <c r="B1888" t="s">
        <v>1855</v>
      </c>
      <c r="C1888">
        <v>50</v>
      </c>
      <c r="D1888" t="s">
        <v>1447</v>
      </c>
      <c r="E1888" t="s">
        <v>1857</v>
      </c>
      <c r="F1888" t="s">
        <v>1741</v>
      </c>
      <c r="G1888" t="str">
        <f>IF(ISBLANK('Q 5'!H252),"",IF('Q 5'!H252="&lt;please select&gt;","",'Q 5'!H252))</f>
        <v>Antracyt</v>
      </c>
    </row>
    <row r="1889" spans="1:7" x14ac:dyDescent="0.3">
      <c r="A1889" t="s">
        <v>1847</v>
      </c>
      <c r="B1889" t="s">
        <v>1855</v>
      </c>
      <c r="C1889">
        <v>51</v>
      </c>
      <c r="D1889" t="s">
        <v>1447</v>
      </c>
      <c r="E1889" t="s">
        <v>1857</v>
      </c>
      <c r="F1889" t="s">
        <v>1741</v>
      </c>
      <c r="G1889" t="str">
        <f>IF(ISBLANK('Q 5'!H253),"",IF('Q 5'!H253="&lt;please select&gt;","",'Q 5'!H253))</f>
        <v>Benzyna</v>
      </c>
    </row>
    <row r="1890" spans="1:7" x14ac:dyDescent="0.3">
      <c r="A1890" t="s">
        <v>1847</v>
      </c>
      <c r="B1890" t="s">
        <v>1855</v>
      </c>
      <c r="C1890">
        <v>52</v>
      </c>
      <c r="D1890" t="s">
        <v>1447</v>
      </c>
      <c r="E1890" t="s">
        <v>1857</v>
      </c>
      <c r="F1890" t="s">
        <v>1741</v>
      </c>
      <c r="G1890" t="str">
        <f>IF(ISBLANK('Q 5'!H254),"",IF('Q 5'!H254="&lt;please select&gt;","",'Q 5'!H254))</f>
        <v>Biogaz</v>
      </c>
    </row>
    <row r="1891" spans="1:7" x14ac:dyDescent="0.3">
      <c r="A1891" t="s">
        <v>1847</v>
      </c>
      <c r="B1891" t="s">
        <v>1855</v>
      </c>
      <c r="C1891">
        <v>53</v>
      </c>
      <c r="D1891" t="s">
        <v>1447</v>
      </c>
      <c r="E1891" t="s">
        <v>1857</v>
      </c>
      <c r="F1891" t="s">
        <v>1741</v>
      </c>
      <c r="G1891" t="str">
        <f>IF(ISBLANK('Q 5'!H255),"",IF('Q 5'!H255="&lt;please select&gt;","",'Q 5'!H255))</f>
        <v>Biomasa</v>
      </c>
    </row>
    <row r="1892" spans="1:7" x14ac:dyDescent="0.3">
      <c r="A1892" t="s">
        <v>1847</v>
      </c>
      <c r="B1892" t="s">
        <v>1855</v>
      </c>
      <c r="C1892">
        <v>54</v>
      </c>
      <c r="D1892" t="s">
        <v>1447</v>
      </c>
      <c r="E1892" t="s">
        <v>1857</v>
      </c>
      <c r="F1892" t="s">
        <v>1741</v>
      </c>
      <c r="G1892" t="str">
        <f>IF(ISBLANK('Q 5'!H256),"",IF('Q 5'!H256="&lt;please select&gt;","",'Q 5'!H256))</f>
        <v>Celuloza</v>
      </c>
    </row>
    <row r="1893" spans="1:7" x14ac:dyDescent="0.3">
      <c r="A1893" t="s">
        <v>1847</v>
      </c>
      <c r="B1893" t="s">
        <v>1855</v>
      </c>
      <c r="C1893">
        <v>55</v>
      </c>
      <c r="D1893" t="s">
        <v>1447</v>
      </c>
      <c r="E1893" t="s">
        <v>1857</v>
      </c>
      <c r="F1893" t="s">
        <v>1741</v>
      </c>
      <c r="G1893" t="str">
        <f>IF(ISBLANK('Q 5'!H257),"",IF('Q 5'!H257="&lt;please select&gt;","",'Q 5'!H257))</f>
        <v>Dolomit prażony</v>
      </c>
    </row>
    <row r="1894" spans="1:7" x14ac:dyDescent="0.3">
      <c r="A1894" t="s">
        <v>1847</v>
      </c>
      <c r="B1894" t="s">
        <v>1855</v>
      </c>
      <c r="C1894">
        <v>56</v>
      </c>
      <c r="D1894" t="s">
        <v>1447</v>
      </c>
      <c r="E1894" t="s">
        <v>1857</v>
      </c>
      <c r="F1894" t="s">
        <v>1741</v>
      </c>
      <c r="G1894" t="str">
        <f>IF(ISBLANK('Q 5'!H258),"",IF('Q 5'!H258="&lt;please select&gt;","",'Q 5'!H258))</f>
        <v>Dolomit surowy</v>
      </c>
    </row>
    <row r="1895" spans="1:7" x14ac:dyDescent="0.3">
      <c r="A1895" t="s">
        <v>1847</v>
      </c>
      <c r="B1895" t="s">
        <v>1855</v>
      </c>
      <c r="C1895">
        <v>57</v>
      </c>
      <c r="D1895" t="s">
        <v>1447</v>
      </c>
      <c r="E1895" t="s">
        <v>1857</v>
      </c>
      <c r="F1895" t="s">
        <v>1741</v>
      </c>
      <c r="G1895" t="str">
        <f>IF(ISBLANK('Q 5'!H259),"",IF('Q 5'!H259="&lt;please select&gt;","",'Q 5'!H259))</f>
        <v>Elektrody</v>
      </c>
    </row>
    <row r="1896" spans="1:7" x14ac:dyDescent="0.3">
      <c r="A1896" t="s">
        <v>1847</v>
      </c>
      <c r="B1896" t="s">
        <v>1855</v>
      </c>
      <c r="C1896">
        <v>58</v>
      </c>
      <c r="D1896" t="s">
        <v>1447</v>
      </c>
      <c r="E1896" t="s">
        <v>1857</v>
      </c>
      <c r="F1896" t="s">
        <v>1741</v>
      </c>
      <c r="G1896" t="str">
        <f>IF(ISBLANK('Q 5'!H260),"",IF('Q 5'!H260="&lt;please select&gt;","",'Q 5'!H260))</f>
        <v>Etylen</v>
      </c>
    </row>
    <row r="1897" spans="1:7" x14ac:dyDescent="0.3">
      <c r="A1897" t="s">
        <v>1847</v>
      </c>
      <c r="B1897" t="s">
        <v>1855</v>
      </c>
      <c r="C1897">
        <v>59</v>
      </c>
      <c r="D1897" t="s">
        <v>1447</v>
      </c>
      <c r="E1897" t="s">
        <v>1857</v>
      </c>
      <c r="F1897" t="s">
        <v>1741</v>
      </c>
      <c r="G1897" t="str">
        <f>IF(ISBLANK('Q 5'!H261),"",IF('Q 5'!H261="&lt;please select&gt;","",'Q 5'!H261))</f>
        <v>Fosforan diskrobiowy A</v>
      </c>
    </row>
    <row r="1898" spans="1:7" x14ac:dyDescent="0.3">
      <c r="A1898" t="s">
        <v>1847</v>
      </c>
      <c r="B1898" t="s">
        <v>1855</v>
      </c>
      <c r="C1898">
        <v>60</v>
      </c>
      <c r="D1898" t="s">
        <v>1447</v>
      </c>
      <c r="E1898" t="s">
        <v>1857</v>
      </c>
      <c r="F1898" t="s">
        <v>1741</v>
      </c>
      <c r="G1898" t="str">
        <f>IF(ISBLANK('Q 5'!H262),"",IF('Q 5'!H262="&lt;please select&gt;","",'Q 5'!H262))</f>
        <v>Fosforan diskrobiowy B</v>
      </c>
    </row>
    <row r="1899" spans="1:7" x14ac:dyDescent="0.3">
      <c r="A1899" t="s">
        <v>1847</v>
      </c>
      <c r="B1899" t="s">
        <v>1855</v>
      </c>
      <c r="C1899">
        <v>61</v>
      </c>
      <c r="D1899" t="s">
        <v>1447</v>
      </c>
      <c r="E1899" t="s">
        <v>1857</v>
      </c>
      <c r="F1899" t="s">
        <v>1741</v>
      </c>
      <c r="G1899" t="str">
        <f>IF(ISBLANK('Q 5'!H263),"",IF('Q 5'!H263="&lt;please select&gt;","",'Q 5'!H263))</f>
        <v>Gaz koksowniczy</v>
      </c>
    </row>
    <row r="1900" spans="1:7" x14ac:dyDescent="0.3">
      <c r="A1900" t="s">
        <v>1847</v>
      </c>
      <c r="B1900" t="s">
        <v>1855</v>
      </c>
      <c r="C1900">
        <v>62</v>
      </c>
      <c r="D1900" t="s">
        <v>1447</v>
      </c>
      <c r="E1900" t="s">
        <v>1857</v>
      </c>
      <c r="F1900" t="s">
        <v>1741</v>
      </c>
      <c r="G1900" t="str">
        <f>IF(ISBLANK('Q 5'!H264),"",IF('Q 5'!H264="&lt;please select&gt;","",'Q 5'!H264))</f>
        <v>Gaz LPG</v>
      </c>
    </row>
    <row r="1901" spans="1:7" x14ac:dyDescent="0.3">
      <c r="A1901" t="s">
        <v>1847</v>
      </c>
      <c r="B1901" t="s">
        <v>1855</v>
      </c>
      <c r="C1901">
        <v>63</v>
      </c>
      <c r="D1901" t="s">
        <v>1447</v>
      </c>
      <c r="E1901" t="s">
        <v>1857</v>
      </c>
      <c r="F1901" t="s">
        <v>1741</v>
      </c>
      <c r="G1901" t="str">
        <f>IF(ISBLANK('Q 5'!H265),"",IF('Q 5'!H265="&lt;please select&gt;","",'Q 5'!H265))</f>
        <v>Gaz propan</v>
      </c>
    </row>
    <row r="1902" spans="1:7" x14ac:dyDescent="0.3">
      <c r="A1902" t="s">
        <v>1847</v>
      </c>
      <c r="B1902" t="s">
        <v>1855</v>
      </c>
      <c r="C1902">
        <v>64</v>
      </c>
      <c r="D1902" t="s">
        <v>1447</v>
      </c>
      <c r="E1902" t="s">
        <v>1857</v>
      </c>
      <c r="F1902" t="s">
        <v>1741</v>
      </c>
      <c r="G1902" t="str">
        <f>IF(ISBLANK('Q 5'!H266),"",IF('Q 5'!H266="&lt;please select&gt;","",'Q 5'!H266))</f>
        <v>Gaz rafineryjny</v>
      </c>
    </row>
    <row r="1903" spans="1:7" x14ac:dyDescent="0.3">
      <c r="A1903" t="s">
        <v>1847</v>
      </c>
      <c r="B1903" t="s">
        <v>1855</v>
      </c>
      <c r="C1903">
        <v>65</v>
      </c>
      <c r="D1903" t="s">
        <v>1447</v>
      </c>
      <c r="E1903" t="s">
        <v>1857</v>
      </c>
      <c r="F1903" t="s">
        <v>1741</v>
      </c>
      <c r="G1903" t="str">
        <f>IF(ISBLANK('Q 5'!H267),"",IF('Q 5'!H267="&lt;please select&gt;","",'Q 5'!H267))</f>
        <v>Gaz skroplony LNG</v>
      </c>
    </row>
    <row r="1904" spans="1:7" x14ac:dyDescent="0.3">
      <c r="A1904" t="s">
        <v>1847</v>
      </c>
      <c r="B1904" t="s">
        <v>1855</v>
      </c>
      <c r="C1904">
        <v>66</v>
      </c>
      <c r="D1904" t="s">
        <v>1447</v>
      </c>
      <c r="E1904" t="s">
        <v>1857</v>
      </c>
      <c r="F1904" t="s">
        <v>1741</v>
      </c>
      <c r="G1904" t="str">
        <f>IF(ISBLANK('Q 5'!H268),"",IF('Q 5'!H268="&lt;please select&gt;","",'Q 5'!H268))</f>
        <v>Gaz z odmetanowania kopalni</v>
      </c>
    </row>
    <row r="1905" spans="1:7" x14ac:dyDescent="0.3">
      <c r="A1905" t="s">
        <v>1847</v>
      </c>
      <c r="B1905" t="s">
        <v>1855</v>
      </c>
      <c r="C1905">
        <v>67</v>
      </c>
      <c r="D1905" t="s">
        <v>1447</v>
      </c>
      <c r="E1905" t="s">
        <v>1857</v>
      </c>
      <c r="F1905" t="s">
        <v>1741</v>
      </c>
      <c r="G1905" t="str">
        <f>IF(ISBLANK('Q 5'!H269),"",IF('Q 5'!H269="&lt;please select&gt;","",'Q 5'!H269))</f>
        <v>Gaz ziemny wysokometanowy</v>
      </c>
    </row>
    <row r="1906" spans="1:7" x14ac:dyDescent="0.3">
      <c r="A1906" t="s">
        <v>1847</v>
      </c>
      <c r="B1906" t="s">
        <v>1855</v>
      </c>
      <c r="C1906">
        <v>68</v>
      </c>
      <c r="D1906" t="s">
        <v>1447</v>
      </c>
      <c r="E1906" t="s">
        <v>1857</v>
      </c>
      <c r="F1906" t="s">
        <v>1741</v>
      </c>
      <c r="G1906" t="str">
        <f>IF(ISBLANK('Q 5'!H270),"",IF('Q 5'!H270="&lt;please select&gt;","",'Q 5'!H270))</f>
        <v>Gaz ziemny zaazotowany</v>
      </c>
    </row>
    <row r="1907" spans="1:7" x14ac:dyDescent="0.3">
      <c r="A1907" t="s">
        <v>1847</v>
      </c>
      <c r="B1907" t="s">
        <v>1855</v>
      </c>
      <c r="C1907">
        <v>69</v>
      </c>
      <c r="D1907" t="s">
        <v>1447</v>
      </c>
      <c r="E1907" t="s">
        <v>1857</v>
      </c>
      <c r="F1907" t="s">
        <v>1741</v>
      </c>
      <c r="G1907" t="str">
        <f>IF(ISBLANK('Q 5'!H271),"",IF('Q 5'!H271="&lt;please select&gt;","",'Q 5'!H271))</f>
        <v>Gazy zrzutowe</v>
      </c>
    </row>
    <row r="1908" spans="1:7" x14ac:dyDescent="0.3">
      <c r="A1908" t="s">
        <v>1847</v>
      </c>
      <c r="B1908" t="s">
        <v>1855</v>
      </c>
      <c r="C1908">
        <v>70</v>
      </c>
      <c r="D1908" t="s">
        <v>1447</v>
      </c>
      <c r="E1908" t="s">
        <v>1857</v>
      </c>
      <c r="F1908" t="s">
        <v>1741</v>
      </c>
      <c r="G1908" t="str">
        <f>IF(ISBLANK('Q 5'!H272),"",IF('Q 5'!H272="&lt;please select&gt;","",'Q 5'!H272))</f>
        <v>gliceryna</v>
      </c>
    </row>
    <row r="1909" spans="1:7" x14ac:dyDescent="0.3">
      <c r="A1909" t="s">
        <v>1847</v>
      </c>
      <c r="B1909" t="s">
        <v>1855</v>
      </c>
      <c r="C1909">
        <v>71</v>
      </c>
      <c r="D1909" t="s">
        <v>1447</v>
      </c>
      <c r="E1909" t="s">
        <v>1857</v>
      </c>
      <c r="F1909" t="s">
        <v>1741</v>
      </c>
      <c r="G1909" t="str">
        <f>IF(ISBLANK('Q 5'!H273),"",IF('Q 5'!H273="&lt;please select&gt;","",'Q 5'!H273))</f>
        <v>glikol dwuetylenowy</v>
      </c>
    </row>
    <row r="1910" spans="1:7" x14ac:dyDescent="0.3">
      <c r="A1910" t="s">
        <v>1847</v>
      </c>
      <c r="B1910" t="s">
        <v>1855</v>
      </c>
      <c r="C1910">
        <v>72</v>
      </c>
      <c r="D1910" t="s">
        <v>1447</v>
      </c>
      <c r="E1910" t="s">
        <v>1857</v>
      </c>
      <c r="F1910" t="s">
        <v>1741</v>
      </c>
      <c r="G1910" t="str">
        <f>IF(ISBLANK('Q 5'!H274),"",IF('Q 5'!H274="&lt;please select&gt;","",'Q 5'!H274))</f>
        <v>glikol monoetylenowy</v>
      </c>
    </row>
    <row r="1911" spans="1:7" x14ac:dyDescent="0.3">
      <c r="A1911" t="s">
        <v>1847</v>
      </c>
      <c r="B1911" t="s">
        <v>1855</v>
      </c>
      <c r="C1911">
        <v>73</v>
      </c>
      <c r="D1911" t="s">
        <v>1447</v>
      </c>
      <c r="E1911" t="s">
        <v>1857</v>
      </c>
      <c r="F1911" t="s">
        <v>1741</v>
      </c>
      <c r="G1911" t="str">
        <f>IF(ISBLANK('Q 5'!H275),"",IF('Q 5'!H275="&lt;please select&gt;","",'Q 5'!H275))</f>
        <v>glikol trójetylenowy</v>
      </c>
    </row>
    <row r="1912" spans="1:7" x14ac:dyDescent="0.3">
      <c r="A1912" t="s">
        <v>1847</v>
      </c>
      <c r="B1912" t="s">
        <v>1855</v>
      </c>
      <c r="C1912">
        <v>74</v>
      </c>
      <c r="D1912" t="s">
        <v>1447</v>
      </c>
      <c r="E1912" t="s">
        <v>1857</v>
      </c>
      <c r="F1912" t="s">
        <v>1741</v>
      </c>
      <c r="G1912" t="str">
        <f>IF(ISBLANK('Q 5'!H276),"",IF('Q 5'!H276="&lt;please select&gt;","",'Q 5'!H276))</f>
        <v>Glina</v>
      </c>
    </row>
    <row r="1913" spans="1:7" x14ac:dyDescent="0.3">
      <c r="A1913" t="s">
        <v>1847</v>
      </c>
      <c r="B1913" t="s">
        <v>1855</v>
      </c>
      <c r="C1913">
        <v>75</v>
      </c>
      <c r="D1913" t="s">
        <v>1447</v>
      </c>
      <c r="E1913" t="s">
        <v>1857</v>
      </c>
      <c r="F1913" t="s">
        <v>1741</v>
      </c>
      <c r="G1913" t="str">
        <f>IF(ISBLANK('Q 5'!H277),"",IF('Q 5'!H277="&lt;please select&gt;","",'Q 5'!H277))</f>
        <v>gliokol polietylenowy</v>
      </c>
    </row>
    <row r="1914" spans="1:7" x14ac:dyDescent="0.3">
      <c r="A1914" t="s">
        <v>1847</v>
      </c>
      <c r="B1914" t="s">
        <v>1855</v>
      </c>
      <c r="C1914">
        <v>76</v>
      </c>
      <c r="D1914" t="s">
        <v>1447</v>
      </c>
      <c r="E1914" t="s">
        <v>1857</v>
      </c>
      <c r="F1914" t="s">
        <v>1741</v>
      </c>
      <c r="G1914" t="str">
        <f>IF(ISBLANK('Q 5'!H278),"",IF('Q 5'!H278="&lt;please select&gt;","",'Q 5'!H278))</f>
        <v>guma diutanowa</v>
      </c>
    </row>
    <row r="1915" spans="1:7" x14ac:dyDescent="0.3">
      <c r="A1915" t="s">
        <v>1847</v>
      </c>
      <c r="B1915" t="s">
        <v>1855</v>
      </c>
      <c r="C1915">
        <v>77</v>
      </c>
      <c r="D1915" t="s">
        <v>1447</v>
      </c>
      <c r="E1915" t="s">
        <v>1857</v>
      </c>
      <c r="F1915" t="s">
        <v>1741</v>
      </c>
      <c r="G1915" t="str">
        <f>IF(ISBLANK('Q 5'!H279),"",IF('Q 5'!H279="&lt;please select&gt;","",'Q 5'!H279))</f>
        <v>heptan i jego izomery</v>
      </c>
    </row>
    <row r="1916" spans="1:7" x14ac:dyDescent="0.3">
      <c r="A1916" t="s">
        <v>1847</v>
      </c>
      <c r="B1916" t="s">
        <v>1855</v>
      </c>
      <c r="C1916">
        <v>78</v>
      </c>
      <c r="D1916" t="s">
        <v>1447</v>
      </c>
      <c r="E1916" t="s">
        <v>1857</v>
      </c>
      <c r="F1916" t="s">
        <v>1741</v>
      </c>
      <c r="G1916" t="str">
        <f>IF(ISBLANK('Q 5'!H280),"",IF('Q 5'!H280="&lt;please select&gt;","",'Q 5'!H280))</f>
        <v>izopentan</v>
      </c>
    </row>
    <row r="1917" spans="1:7" x14ac:dyDescent="0.3">
      <c r="A1917" t="s">
        <v>1847</v>
      </c>
      <c r="B1917" t="s">
        <v>1855</v>
      </c>
      <c r="C1917">
        <v>79</v>
      </c>
      <c r="D1917" t="s">
        <v>1447</v>
      </c>
      <c r="E1917" t="s">
        <v>1857</v>
      </c>
      <c r="F1917" t="s">
        <v>1741</v>
      </c>
      <c r="G1917" t="str">
        <f>IF(ISBLANK('Q 5'!H281),"",IF('Q 5'!H281="&lt;please select&gt;","",'Q 5'!H281))</f>
        <v>Kamień wapienny</v>
      </c>
    </row>
    <row r="1918" spans="1:7" x14ac:dyDescent="0.3">
      <c r="A1918" t="s">
        <v>1847</v>
      </c>
      <c r="B1918" t="s">
        <v>1855</v>
      </c>
      <c r="C1918">
        <v>80</v>
      </c>
      <c r="D1918" t="s">
        <v>1447</v>
      </c>
      <c r="E1918" t="s">
        <v>1857</v>
      </c>
      <c r="F1918" t="s">
        <v>1741</v>
      </c>
      <c r="G1918" t="str">
        <f>IF(ISBLANK('Q 5'!H282),"",IF('Q 5'!H282="&lt;please select&gt;","",'Q 5'!H282))</f>
        <v>Koks</v>
      </c>
    </row>
    <row r="1919" spans="1:7" x14ac:dyDescent="0.3">
      <c r="A1919" t="s">
        <v>1847</v>
      </c>
      <c r="B1919" t="s">
        <v>1855</v>
      </c>
      <c r="C1919">
        <v>81</v>
      </c>
      <c r="D1919" t="s">
        <v>1447</v>
      </c>
      <c r="E1919" t="s">
        <v>1857</v>
      </c>
      <c r="F1919" t="s">
        <v>1741</v>
      </c>
      <c r="G1919" t="str">
        <f>IF(ISBLANK('Q 5'!H283),"",IF('Q 5'!H283="&lt;please select&gt;","",'Q 5'!H283))</f>
        <v>kopolimer akrylonitrylu</v>
      </c>
    </row>
    <row r="1920" spans="1:7" x14ac:dyDescent="0.3">
      <c r="A1920" t="s">
        <v>1847</v>
      </c>
      <c r="B1920" t="s">
        <v>1855</v>
      </c>
      <c r="C1920">
        <v>82</v>
      </c>
      <c r="D1920" t="s">
        <v>1447</v>
      </c>
      <c r="E1920" t="s">
        <v>1857</v>
      </c>
      <c r="F1920" t="s">
        <v>1741</v>
      </c>
      <c r="G1920" t="str">
        <f>IF(ISBLANK('Q 5'!H284),"",IF('Q 5'!H284="&lt;please select&gt;","",'Q 5'!H284))</f>
        <v>kwas tłuszczowy</v>
      </c>
    </row>
    <row r="1921" spans="1:7" x14ac:dyDescent="0.3">
      <c r="A1921" t="s">
        <v>1847</v>
      </c>
      <c r="B1921" t="s">
        <v>1855</v>
      </c>
      <c r="C1921">
        <v>83</v>
      </c>
      <c r="D1921" t="s">
        <v>1447</v>
      </c>
      <c r="E1921" t="s">
        <v>1857</v>
      </c>
      <c r="F1921" t="s">
        <v>1741</v>
      </c>
      <c r="G1921" t="str">
        <f>IF(ISBLANK('Q 5'!H285),"",IF('Q 5'!H285="&lt;please select&gt;","",'Q 5'!H285))</f>
        <v>magnezyt surowy</v>
      </c>
    </row>
    <row r="1922" spans="1:7" x14ac:dyDescent="0.3">
      <c r="A1922" t="s">
        <v>1847</v>
      </c>
      <c r="B1922" t="s">
        <v>1855</v>
      </c>
      <c r="C1922">
        <v>84</v>
      </c>
      <c r="D1922" t="s">
        <v>1447</v>
      </c>
      <c r="E1922" t="s">
        <v>1857</v>
      </c>
      <c r="F1922" t="s">
        <v>1741</v>
      </c>
      <c r="G1922" t="str">
        <f>IF(ISBLANK('Q 5'!H286),"",IF('Q 5'!H286="&lt;please select&gt;","",'Q 5'!H286))</f>
        <v>Nawęglacz</v>
      </c>
    </row>
    <row r="1923" spans="1:7" x14ac:dyDescent="0.3">
      <c r="A1923" t="s">
        <v>1847</v>
      </c>
      <c r="B1923" t="s">
        <v>1855</v>
      </c>
      <c r="C1923">
        <v>85</v>
      </c>
      <c r="D1923" t="s">
        <v>1447</v>
      </c>
      <c r="E1923" t="s">
        <v>1857</v>
      </c>
      <c r="F1923" t="s">
        <v>1741</v>
      </c>
      <c r="G1923" t="str">
        <f>IF(ISBLANK('Q 5'!H287),"",IF('Q 5'!H287="&lt;please select&gt;","",'Q 5'!H287))</f>
        <v>Olej napędowy</v>
      </c>
    </row>
    <row r="1924" spans="1:7" x14ac:dyDescent="0.3">
      <c r="A1924" t="s">
        <v>1847</v>
      </c>
      <c r="B1924" t="s">
        <v>1855</v>
      </c>
      <c r="C1924">
        <v>86</v>
      </c>
      <c r="D1924" t="s">
        <v>1447</v>
      </c>
      <c r="E1924" t="s">
        <v>1857</v>
      </c>
      <c r="F1924" t="s">
        <v>1741</v>
      </c>
      <c r="G1924" t="str">
        <f>IF(ISBLANK('Q 5'!H288),"",IF('Q 5'!H288="&lt;please select&gt;","",'Q 5'!H288))</f>
        <v>Olej opałowy bardzo lekki</v>
      </c>
    </row>
    <row r="1925" spans="1:7" x14ac:dyDescent="0.3">
      <c r="A1925" t="s">
        <v>1847</v>
      </c>
      <c r="B1925" t="s">
        <v>1855</v>
      </c>
      <c r="C1925">
        <v>87</v>
      </c>
      <c r="D1925" t="s">
        <v>1447</v>
      </c>
      <c r="E1925" t="s">
        <v>1857</v>
      </c>
      <c r="F1925" t="s">
        <v>1741</v>
      </c>
      <c r="G1925" t="str">
        <f>IF(ISBLANK('Q 5'!H289),"",IF('Q 5'!H289="&lt;please select&gt;","",'Q 5'!H289))</f>
        <v>Olej opałowy ciężki</v>
      </c>
    </row>
    <row r="1926" spans="1:7" x14ac:dyDescent="0.3">
      <c r="A1926" t="s">
        <v>1847</v>
      </c>
      <c r="B1926" t="s">
        <v>1855</v>
      </c>
      <c r="C1926">
        <v>88</v>
      </c>
      <c r="D1926" t="s">
        <v>1447</v>
      </c>
      <c r="E1926" t="s">
        <v>1857</v>
      </c>
      <c r="F1926" t="s">
        <v>1741</v>
      </c>
      <c r="G1926" t="str">
        <f>IF(ISBLANK('Q 5'!H290),"",IF('Q 5'!H290="&lt;please select&gt;","",'Q 5'!H290))</f>
        <v>Olej opałowy lekki</v>
      </c>
    </row>
    <row r="1927" spans="1:7" x14ac:dyDescent="0.3">
      <c r="A1927" t="s">
        <v>1847</v>
      </c>
      <c r="B1927" t="s">
        <v>1855</v>
      </c>
      <c r="C1927">
        <v>89</v>
      </c>
      <c r="D1927" t="s">
        <v>1447</v>
      </c>
      <c r="E1927" t="s">
        <v>1857</v>
      </c>
      <c r="F1927" t="s">
        <v>1741</v>
      </c>
      <c r="G1927" t="str">
        <f>IF(ISBLANK('Q 5'!H291),"",IF('Q 5'!H291="&lt;please select&gt;","",'Q 5'!H291))</f>
        <v>poli(tlenek etylenu)</v>
      </c>
    </row>
    <row r="1928" spans="1:7" x14ac:dyDescent="0.3">
      <c r="A1928" t="s">
        <v>1847</v>
      </c>
      <c r="B1928" t="s">
        <v>1855</v>
      </c>
      <c r="C1928">
        <v>90</v>
      </c>
      <c r="D1928" t="s">
        <v>1447</v>
      </c>
      <c r="E1928" t="s">
        <v>1857</v>
      </c>
      <c r="F1928" t="s">
        <v>1741</v>
      </c>
      <c r="G1928" t="str">
        <f>IF(ISBLANK('Q 5'!H292),"",IF('Q 5'!H292="&lt;please select&gt;","",'Q 5'!H292))</f>
        <v>polieter poliolu</v>
      </c>
    </row>
    <row r="1929" spans="1:7" x14ac:dyDescent="0.3">
      <c r="A1929" t="s">
        <v>1847</v>
      </c>
      <c r="B1929" t="s">
        <v>1855</v>
      </c>
      <c r="C1929">
        <v>91</v>
      </c>
      <c r="D1929" t="s">
        <v>1447</v>
      </c>
      <c r="E1929" t="s">
        <v>1857</v>
      </c>
      <c r="F1929" t="s">
        <v>1741</v>
      </c>
      <c r="G1929" t="str">
        <f>IF(ISBLANK('Q 5'!H293),"",IF('Q 5'!H293="&lt;please select&gt;","",'Q 5'!H293))</f>
        <v>poliglikole</v>
      </c>
    </row>
    <row r="1930" spans="1:7" x14ac:dyDescent="0.3">
      <c r="A1930" t="s">
        <v>1847</v>
      </c>
      <c r="B1930" t="s">
        <v>1855</v>
      </c>
      <c r="C1930">
        <v>92</v>
      </c>
      <c r="D1930" t="s">
        <v>1447</v>
      </c>
      <c r="E1930" t="s">
        <v>1857</v>
      </c>
      <c r="F1930" t="s">
        <v>1741</v>
      </c>
      <c r="G1930" t="str">
        <f>IF(ISBLANK('Q 5'!H294),"",IF('Q 5'!H294="&lt;please select&gt;","",'Q 5'!H294))</f>
        <v>polikarboksylany typu surfaktant</v>
      </c>
    </row>
    <row r="1931" spans="1:7" x14ac:dyDescent="0.3">
      <c r="A1931" t="s">
        <v>1847</v>
      </c>
      <c r="B1931" t="s">
        <v>1855</v>
      </c>
      <c r="C1931">
        <v>93</v>
      </c>
      <c r="D1931" t="s">
        <v>1447</v>
      </c>
      <c r="E1931" t="s">
        <v>1857</v>
      </c>
      <c r="F1931" t="s">
        <v>1741</v>
      </c>
      <c r="G1931" t="str">
        <f>IF(ISBLANK('Q 5'!H295),"",IF('Q 5'!H295="&lt;please select&gt;","",'Q 5'!H295))</f>
        <v>polimer akrylowy</v>
      </c>
    </row>
    <row r="1932" spans="1:7" x14ac:dyDescent="0.3">
      <c r="A1932" t="s">
        <v>1847</v>
      </c>
      <c r="B1932" t="s">
        <v>1855</v>
      </c>
      <c r="C1932">
        <v>94</v>
      </c>
      <c r="D1932" t="s">
        <v>1447</v>
      </c>
      <c r="E1932" t="s">
        <v>1857</v>
      </c>
      <c r="F1932" t="s">
        <v>1741</v>
      </c>
      <c r="G1932" t="str">
        <f>IF(ISBLANK('Q 5'!H296),"",IF('Q 5'!H296="&lt;please select&gt;","",'Q 5'!H296))</f>
        <v>powłoka hydrofobowa</v>
      </c>
    </row>
    <row r="1933" spans="1:7" x14ac:dyDescent="0.3">
      <c r="A1933" t="s">
        <v>1847</v>
      </c>
      <c r="B1933" t="s">
        <v>1855</v>
      </c>
      <c r="C1933">
        <v>95</v>
      </c>
      <c r="D1933" t="s">
        <v>1447</v>
      </c>
      <c r="E1933" t="s">
        <v>1857</v>
      </c>
      <c r="F1933" t="s">
        <v>1741</v>
      </c>
      <c r="G1933" t="str">
        <f>IF(ISBLANK('Q 5'!H297),"",IF('Q 5'!H297="&lt;please select&gt;","",'Q 5'!H297))</f>
        <v>pył z odpylania gazów odlotowych</v>
      </c>
    </row>
    <row r="1934" spans="1:7" x14ac:dyDescent="0.3">
      <c r="A1934" t="s">
        <v>1847</v>
      </c>
      <c r="B1934" t="s">
        <v>1855</v>
      </c>
      <c r="C1934">
        <v>96</v>
      </c>
      <c r="D1934" t="s">
        <v>1447</v>
      </c>
      <c r="E1934" t="s">
        <v>1857</v>
      </c>
      <c r="F1934" t="s">
        <v>1741</v>
      </c>
      <c r="G1934" t="str">
        <f>IF(ISBLANK('Q 5'!H298),"",IF('Q 5'!H298="&lt;please select&gt;","",'Q 5'!H298))</f>
        <v>Soda</v>
      </c>
    </row>
    <row r="1935" spans="1:7" x14ac:dyDescent="0.3">
      <c r="A1935" t="s">
        <v>1847</v>
      </c>
      <c r="B1935" t="s">
        <v>1855</v>
      </c>
      <c r="C1935">
        <v>97</v>
      </c>
      <c r="D1935" t="s">
        <v>1447</v>
      </c>
      <c r="E1935" t="s">
        <v>1857</v>
      </c>
      <c r="F1935" t="s">
        <v>1741</v>
      </c>
      <c r="G1935" t="str">
        <f>IF(ISBLANK('Q 5'!H299),"",IF('Q 5'!H299="&lt;please select&gt;","",'Q 5'!H299))</f>
        <v>Spieniacz</v>
      </c>
    </row>
    <row r="1936" spans="1:7" x14ac:dyDescent="0.3">
      <c r="A1936" t="s">
        <v>1847</v>
      </c>
      <c r="B1936" t="s">
        <v>1855</v>
      </c>
      <c r="C1936">
        <v>98</v>
      </c>
      <c r="D1936" t="s">
        <v>1447</v>
      </c>
      <c r="E1936" t="s">
        <v>1857</v>
      </c>
      <c r="F1936" t="s">
        <v>1741</v>
      </c>
      <c r="G1936" t="str">
        <f>IF(ISBLANK('Q 5'!H300),"",IF('Q 5'!H300="&lt;please select&gt;","",'Q 5'!H300))</f>
        <v>Stal</v>
      </c>
    </row>
    <row r="1937" spans="1:7" x14ac:dyDescent="0.3">
      <c r="A1937" t="s">
        <v>1847</v>
      </c>
      <c r="B1937" t="s">
        <v>1855</v>
      </c>
      <c r="C1937">
        <v>99</v>
      </c>
      <c r="D1937" t="s">
        <v>1447</v>
      </c>
      <c r="E1937" t="s">
        <v>1857</v>
      </c>
      <c r="F1937" t="s">
        <v>1741</v>
      </c>
      <c r="G1937" t="str">
        <f>IF(ISBLANK('Q 5'!H301),"",IF('Q 5'!H301="&lt;please select&gt;","",'Q 5'!H301))</f>
        <v>substancje testowane</v>
      </c>
    </row>
    <row r="1938" spans="1:7" x14ac:dyDescent="0.3">
      <c r="A1938" t="s">
        <v>1847</v>
      </c>
      <c r="B1938" t="s">
        <v>1855</v>
      </c>
      <c r="C1938">
        <v>100</v>
      </c>
      <c r="D1938" t="s">
        <v>1447</v>
      </c>
      <c r="E1938" t="s">
        <v>1857</v>
      </c>
      <c r="F1938" t="s">
        <v>1741</v>
      </c>
      <c r="G1938" t="str">
        <f>IF(ISBLANK('Q 5'!H302),"",IF('Q 5'!H302="&lt;please select&gt;","",'Q 5'!H302))</f>
        <v>surowiec TS</v>
      </c>
    </row>
    <row r="1939" spans="1:7" x14ac:dyDescent="0.3">
      <c r="A1939" t="s">
        <v>1847</v>
      </c>
      <c r="B1939" t="s">
        <v>1855</v>
      </c>
      <c r="C1939">
        <v>101</v>
      </c>
      <c r="D1939" t="s">
        <v>1447</v>
      </c>
      <c r="E1939" t="s">
        <v>1857</v>
      </c>
      <c r="F1939" t="s">
        <v>1741</v>
      </c>
      <c r="G1939" t="str">
        <f>IF(ISBLANK('Q 5'!H303),"",IF('Q 5'!H303="&lt;please select&gt;","",'Q 5'!H303))</f>
        <v>surowiec TS2</v>
      </c>
    </row>
    <row r="1940" spans="1:7" x14ac:dyDescent="0.3">
      <c r="A1940" t="s">
        <v>1847</v>
      </c>
      <c r="B1940" t="s">
        <v>1855</v>
      </c>
      <c r="C1940">
        <v>102</v>
      </c>
      <c r="D1940" t="s">
        <v>1447</v>
      </c>
      <c r="E1940" t="s">
        <v>1857</v>
      </c>
      <c r="F1940" t="s">
        <v>1741</v>
      </c>
      <c r="G1940" t="str">
        <f>IF(ISBLANK('Q 5'!H304),"",IF('Q 5'!H304="&lt;please select&gt;","",'Q 5'!H304))</f>
        <v>surówka</v>
      </c>
    </row>
    <row r="1941" spans="1:7" x14ac:dyDescent="0.3">
      <c r="A1941" t="s">
        <v>1847</v>
      </c>
      <c r="B1941" t="s">
        <v>1855</v>
      </c>
      <c r="C1941">
        <v>103</v>
      </c>
      <c r="D1941" t="s">
        <v>1447</v>
      </c>
      <c r="E1941" t="s">
        <v>1857</v>
      </c>
      <c r="F1941" t="s">
        <v>1741</v>
      </c>
      <c r="G1941" t="str">
        <f>IF(ISBLANK('Q 5'!H305),"",IF('Q 5'!H305="&lt;please select&gt;","",'Q 5'!H305))</f>
        <v>tlenek etylenu</v>
      </c>
    </row>
    <row r="1942" spans="1:7" x14ac:dyDescent="0.3">
      <c r="A1942" t="s">
        <v>1847</v>
      </c>
      <c r="B1942" t="s">
        <v>1855</v>
      </c>
      <c r="C1942">
        <v>104</v>
      </c>
      <c r="D1942" t="s">
        <v>1447</v>
      </c>
      <c r="E1942" t="s">
        <v>1857</v>
      </c>
      <c r="F1942" t="s">
        <v>1741</v>
      </c>
      <c r="G1942" t="str">
        <f>IF(ISBLANK('Q 5'!H306),"",IF('Q 5'!H306="&lt;please select&gt;","",'Q 5'!H306))</f>
        <v>trehaloza dwuwodna</v>
      </c>
    </row>
    <row r="1943" spans="1:7" x14ac:dyDescent="0.3">
      <c r="A1943" t="s">
        <v>1847</v>
      </c>
      <c r="B1943" t="s">
        <v>1855</v>
      </c>
      <c r="C1943">
        <v>105</v>
      </c>
      <c r="D1943" t="s">
        <v>1447</v>
      </c>
      <c r="E1943" t="s">
        <v>1857</v>
      </c>
      <c r="F1943" t="s">
        <v>1741</v>
      </c>
      <c r="G1943" t="str">
        <f>IF(ISBLANK('Q 5'!H307),"",IF('Q 5'!H307="&lt;please select&gt;","",'Q 5'!H307))</f>
        <v>Wapień</v>
      </c>
    </row>
    <row r="1944" spans="1:7" x14ac:dyDescent="0.3">
      <c r="A1944" t="s">
        <v>1847</v>
      </c>
      <c r="B1944" t="s">
        <v>1855</v>
      </c>
      <c r="C1944">
        <v>106</v>
      </c>
      <c r="D1944" t="s">
        <v>1447</v>
      </c>
      <c r="E1944" t="s">
        <v>1857</v>
      </c>
      <c r="F1944" t="s">
        <v>1741</v>
      </c>
      <c r="G1944" t="str">
        <f>IF(ISBLANK('Q 5'!H308),"",IF('Q 5'!H308="&lt;please select&gt;","",'Q 5'!H308))</f>
        <v>Wapno</v>
      </c>
    </row>
    <row r="1945" spans="1:7" x14ac:dyDescent="0.3">
      <c r="A1945" t="s">
        <v>1847</v>
      </c>
      <c r="B1945" t="s">
        <v>1855</v>
      </c>
      <c r="C1945">
        <v>107</v>
      </c>
      <c r="D1945" t="s">
        <v>1447</v>
      </c>
      <c r="E1945" t="s">
        <v>1857</v>
      </c>
      <c r="F1945" t="s">
        <v>1741</v>
      </c>
      <c r="G1945" t="str">
        <f>IF(ISBLANK('Q 5'!H309),"",IF('Q 5'!H309="&lt;please select&gt;","",'Q 5'!H309))</f>
        <v>Węgiel kamienny</v>
      </c>
    </row>
    <row r="1946" spans="1:7" x14ac:dyDescent="0.3">
      <c r="A1946" t="s">
        <v>1847</v>
      </c>
      <c r="B1946" t="s">
        <v>1855</v>
      </c>
      <c r="C1946">
        <v>108</v>
      </c>
      <c r="D1946" t="s">
        <v>1447</v>
      </c>
      <c r="E1946" t="s">
        <v>1857</v>
      </c>
      <c r="F1946" t="s">
        <v>1741</v>
      </c>
      <c r="G1946" t="str">
        <f>IF(ISBLANK('Q 5'!H310),"",IF('Q 5'!H310="&lt;please select&gt;","",'Q 5'!H310))</f>
        <v>Węglan Baru</v>
      </c>
    </row>
    <row r="1947" spans="1:7" x14ac:dyDescent="0.3">
      <c r="A1947" t="s">
        <v>1847</v>
      </c>
      <c r="B1947" t="s">
        <v>1855</v>
      </c>
      <c r="C1947">
        <v>109</v>
      </c>
      <c r="D1947" t="s">
        <v>1447</v>
      </c>
      <c r="E1947" t="s">
        <v>1857</v>
      </c>
      <c r="F1947" t="s">
        <v>1741</v>
      </c>
      <c r="G1947" t="str">
        <f>IF(ISBLANK('Q 5'!H311),"",IF('Q 5'!H311="&lt;please select&gt;","",'Q 5'!H311))</f>
        <v>Węglan Magnezu</v>
      </c>
    </row>
    <row r="1948" spans="1:7" x14ac:dyDescent="0.3">
      <c r="A1948" t="s">
        <v>1847</v>
      </c>
      <c r="B1948" t="s">
        <v>1855</v>
      </c>
      <c r="C1948">
        <v>110</v>
      </c>
      <c r="D1948" t="s">
        <v>1447</v>
      </c>
      <c r="E1948" t="s">
        <v>1857</v>
      </c>
      <c r="F1948" t="s">
        <v>1741</v>
      </c>
      <c r="G1948" t="str">
        <f>IF(ISBLANK('Q 5'!H312),"",IF('Q 5'!H312="&lt;please select&gt;","",'Q 5'!H312))</f>
        <v>Węglan Sodu</v>
      </c>
    </row>
    <row r="1949" spans="1:7" x14ac:dyDescent="0.3">
      <c r="A1949" t="s">
        <v>1847</v>
      </c>
      <c r="B1949" t="s">
        <v>1855</v>
      </c>
      <c r="C1949">
        <v>111</v>
      </c>
      <c r="D1949" t="s">
        <v>1447</v>
      </c>
      <c r="E1949" t="s">
        <v>1857</v>
      </c>
      <c r="F1949" t="s">
        <v>1741</v>
      </c>
      <c r="G1949" t="str">
        <f>IF(ISBLANK('Q 5'!H313),"",IF('Q 5'!H313="&lt;please select&gt;","",'Q 5'!H313))</f>
        <v>Węglan Strontu</v>
      </c>
    </row>
    <row r="1950" spans="1:7" x14ac:dyDescent="0.3">
      <c r="A1950" t="s">
        <v>1847</v>
      </c>
      <c r="B1950" t="s">
        <v>1855</v>
      </c>
      <c r="C1950">
        <v>112</v>
      </c>
      <c r="D1950" t="s">
        <v>1447</v>
      </c>
      <c r="E1950" t="s">
        <v>1857</v>
      </c>
      <c r="F1950" t="s">
        <v>1741</v>
      </c>
      <c r="G1950" t="str">
        <f>IF(ISBLANK('Q 5'!H314),"",IF('Q 5'!H314="&lt;please select&gt;","",'Q 5'!H314))</f>
        <v>Węglan Wapnia</v>
      </c>
    </row>
    <row r="1951" spans="1:7" x14ac:dyDescent="0.3">
      <c r="A1951" t="s">
        <v>1847</v>
      </c>
      <c r="B1951" t="s">
        <v>1855</v>
      </c>
      <c r="C1951">
        <v>113</v>
      </c>
      <c r="D1951" t="s">
        <v>1447</v>
      </c>
      <c r="E1951" t="s">
        <v>1857</v>
      </c>
      <c r="F1951" t="s">
        <v>1741</v>
      </c>
      <c r="G1951" t="str">
        <f>IF(ISBLANK('Q 5'!H315),"",IF('Q 5'!H315="&lt;please select&gt;","",'Q 5'!H315))</f>
        <v>węglik krzemu SiC</v>
      </c>
    </row>
    <row r="1952" spans="1:7" x14ac:dyDescent="0.3">
      <c r="A1952" t="s">
        <v>1847</v>
      </c>
      <c r="B1952" t="s">
        <v>1855</v>
      </c>
      <c r="C1952">
        <v>114</v>
      </c>
      <c r="D1952" t="s">
        <v>1447</v>
      </c>
      <c r="E1952" t="s">
        <v>1857</v>
      </c>
      <c r="F1952" t="s">
        <v>1741</v>
      </c>
      <c r="G1952" t="str">
        <f>IF(ISBLANK('Q 5'!H316),"",IF('Q 5'!H316="&lt;please select&gt;","",'Q 5'!H316))</f>
        <v>Złom stalowy</v>
      </c>
    </row>
    <row r="1953" spans="1:7" x14ac:dyDescent="0.3">
      <c r="A1953" t="s">
        <v>1847</v>
      </c>
      <c r="B1953" t="s">
        <v>1855</v>
      </c>
      <c r="C1953">
        <v>115</v>
      </c>
      <c r="D1953" t="s">
        <v>1447</v>
      </c>
      <c r="E1953" t="s">
        <v>1857</v>
      </c>
      <c r="F1953" t="s">
        <v>1741</v>
      </c>
      <c r="G1953" t="str">
        <f>IF(ISBLANK('Q 5'!H317),"",IF('Q 5'!H317="&lt;please select&gt;","",'Q 5'!H317))</f>
        <v>żelastopy</v>
      </c>
    </row>
    <row r="1954" spans="1:7" x14ac:dyDescent="0.3">
      <c r="A1954" t="s">
        <v>1847</v>
      </c>
      <c r="B1954" t="s">
        <v>1855</v>
      </c>
      <c r="C1954">
        <v>116</v>
      </c>
      <c r="D1954" t="s">
        <v>1447</v>
      </c>
      <c r="E1954" t="s">
        <v>1857</v>
      </c>
      <c r="F1954" t="s">
        <v>1741</v>
      </c>
      <c r="G1954" t="str">
        <f>IF(ISBLANK('Q 5'!H318),"",IF('Q 5'!H318="&lt;please select&gt;","",'Q 5'!H318))</f>
        <v>żelazochrom FeCr025</v>
      </c>
    </row>
    <row r="1955" spans="1:7" x14ac:dyDescent="0.3">
      <c r="A1955" t="s">
        <v>1847</v>
      </c>
      <c r="B1955" t="s">
        <v>1855</v>
      </c>
      <c r="C1955">
        <v>117</v>
      </c>
      <c r="D1955" t="s">
        <v>1447</v>
      </c>
      <c r="E1955" t="s">
        <v>1857</v>
      </c>
      <c r="F1955" t="s">
        <v>1741</v>
      </c>
      <c r="G1955" t="str">
        <f>IF(ISBLANK('Q 5'!H319),"",IF('Q 5'!H319="&lt;please select&gt;","",'Q 5'!H319))</f>
        <v>żelazochrom FeCr800</v>
      </c>
    </row>
    <row r="1956" spans="1:7" x14ac:dyDescent="0.3">
      <c r="A1956" t="s">
        <v>1847</v>
      </c>
      <c r="B1956" t="s">
        <v>1855</v>
      </c>
      <c r="C1956">
        <v>118</v>
      </c>
      <c r="D1956" t="s">
        <v>1447</v>
      </c>
      <c r="E1956" t="s">
        <v>1857</v>
      </c>
      <c r="F1956" t="s">
        <v>1741</v>
      </c>
      <c r="G1956" t="str">
        <f>IF(ISBLANK('Q 5'!H320),"",IF('Q 5'!H320="&lt;please select&gt;","",'Q 5'!H320))</f>
        <v>żelazokrzem FeSi</v>
      </c>
    </row>
    <row r="1957" spans="1:7" x14ac:dyDescent="0.3">
      <c r="A1957" t="s">
        <v>1847</v>
      </c>
      <c r="B1957" t="s">
        <v>1855</v>
      </c>
      <c r="C1957">
        <v>119</v>
      </c>
      <c r="D1957" t="s">
        <v>1447</v>
      </c>
      <c r="E1957" t="s">
        <v>1857</v>
      </c>
      <c r="F1957" t="s">
        <v>1741</v>
      </c>
      <c r="G1957" t="str">
        <f>IF(ISBLANK('Q 5'!H321),"",IF('Q 5'!H321="&lt;please select&gt;","",'Q 5'!H321))</f>
        <v>żelazokrzemomangan FeSiMn</v>
      </c>
    </row>
    <row r="1958" spans="1:7" x14ac:dyDescent="0.3">
      <c r="A1958" t="s">
        <v>1847</v>
      </c>
      <c r="B1958" t="s">
        <v>1855</v>
      </c>
      <c r="C1958">
        <v>120</v>
      </c>
      <c r="D1958" t="s">
        <v>1447</v>
      </c>
      <c r="E1958" t="s">
        <v>1857</v>
      </c>
      <c r="F1958" t="s">
        <v>1741</v>
      </c>
      <c r="G1958" t="str">
        <f>IF(ISBLANK('Q 5'!H322),"",IF('Q 5'!H322="&lt;please select&gt;","",'Q 5'!H322))</f>
        <v>żelazomangan FeMn</v>
      </c>
    </row>
    <row r="1959" spans="1:7" x14ac:dyDescent="0.3">
      <c r="A1959" t="s">
        <v>1847</v>
      </c>
      <c r="B1959" t="s">
        <v>1855</v>
      </c>
      <c r="C1959">
        <v>121</v>
      </c>
      <c r="D1959" t="s">
        <v>1447</v>
      </c>
      <c r="E1959" t="s">
        <v>1857</v>
      </c>
      <c r="F1959" t="s">
        <v>1741</v>
      </c>
      <c r="G1959" t="str">
        <f>IF(ISBLANK('Q 5'!H323),"",IF('Q 5'!H323="&lt;please select&gt;","",'Q 5'!H323))</f>
        <v>żelazomolibden FeMo</v>
      </c>
    </row>
    <row r="1960" spans="1:7" x14ac:dyDescent="0.3">
      <c r="A1960" t="s">
        <v>1847</v>
      </c>
      <c r="B1960" t="s">
        <v>1855</v>
      </c>
      <c r="C1960">
        <v>122</v>
      </c>
      <c r="D1960" t="s">
        <v>1447</v>
      </c>
      <c r="E1960" t="s">
        <v>1857</v>
      </c>
      <c r="F1960" t="s">
        <v>1741</v>
      </c>
      <c r="G1960" t="str">
        <f>IF(ISBLANK('Q 5'!H324),"",IF('Q 5'!H324="&lt;please select&gt;","",'Q 5'!H324))</f>
        <v>żelazotytan FeTi</v>
      </c>
    </row>
    <row r="1961" spans="1:7" x14ac:dyDescent="0.3">
      <c r="A1961" t="s">
        <v>1847</v>
      </c>
      <c r="B1961" t="s">
        <v>1855</v>
      </c>
      <c r="C1961">
        <v>123</v>
      </c>
      <c r="D1961" t="s">
        <v>1447</v>
      </c>
      <c r="E1961" t="s">
        <v>1857</v>
      </c>
      <c r="F1961" t="s">
        <v>1741</v>
      </c>
      <c r="G1961" t="str">
        <f>IF(ISBLANK('Q 5'!H325),"",IF('Q 5'!H325="&lt;please select&gt;","",'Q 5'!H325))</f>
        <v xml:space="preserve">żelazowanad azotowany FeNV </v>
      </c>
    </row>
    <row r="1962" spans="1:7" x14ac:dyDescent="0.3">
      <c r="A1962" t="s">
        <v>1847</v>
      </c>
      <c r="B1962" t="s">
        <v>1855</v>
      </c>
      <c r="C1962">
        <v>124</v>
      </c>
      <c r="D1962" t="s">
        <v>1447</v>
      </c>
      <c r="E1962" t="s">
        <v>1857</v>
      </c>
      <c r="F1962" t="s">
        <v>1741</v>
      </c>
      <c r="G1962" t="str">
        <f>IF(ISBLANK('Q 5'!H326),"",IF('Q 5'!H326="&lt;please select&gt;","",'Q 5'!H326))</f>
        <v>żelazowanad FeV</v>
      </c>
    </row>
    <row r="1963" spans="1:7" x14ac:dyDescent="0.3">
      <c r="A1963" t="s">
        <v>1847</v>
      </c>
      <c r="B1963" t="s">
        <v>1855</v>
      </c>
      <c r="C1963">
        <v>125</v>
      </c>
      <c r="D1963" t="s">
        <v>1447</v>
      </c>
      <c r="E1963" t="s">
        <v>1857</v>
      </c>
      <c r="F1963" t="s">
        <v>1741</v>
      </c>
      <c r="G1963" t="str">
        <f>IF(ISBLANK('Q 5'!H327),"",IF('Q 5'!H327="&lt;please select&gt;","",'Q 5'!H327))</f>
        <v>żeliwo</v>
      </c>
    </row>
    <row r="1964" spans="1:7" x14ac:dyDescent="0.3">
      <c r="A1964" t="s">
        <v>1847</v>
      </c>
      <c r="B1964" t="s">
        <v>1855</v>
      </c>
      <c r="C1964">
        <v>126</v>
      </c>
      <c r="D1964" t="s">
        <v>1447</v>
      </c>
      <c r="E1964" t="s">
        <v>1857</v>
      </c>
      <c r="F1964" t="s">
        <v>1741</v>
      </c>
      <c r="G1964" t="str">
        <f>IF(ISBLANK('Q 5'!H328),"",IF('Q 5'!H328="&lt;please select&gt;","",'Q 5'!H328))</f>
        <v>Żużel</v>
      </c>
    </row>
    <row r="1965" spans="1:7" x14ac:dyDescent="0.3">
      <c r="A1965" t="s">
        <v>1847</v>
      </c>
      <c r="B1965" t="s">
        <v>1855</v>
      </c>
      <c r="C1965">
        <v>127</v>
      </c>
      <c r="D1965" t="s">
        <v>1447</v>
      </c>
      <c r="E1965" t="s">
        <v>1857</v>
      </c>
      <c r="F1965" t="s">
        <v>1741</v>
      </c>
      <c r="G1965" t="str">
        <f>IF(ISBLANK('Q 5'!H329),"",IF('Q 5'!H329="&lt;please select&gt;","",'Q 5'!H329))</f>
        <v>Antracyt</v>
      </c>
    </row>
    <row r="1966" spans="1:7" x14ac:dyDescent="0.3">
      <c r="A1966" t="s">
        <v>1847</v>
      </c>
      <c r="B1966" t="s">
        <v>1855</v>
      </c>
      <c r="C1966">
        <v>128</v>
      </c>
      <c r="D1966" t="s">
        <v>1447</v>
      </c>
      <c r="E1966" t="s">
        <v>1857</v>
      </c>
      <c r="F1966" t="s">
        <v>1741</v>
      </c>
      <c r="G1966" t="str">
        <f>IF(ISBLANK('Q 5'!H330),"",IF('Q 5'!H330="&lt;please select&gt;","",'Q 5'!H330))</f>
        <v>Benzyna</v>
      </c>
    </row>
    <row r="1967" spans="1:7" x14ac:dyDescent="0.3">
      <c r="A1967" t="s">
        <v>1847</v>
      </c>
      <c r="B1967" t="s">
        <v>1855</v>
      </c>
      <c r="C1967">
        <v>129</v>
      </c>
      <c r="D1967" t="s">
        <v>1447</v>
      </c>
      <c r="E1967" t="s">
        <v>1857</v>
      </c>
      <c r="F1967" t="s">
        <v>1741</v>
      </c>
      <c r="G1967" t="str">
        <f>IF(ISBLANK('Q 5'!H331),"",IF('Q 5'!H331="&lt;please select&gt;","",'Q 5'!H331))</f>
        <v>Biogaz</v>
      </c>
    </row>
    <row r="1968" spans="1:7" x14ac:dyDescent="0.3">
      <c r="A1968" t="s">
        <v>1847</v>
      </c>
      <c r="B1968" t="s">
        <v>1855</v>
      </c>
      <c r="C1968">
        <v>130</v>
      </c>
      <c r="D1968" t="s">
        <v>1447</v>
      </c>
      <c r="E1968" t="s">
        <v>1857</v>
      </c>
      <c r="F1968" t="s">
        <v>1741</v>
      </c>
      <c r="G1968" t="str">
        <f>IF(ISBLANK('Q 5'!H332),"",IF('Q 5'!H332="&lt;please select&gt;","",'Q 5'!H332))</f>
        <v>Biomasa</v>
      </c>
    </row>
    <row r="1969" spans="1:7" x14ac:dyDescent="0.3">
      <c r="A1969" t="s">
        <v>1847</v>
      </c>
      <c r="B1969" t="s">
        <v>1855</v>
      </c>
      <c r="C1969">
        <v>131</v>
      </c>
      <c r="D1969" t="s">
        <v>1447</v>
      </c>
      <c r="E1969" t="s">
        <v>1857</v>
      </c>
      <c r="F1969" t="s">
        <v>1741</v>
      </c>
      <c r="G1969" t="str">
        <f>IF(ISBLANK('Q 5'!H333),"",IF('Q 5'!H333="&lt;please select&gt;","",'Q 5'!H333))</f>
        <v>dodatki stopowe</v>
      </c>
    </row>
    <row r="1970" spans="1:7" x14ac:dyDescent="0.3">
      <c r="A1970" t="s">
        <v>1847</v>
      </c>
      <c r="B1970" t="s">
        <v>1855</v>
      </c>
      <c r="C1970">
        <v>132</v>
      </c>
      <c r="D1970" t="s">
        <v>1447</v>
      </c>
      <c r="E1970" t="s">
        <v>1857</v>
      </c>
      <c r="F1970" t="s">
        <v>1741</v>
      </c>
      <c r="G1970" t="str">
        <f>IF(ISBLANK('Q 5'!H334),"",IF('Q 5'!H334="&lt;please select&gt;","",'Q 5'!H334))</f>
        <v>drut węglowy</v>
      </c>
    </row>
    <row r="1971" spans="1:7" x14ac:dyDescent="0.3">
      <c r="A1971" t="s">
        <v>1847</v>
      </c>
      <c r="B1971" t="s">
        <v>1855</v>
      </c>
      <c r="C1971">
        <v>133</v>
      </c>
      <c r="D1971" t="s">
        <v>1447</v>
      </c>
      <c r="E1971" t="s">
        <v>1857</v>
      </c>
      <c r="F1971" t="s">
        <v>1741</v>
      </c>
      <c r="G1971" t="str">
        <f>IF(ISBLANK('Q 5'!H335),"",IF('Q 5'!H335="&lt;please select&gt;","",'Q 5'!H335))</f>
        <v>Elektrody</v>
      </c>
    </row>
    <row r="1972" spans="1:7" x14ac:dyDescent="0.3">
      <c r="A1972" t="s">
        <v>1847</v>
      </c>
      <c r="B1972" t="s">
        <v>1855</v>
      </c>
      <c r="C1972">
        <v>134</v>
      </c>
      <c r="D1972" t="s">
        <v>1447</v>
      </c>
      <c r="E1972" t="s">
        <v>1857</v>
      </c>
      <c r="F1972" t="s">
        <v>1741</v>
      </c>
      <c r="G1972" t="str">
        <f>IF(ISBLANK('Q 5'!H336),"",IF('Q 5'!H336="&lt;please select&gt;","",'Q 5'!H336))</f>
        <v>Folia Cu</v>
      </c>
    </row>
    <row r="1973" spans="1:7" x14ac:dyDescent="0.3">
      <c r="A1973" t="s">
        <v>1847</v>
      </c>
      <c r="B1973" t="s">
        <v>1855</v>
      </c>
      <c r="C1973">
        <v>135</v>
      </c>
      <c r="D1973" t="s">
        <v>1447</v>
      </c>
      <c r="E1973" t="s">
        <v>1857</v>
      </c>
      <c r="F1973" t="s">
        <v>1741</v>
      </c>
      <c r="G1973" t="str">
        <f>IF(ISBLANK('Q 5'!H337),"",IF('Q 5'!H337="&lt;please select&gt;","",'Q 5'!H337))</f>
        <v>Gaz koksowniczy</v>
      </c>
    </row>
    <row r="1974" spans="1:7" x14ac:dyDescent="0.3">
      <c r="A1974" t="s">
        <v>1847</v>
      </c>
      <c r="B1974" t="s">
        <v>1855</v>
      </c>
      <c r="C1974">
        <v>136</v>
      </c>
      <c r="D1974" t="s">
        <v>1447</v>
      </c>
      <c r="E1974" t="s">
        <v>1857</v>
      </c>
      <c r="F1974" t="s">
        <v>1741</v>
      </c>
      <c r="G1974" t="str">
        <f>IF(ISBLANK('Q 5'!H338),"",IF('Q 5'!H338="&lt;please select&gt;","",'Q 5'!H338))</f>
        <v>Gaz LPG</v>
      </c>
    </row>
    <row r="1975" spans="1:7" x14ac:dyDescent="0.3">
      <c r="A1975" t="s">
        <v>1847</v>
      </c>
      <c r="B1975" t="s">
        <v>1855</v>
      </c>
      <c r="C1975">
        <v>137</v>
      </c>
      <c r="D1975" t="s">
        <v>1447</v>
      </c>
      <c r="E1975" t="s">
        <v>1857</v>
      </c>
      <c r="F1975" t="s">
        <v>1741</v>
      </c>
      <c r="G1975" t="str">
        <f>IF(ISBLANK('Q 5'!H339),"",IF('Q 5'!H339="&lt;please select&gt;","",'Q 5'!H339))</f>
        <v>Gaz nadmiarowy</v>
      </c>
    </row>
    <row r="1976" spans="1:7" x14ac:dyDescent="0.3">
      <c r="A1976" t="s">
        <v>1847</v>
      </c>
      <c r="B1976" t="s">
        <v>1855</v>
      </c>
      <c r="C1976">
        <v>138</v>
      </c>
      <c r="D1976" t="s">
        <v>1447</v>
      </c>
      <c r="E1976" t="s">
        <v>1857</v>
      </c>
      <c r="F1976" t="s">
        <v>1741</v>
      </c>
      <c r="G1976" t="str">
        <f>IF(ISBLANK('Q 5'!H340),"",IF('Q 5'!H340="&lt;please select&gt;","",'Q 5'!H340))</f>
        <v>Gaz Propan Butan</v>
      </c>
    </row>
    <row r="1977" spans="1:7" x14ac:dyDescent="0.3">
      <c r="A1977" t="s">
        <v>1847</v>
      </c>
      <c r="B1977" t="s">
        <v>1855</v>
      </c>
      <c r="C1977">
        <v>139</v>
      </c>
      <c r="D1977" t="s">
        <v>1447</v>
      </c>
      <c r="E1977" t="s">
        <v>1857</v>
      </c>
      <c r="F1977" t="s">
        <v>1741</v>
      </c>
      <c r="G1977" t="str">
        <f>IF(ISBLANK('Q 5'!H341),"",IF('Q 5'!H341="&lt;please select&gt;","",'Q 5'!H341))</f>
        <v>Gaz skroplony LNG</v>
      </c>
    </row>
    <row r="1978" spans="1:7" x14ac:dyDescent="0.3">
      <c r="A1978" t="s">
        <v>1847</v>
      </c>
      <c r="B1978" t="s">
        <v>1855</v>
      </c>
      <c r="C1978">
        <v>140</v>
      </c>
      <c r="D1978" t="s">
        <v>1447</v>
      </c>
      <c r="E1978" t="s">
        <v>1857</v>
      </c>
      <c r="F1978" t="s">
        <v>1741</v>
      </c>
      <c r="G1978" t="str">
        <f>IF(ISBLANK('Q 5'!H342),"",IF('Q 5'!H342="&lt;please select&gt;","",'Q 5'!H342))</f>
        <v>Gaz z utwardzania żywicy</v>
      </c>
    </row>
    <row r="1979" spans="1:7" x14ac:dyDescent="0.3">
      <c r="A1979" t="s">
        <v>1847</v>
      </c>
      <c r="B1979" t="s">
        <v>1855</v>
      </c>
      <c r="C1979">
        <v>141</v>
      </c>
      <c r="D1979" t="s">
        <v>1447</v>
      </c>
      <c r="E1979" t="s">
        <v>1857</v>
      </c>
      <c r="F1979" t="s">
        <v>1741</v>
      </c>
      <c r="G1979" t="str">
        <f>IF(ISBLANK('Q 5'!H343),"",IF('Q 5'!H343="&lt;please select&gt;","",'Q 5'!H343))</f>
        <v>gaz ziemny wysokometanowy</v>
      </c>
    </row>
    <row r="1980" spans="1:7" x14ac:dyDescent="0.3">
      <c r="A1980" t="s">
        <v>1847</v>
      </c>
      <c r="B1980" t="s">
        <v>1855</v>
      </c>
      <c r="C1980">
        <v>142</v>
      </c>
      <c r="D1980" t="s">
        <v>1447</v>
      </c>
      <c r="E1980" t="s">
        <v>1857</v>
      </c>
      <c r="F1980" t="s">
        <v>1741</v>
      </c>
      <c r="G1980" t="str">
        <f>IF(ISBLANK('Q 5'!H344),"",IF('Q 5'!H344="&lt;please select&gt;","",'Q 5'!H344))</f>
        <v>Gazy złowonne</v>
      </c>
    </row>
    <row r="1981" spans="1:7" x14ac:dyDescent="0.3">
      <c r="A1981" t="s">
        <v>1847</v>
      </c>
      <c r="B1981" t="s">
        <v>1855</v>
      </c>
      <c r="C1981">
        <v>143</v>
      </c>
      <c r="D1981" t="s">
        <v>1447</v>
      </c>
      <c r="E1981" t="s">
        <v>1857</v>
      </c>
      <c r="F1981" t="s">
        <v>1741</v>
      </c>
      <c r="G1981" t="str">
        <f>IF(ISBLANK('Q 5'!H345),"",IF('Q 5'!H345="&lt;please select&gt;","",'Q 5'!H345))</f>
        <v>Gazy zrzutowe</v>
      </c>
    </row>
    <row r="1982" spans="1:7" x14ac:dyDescent="0.3">
      <c r="A1982" t="s">
        <v>1847</v>
      </c>
      <c r="B1982" t="s">
        <v>1855</v>
      </c>
      <c r="C1982">
        <v>144</v>
      </c>
      <c r="D1982" t="s">
        <v>1447</v>
      </c>
      <c r="E1982" t="s">
        <v>1857</v>
      </c>
      <c r="F1982" t="s">
        <v>1741</v>
      </c>
      <c r="G1982" t="str">
        <f>IF(ISBLANK('Q 5'!H346),"",IF('Q 5'!H346="&lt;please select&gt;","",'Q 5'!H346))</f>
        <v xml:space="preserve">Grafit </v>
      </c>
    </row>
    <row r="1983" spans="1:7" x14ac:dyDescent="0.3">
      <c r="A1983" t="s">
        <v>1847</v>
      </c>
      <c r="B1983" t="s">
        <v>1855</v>
      </c>
      <c r="C1983">
        <v>145</v>
      </c>
      <c r="D1983" t="s">
        <v>1447</v>
      </c>
      <c r="E1983" t="s">
        <v>1857</v>
      </c>
      <c r="F1983" t="s">
        <v>1741</v>
      </c>
      <c r="G1983" t="str">
        <f>IF(ISBLANK('Q 5'!H347),"",IF('Q 5'!H347="&lt;please select&gt;","",'Q 5'!H347))</f>
        <v>Kamień wapienny</v>
      </c>
    </row>
    <row r="1984" spans="1:7" x14ac:dyDescent="0.3">
      <c r="A1984" t="s">
        <v>1847</v>
      </c>
      <c r="B1984" t="s">
        <v>1855</v>
      </c>
      <c r="C1984">
        <v>146</v>
      </c>
      <c r="D1984" t="s">
        <v>1447</v>
      </c>
      <c r="E1984" t="s">
        <v>1857</v>
      </c>
      <c r="F1984" t="s">
        <v>1741</v>
      </c>
      <c r="G1984" t="str">
        <f>IF(ISBLANK('Q 5'!H348),"",IF('Q 5'!H348="&lt;please select&gt;","",'Q 5'!H348))</f>
        <v>karbid</v>
      </c>
    </row>
    <row r="1985" spans="1:7" x14ac:dyDescent="0.3">
      <c r="A1985" t="s">
        <v>1847</v>
      </c>
      <c r="B1985" t="s">
        <v>1855</v>
      </c>
      <c r="C1985">
        <v>147</v>
      </c>
      <c r="D1985" t="s">
        <v>1447</v>
      </c>
      <c r="E1985" t="s">
        <v>1857</v>
      </c>
      <c r="F1985" t="s">
        <v>1741</v>
      </c>
      <c r="G1985" t="str">
        <f>IF(ISBLANK('Q 5'!H349),"",IF('Q 5'!H349="&lt;please select&gt;","",'Q 5'!H349))</f>
        <v>Koks</v>
      </c>
    </row>
    <row r="1986" spans="1:7" x14ac:dyDescent="0.3">
      <c r="A1986" t="s">
        <v>1847</v>
      </c>
      <c r="B1986" t="s">
        <v>1855</v>
      </c>
      <c r="C1986">
        <v>148</v>
      </c>
      <c r="D1986" t="s">
        <v>1447</v>
      </c>
      <c r="E1986" t="s">
        <v>1857</v>
      </c>
      <c r="F1986" t="s">
        <v>1741</v>
      </c>
      <c r="G1986" t="str">
        <f>IF(ISBLANK('Q 5'!H350),"",IF('Q 5'!H350="&lt;please select&gt;","",'Q 5'!H350))</f>
        <v>Koncentraty flotacyjne i metaliczne</v>
      </c>
    </row>
    <row r="1987" spans="1:7" x14ac:dyDescent="0.3">
      <c r="A1987" t="s">
        <v>1847</v>
      </c>
      <c r="B1987" t="s">
        <v>1855</v>
      </c>
      <c r="C1987">
        <v>149</v>
      </c>
      <c r="D1987" t="s">
        <v>1447</v>
      </c>
      <c r="E1987" t="s">
        <v>1857</v>
      </c>
      <c r="F1987" t="s">
        <v>1741</v>
      </c>
      <c r="G1987" t="str">
        <f>IF(ISBLANK('Q 5'!H351),"",IF('Q 5'!H351="&lt;please select&gt;","",'Q 5'!H351))</f>
        <v>Koncentraty miedzi pozostałe</v>
      </c>
    </row>
    <row r="1988" spans="1:7" x14ac:dyDescent="0.3">
      <c r="A1988" t="s">
        <v>1847</v>
      </c>
      <c r="B1988" t="s">
        <v>1855</v>
      </c>
      <c r="C1988">
        <v>150</v>
      </c>
      <c r="D1988" t="s">
        <v>1447</v>
      </c>
      <c r="E1988" t="s">
        <v>1857</v>
      </c>
      <c r="F1988" t="s">
        <v>1741</v>
      </c>
      <c r="G1988" t="str">
        <f>IF(ISBLANK('Q 5'!H352),"",IF('Q 5'!H352="&lt;please select&gt;","",'Q 5'!H352))</f>
        <v>Kwas octowy</v>
      </c>
    </row>
    <row r="1989" spans="1:7" x14ac:dyDescent="0.3">
      <c r="A1989" t="s">
        <v>1847</v>
      </c>
      <c r="B1989" t="s">
        <v>1855</v>
      </c>
      <c r="C1989">
        <v>151</v>
      </c>
      <c r="D1989" t="s">
        <v>1447</v>
      </c>
      <c r="E1989" t="s">
        <v>1857</v>
      </c>
      <c r="F1989" t="s">
        <v>1741</v>
      </c>
      <c r="G1989" t="str">
        <f>IF(ISBLANK('Q 5'!H353),"",IF('Q 5'!H353="&lt;please select&gt;","",'Q 5'!H353))</f>
        <v>Ług czarny</v>
      </c>
    </row>
    <row r="1990" spans="1:7" x14ac:dyDescent="0.3">
      <c r="A1990" t="s">
        <v>1847</v>
      </c>
      <c r="B1990" t="s">
        <v>1855</v>
      </c>
      <c r="C1990">
        <v>152</v>
      </c>
      <c r="D1990" t="s">
        <v>1447</v>
      </c>
      <c r="E1990" t="s">
        <v>1857</v>
      </c>
      <c r="F1990" t="s">
        <v>1741</v>
      </c>
      <c r="G1990" t="str">
        <f>IF(ISBLANK('Q 5'!H354),"",IF('Q 5'!H354="&lt;please select&gt;","",'Q 5'!H354))</f>
        <v xml:space="preserve">Masa formiersko-rdzeniowa FLOSTER </v>
      </c>
    </row>
    <row r="1991" spans="1:7" x14ac:dyDescent="0.3">
      <c r="A1991" t="s">
        <v>1847</v>
      </c>
      <c r="B1991" t="s">
        <v>1855</v>
      </c>
      <c r="C1991">
        <v>153</v>
      </c>
      <c r="D1991" t="s">
        <v>1447</v>
      </c>
      <c r="E1991" t="s">
        <v>1857</v>
      </c>
      <c r="F1991" t="s">
        <v>1741</v>
      </c>
      <c r="G1991" t="str">
        <f>IF(ISBLANK('Q 5'!H355),"",IF('Q 5'!H355="&lt;please select&gt;","",'Q 5'!H355))</f>
        <v>mączka wapienna</v>
      </c>
    </row>
    <row r="1992" spans="1:7" x14ac:dyDescent="0.3">
      <c r="A1992" t="s">
        <v>1847</v>
      </c>
      <c r="B1992" t="s">
        <v>1855</v>
      </c>
      <c r="C1992">
        <v>154</v>
      </c>
      <c r="D1992" t="s">
        <v>1447</v>
      </c>
      <c r="E1992" t="s">
        <v>1857</v>
      </c>
      <c r="F1992" t="s">
        <v>1741</v>
      </c>
      <c r="G1992" t="str">
        <f>IF(ISBLANK('Q 5'!H356),"",IF('Q 5'!H356="&lt;please select&gt;","",'Q 5'!H356))</f>
        <v>Metanol</v>
      </c>
    </row>
    <row r="1993" spans="1:7" x14ac:dyDescent="0.3">
      <c r="A1993" t="s">
        <v>1847</v>
      </c>
      <c r="B1993" t="s">
        <v>1855</v>
      </c>
      <c r="C1993">
        <v>155</v>
      </c>
      <c r="D1993" t="s">
        <v>1447</v>
      </c>
      <c r="E1993" t="s">
        <v>1857</v>
      </c>
      <c r="F1993" t="s">
        <v>1741</v>
      </c>
      <c r="G1993" t="str">
        <f>IF(ISBLANK('Q 5'!H357),"",IF('Q 5'!H357="&lt;please select&gt;","",'Q 5'!H357))</f>
        <v>Mocznik</v>
      </c>
    </row>
    <row r="1994" spans="1:7" x14ac:dyDescent="0.3">
      <c r="A1994" t="s">
        <v>1847</v>
      </c>
      <c r="B1994" t="s">
        <v>1855</v>
      </c>
      <c r="C1994">
        <v>156</v>
      </c>
      <c r="D1994" t="s">
        <v>1447</v>
      </c>
      <c r="E1994" t="s">
        <v>1857</v>
      </c>
      <c r="F1994" t="s">
        <v>1741</v>
      </c>
      <c r="G1994" t="str">
        <f>IF(ISBLANK('Q 5'!H358),"",IF('Q 5'!H358="&lt;please select&gt;","",'Q 5'!H358))</f>
        <v>Mydła</v>
      </c>
    </row>
    <row r="1995" spans="1:7" x14ac:dyDescent="0.3">
      <c r="A1995" t="s">
        <v>1847</v>
      </c>
      <c r="B1995" t="s">
        <v>1855</v>
      </c>
      <c r="C1995">
        <v>157</v>
      </c>
      <c r="D1995" t="s">
        <v>1447</v>
      </c>
      <c r="E1995" t="s">
        <v>1857</v>
      </c>
      <c r="F1995" t="s">
        <v>1741</v>
      </c>
      <c r="G1995" t="str">
        <f>IF(ISBLANK('Q 5'!H359),"",IF('Q 5'!H359="&lt;please select&gt;","",'Q 5'!H359))</f>
        <v>Odpady przemysłowe</v>
      </c>
    </row>
    <row r="1996" spans="1:7" x14ac:dyDescent="0.3">
      <c r="A1996" t="s">
        <v>1847</v>
      </c>
      <c r="B1996" t="s">
        <v>1855</v>
      </c>
      <c r="C1996">
        <v>158</v>
      </c>
      <c r="D1996" t="s">
        <v>1447</v>
      </c>
      <c r="E1996" t="s">
        <v>1857</v>
      </c>
      <c r="F1996" t="s">
        <v>1741</v>
      </c>
      <c r="G1996" t="str">
        <f>IF(ISBLANK('Q 5'!H360),"",IF('Q 5'!H360="&lt;please select&gt;","",'Q 5'!H360))</f>
        <v xml:space="preserve">Okładziny piecowe i materiały ogniotrwałe </v>
      </c>
    </row>
    <row r="1997" spans="1:7" x14ac:dyDescent="0.3">
      <c r="A1997" t="s">
        <v>1847</v>
      </c>
      <c r="B1997" t="s">
        <v>1855</v>
      </c>
      <c r="C1997">
        <v>159</v>
      </c>
      <c r="D1997" t="s">
        <v>1447</v>
      </c>
      <c r="E1997" t="s">
        <v>1857</v>
      </c>
      <c r="F1997" t="s">
        <v>1741</v>
      </c>
      <c r="G1997" t="str">
        <f>IF(ISBLANK('Q 5'!H361),"",IF('Q 5'!H361="&lt;please select&gt;","",'Q 5'!H361))</f>
        <v>Olej napędowy</v>
      </c>
    </row>
    <row r="1998" spans="1:7" x14ac:dyDescent="0.3">
      <c r="A1998" t="s">
        <v>1847</v>
      </c>
      <c r="B1998" t="s">
        <v>1855</v>
      </c>
      <c r="C1998">
        <v>160</v>
      </c>
      <c r="D1998" t="s">
        <v>1447</v>
      </c>
      <c r="E1998" t="s">
        <v>1857</v>
      </c>
      <c r="F1998" t="s">
        <v>1741</v>
      </c>
      <c r="G1998" t="str">
        <f>IF(ISBLANK('Q 5'!H362),"",IF('Q 5'!H362="&lt;please select&gt;","",'Q 5'!H362))</f>
        <v>Olej opałowy bardzo lekki</v>
      </c>
    </row>
    <row r="1999" spans="1:7" x14ac:dyDescent="0.3">
      <c r="A1999" t="s">
        <v>1847</v>
      </c>
      <c r="B1999" t="s">
        <v>1855</v>
      </c>
      <c r="C1999">
        <v>161</v>
      </c>
      <c r="D1999" t="s">
        <v>1447</v>
      </c>
      <c r="E1999" t="s">
        <v>1857</v>
      </c>
      <c r="F1999" t="s">
        <v>1741</v>
      </c>
      <c r="G1999" t="str">
        <f>IF(ISBLANK('Q 5'!H363),"",IF('Q 5'!H363="&lt;please select&gt;","",'Q 5'!H363))</f>
        <v>Olej opałowy ciężki</v>
      </c>
    </row>
    <row r="2000" spans="1:7" x14ac:dyDescent="0.3">
      <c r="A2000" t="s">
        <v>1847</v>
      </c>
      <c r="B2000" t="s">
        <v>1855</v>
      </c>
      <c r="C2000">
        <v>162</v>
      </c>
      <c r="D2000" t="s">
        <v>1447</v>
      </c>
      <c r="E2000" t="s">
        <v>1857</v>
      </c>
      <c r="F2000" t="s">
        <v>1741</v>
      </c>
      <c r="G2000" t="str">
        <f>IF(ISBLANK('Q 5'!H364),"",IF('Q 5'!H364="&lt;please select&gt;","",'Q 5'!H364))</f>
        <v>Olej opałowy lekki</v>
      </c>
    </row>
    <row r="2001" spans="1:7" x14ac:dyDescent="0.3">
      <c r="A2001" t="s">
        <v>1847</v>
      </c>
      <c r="B2001" t="s">
        <v>1855</v>
      </c>
      <c r="C2001">
        <v>163</v>
      </c>
      <c r="D2001" t="s">
        <v>1447</v>
      </c>
      <c r="E2001" t="s">
        <v>1857</v>
      </c>
      <c r="F2001" t="s">
        <v>1741</v>
      </c>
      <c r="G2001" t="str">
        <f>IF(ISBLANK('Q 5'!H365),"",IF('Q 5'!H365="&lt;please select&gt;","",'Q 5'!H365))</f>
        <v>Olej opałowy średni</v>
      </c>
    </row>
    <row r="2002" spans="1:7" x14ac:dyDescent="0.3">
      <c r="A2002" t="s">
        <v>1847</v>
      </c>
      <c r="B2002" t="s">
        <v>1855</v>
      </c>
      <c r="C2002">
        <v>164</v>
      </c>
      <c r="D2002" t="s">
        <v>1447</v>
      </c>
      <c r="E2002" t="s">
        <v>1857</v>
      </c>
      <c r="F2002" t="s">
        <v>1741</v>
      </c>
      <c r="G2002" t="str">
        <f>IF(ISBLANK('Q 5'!H366),"",IF('Q 5'!H366="&lt;please select&gt;","",'Q 5'!H366))</f>
        <v>Propan</v>
      </c>
    </row>
    <row r="2003" spans="1:7" x14ac:dyDescent="0.3">
      <c r="A2003" t="s">
        <v>1847</v>
      </c>
      <c r="B2003" t="s">
        <v>1855</v>
      </c>
      <c r="C2003">
        <v>165</v>
      </c>
      <c r="D2003" t="s">
        <v>1447</v>
      </c>
      <c r="E2003" t="s">
        <v>1857</v>
      </c>
      <c r="F2003" t="s">
        <v>1741</v>
      </c>
      <c r="G2003" t="str">
        <f>IF(ISBLANK('Q 5'!H367),"",IF('Q 5'!H367="&lt;please select&gt;","",'Q 5'!H367))</f>
        <v>Soda</v>
      </c>
    </row>
    <row r="2004" spans="1:7" x14ac:dyDescent="0.3">
      <c r="A2004" t="s">
        <v>1847</v>
      </c>
      <c r="B2004" t="s">
        <v>1855</v>
      </c>
      <c r="C2004">
        <v>166</v>
      </c>
      <c r="D2004" t="s">
        <v>1447</v>
      </c>
      <c r="E2004" t="s">
        <v>1857</v>
      </c>
      <c r="F2004" t="s">
        <v>1741</v>
      </c>
      <c r="G2004" t="str">
        <f>IF(ISBLANK('Q 5'!H368),"",IF('Q 5'!H368="&lt;please select&gt;","",'Q 5'!H368))</f>
        <v>Surówka</v>
      </c>
    </row>
    <row r="2005" spans="1:7" x14ac:dyDescent="0.3">
      <c r="A2005" t="s">
        <v>1847</v>
      </c>
      <c r="B2005" t="s">
        <v>1855</v>
      </c>
      <c r="C2005">
        <v>167</v>
      </c>
      <c r="D2005" t="s">
        <v>1447</v>
      </c>
      <c r="E2005" t="s">
        <v>1857</v>
      </c>
      <c r="F2005" t="s">
        <v>1741</v>
      </c>
      <c r="G2005" t="str">
        <f>IF(ISBLANK('Q 5'!H369),"",IF('Q 5'!H369="&lt;please select&gt;","",'Q 5'!H369))</f>
        <v>Terpentyna</v>
      </c>
    </row>
    <row r="2006" spans="1:7" x14ac:dyDescent="0.3">
      <c r="A2006" t="s">
        <v>1847</v>
      </c>
      <c r="B2006" t="s">
        <v>1855</v>
      </c>
      <c r="C2006">
        <v>168</v>
      </c>
      <c r="D2006" t="s">
        <v>1447</v>
      </c>
      <c r="E2006" t="s">
        <v>1857</v>
      </c>
      <c r="F2006" t="s">
        <v>1741</v>
      </c>
      <c r="G2006" t="str">
        <f>IF(ISBLANK('Q 5'!H370),"",IF('Q 5'!H370="&lt;please select&gt;","",'Q 5'!H370))</f>
        <v>Wapno</v>
      </c>
    </row>
    <row r="2007" spans="1:7" x14ac:dyDescent="0.3">
      <c r="A2007" t="s">
        <v>1847</v>
      </c>
      <c r="B2007" t="s">
        <v>1855</v>
      </c>
      <c r="C2007">
        <v>169</v>
      </c>
      <c r="D2007" t="s">
        <v>1447</v>
      </c>
      <c r="E2007" t="s">
        <v>1857</v>
      </c>
      <c r="F2007" t="s">
        <v>1741</v>
      </c>
      <c r="G2007" t="str">
        <f>IF(ISBLANK('Q 5'!H371),"",IF('Q 5'!H371="&lt;please select&gt;","",'Q 5'!H371))</f>
        <v>Węgiel kamienny</v>
      </c>
    </row>
    <row r="2008" spans="1:7" x14ac:dyDescent="0.3">
      <c r="A2008" t="s">
        <v>1847</v>
      </c>
      <c r="B2008" t="s">
        <v>1855</v>
      </c>
      <c r="C2008">
        <v>170</v>
      </c>
      <c r="D2008" t="s">
        <v>1447</v>
      </c>
      <c r="E2008" t="s">
        <v>1857</v>
      </c>
      <c r="F2008" t="s">
        <v>1741</v>
      </c>
      <c r="G2008" t="str">
        <f>IF(ISBLANK('Q 5'!H372),"",IF('Q 5'!H372="&lt;please select&gt;","",'Q 5'!H372))</f>
        <v>Węglan Baru</v>
      </c>
    </row>
    <row r="2009" spans="1:7" x14ac:dyDescent="0.3">
      <c r="A2009" t="s">
        <v>1847</v>
      </c>
      <c r="B2009" t="s">
        <v>1855</v>
      </c>
      <c r="C2009">
        <v>171</v>
      </c>
      <c r="D2009" t="s">
        <v>1447</v>
      </c>
      <c r="E2009" t="s">
        <v>1857</v>
      </c>
      <c r="F2009" t="s">
        <v>1741</v>
      </c>
      <c r="G2009" t="str">
        <f>IF(ISBLANK('Q 5'!H373),"",IF('Q 5'!H373="&lt;please select&gt;","",'Q 5'!H373))</f>
        <v>Węglan Magnezu</v>
      </c>
    </row>
    <row r="2010" spans="1:7" x14ac:dyDescent="0.3">
      <c r="A2010" t="s">
        <v>1847</v>
      </c>
      <c r="B2010" t="s">
        <v>1855</v>
      </c>
      <c r="C2010">
        <v>172</v>
      </c>
      <c r="D2010" t="s">
        <v>1447</v>
      </c>
      <c r="E2010" t="s">
        <v>1857</v>
      </c>
      <c r="F2010" t="s">
        <v>1741</v>
      </c>
      <c r="G2010" t="str">
        <f>IF(ISBLANK('Q 5'!H374),"",IF('Q 5'!H374="&lt;please select&gt;","",'Q 5'!H374))</f>
        <v>Węglan Sodu</v>
      </c>
    </row>
    <row r="2011" spans="1:7" x14ac:dyDescent="0.3">
      <c r="A2011" t="s">
        <v>1847</v>
      </c>
      <c r="B2011" t="s">
        <v>1855</v>
      </c>
      <c r="C2011">
        <v>173</v>
      </c>
      <c r="D2011" t="s">
        <v>1447</v>
      </c>
      <c r="E2011" t="s">
        <v>1857</v>
      </c>
      <c r="F2011" t="s">
        <v>1741</v>
      </c>
      <c r="G2011" t="str">
        <f>IF(ISBLANK('Q 5'!H375),"",IF('Q 5'!H375="&lt;please select&gt;","",'Q 5'!H375))</f>
        <v>Węglan Wapnia</v>
      </c>
    </row>
    <row r="2012" spans="1:7" x14ac:dyDescent="0.3">
      <c r="A2012" t="s">
        <v>1847</v>
      </c>
      <c r="B2012" t="s">
        <v>1855</v>
      </c>
      <c r="C2012">
        <v>174</v>
      </c>
      <c r="D2012" t="s">
        <v>1447</v>
      </c>
      <c r="E2012" t="s">
        <v>1857</v>
      </c>
      <c r="F2012" t="s">
        <v>1741</v>
      </c>
      <c r="G2012" t="str">
        <f>IF(ISBLANK('Q 5'!H376),"",IF('Q 5'!H376="&lt;please select&gt;","",'Q 5'!H376))</f>
        <v>Zanieczyszczone powietrze procesowe</v>
      </c>
    </row>
    <row r="2013" spans="1:7" x14ac:dyDescent="0.3">
      <c r="A2013" t="s">
        <v>1847</v>
      </c>
      <c r="B2013" t="s">
        <v>1855</v>
      </c>
      <c r="C2013">
        <v>175</v>
      </c>
      <c r="D2013" t="s">
        <v>1447</v>
      </c>
      <c r="E2013" t="s">
        <v>1857</v>
      </c>
      <c r="F2013" t="s">
        <v>1741</v>
      </c>
      <c r="G2013" t="str">
        <f>IF(ISBLANK('Q 5'!H377),"",IF('Q 5'!H377="&lt;please select&gt;","",'Q 5'!H377))</f>
        <v>zasypki</v>
      </c>
    </row>
    <row r="2014" spans="1:7" x14ac:dyDescent="0.3">
      <c r="A2014" t="s">
        <v>1847</v>
      </c>
      <c r="B2014" t="s">
        <v>1855</v>
      </c>
      <c r="C2014">
        <v>176</v>
      </c>
      <c r="D2014" t="s">
        <v>1447</v>
      </c>
      <c r="E2014" t="s">
        <v>1857</v>
      </c>
      <c r="F2014" t="s">
        <v>1741</v>
      </c>
      <c r="G2014" t="str">
        <f>IF(ISBLANK('Q 5'!H378),"",IF('Q 5'!H378="&lt;please select&gt;","",'Q 5'!H378))</f>
        <v>Zużyte opony</v>
      </c>
    </row>
    <row r="2015" spans="1:7" x14ac:dyDescent="0.3">
      <c r="A2015" t="s">
        <v>1847</v>
      </c>
      <c r="B2015" t="s">
        <v>1855</v>
      </c>
      <c r="C2015">
        <v>177</v>
      </c>
      <c r="D2015" t="s">
        <v>1447</v>
      </c>
      <c r="E2015" t="s">
        <v>1857</v>
      </c>
      <c r="F2015" t="s">
        <v>1741</v>
      </c>
      <c r="G2015" t="str">
        <f>IF(ISBLANK('Q 5'!H379),"",IF('Q 5'!H379="&lt;please select&gt;","",'Q 5'!H379))</f>
        <v>Żużel</v>
      </c>
    </row>
    <row r="2016" spans="1:7" x14ac:dyDescent="0.3">
      <c r="A2016" t="s">
        <v>1847</v>
      </c>
      <c r="B2016" t="s">
        <v>1855</v>
      </c>
      <c r="C2016">
        <v>178</v>
      </c>
      <c r="D2016" t="s">
        <v>1447</v>
      </c>
      <c r="E2016" t="s">
        <v>1857</v>
      </c>
      <c r="F2016" t="s">
        <v>1741</v>
      </c>
      <c r="G2016" t="str">
        <f>IF(ISBLANK('Q 5'!H380),"",IF('Q 5'!H380="&lt;please select&gt;","",'Q 5'!H380))</f>
        <v>Benzyna</v>
      </c>
    </row>
    <row r="2017" spans="1:7" x14ac:dyDescent="0.3">
      <c r="A2017" t="s">
        <v>1847</v>
      </c>
      <c r="B2017" t="s">
        <v>1855</v>
      </c>
      <c r="C2017">
        <v>179</v>
      </c>
      <c r="D2017" t="s">
        <v>1447</v>
      </c>
      <c r="E2017" t="s">
        <v>1857</v>
      </c>
      <c r="F2017" t="s">
        <v>1741</v>
      </c>
      <c r="G2017" t="str">
        <f>IF(ISBLANK('Q 5'!H381),"",IF('Q 5'!H381="&lt;please select&gt;","",'Q 5'!H381))</f>
        <v>bezsiarkowy komponent oleju opałowego</v>
      </c>
    </row>
    <row r="2018" spans="1:7" x14ac:dyDescent="0.3">
      <c r="A2018" t="s">
        <v>1847</v>
      </c>
      <c r="B2018" t="s">
        <v>1855</v>
      </c>
      <c r="C2018">
        <v>180</v>
      </c>
      <c r="D2018" t="s">
        <v>1447</v>
      </c>
      <c r="E2018" t="s">
        <v>1857</v>
      </c>
      <c r="F2018" t="s">
        <v>1741</v>
      </c>
      <c r="G2018" t="str">
        <f>IF(ISBLANK('Q 5'!H382),"",IF('Q 5'!H382="&lt;please select&gt;","",'Q 5'!H382))</f>
        <v>Biomasa</v>
      </c>
    </row>
    <row r="2019" spans="1:7" x14ac:dyDescent="0.3">
      <c r="A2019" t="s">
        <v>1847</v>
      </c>
      <c r="B2019" t="s">
        <v>1855</v>
      </c>
      <c r="C2019">
        <v>181</v>
      </c>
      <c r="D2019" t="s">
        <v>1447</v>
      </c>
      <c r="E2019" t="s">
        <v>1857</v>
      </c>
      <c r="F2019" t="s">
        <v>1741</v>
      </c>
      <c r="G2019" t="str">
        <f>IF(ISBLANK('Q 5'!H383),"",IF('Q 5'!H383="&lt;please select&gt;","",'Q 5'!H383))</f>
        <v>Dimer</v>
      </c>
    </row>
    <row r="2020" spans="1:7" x14ac:dyDescent="0.3">
      <c r="A2020" t="s">
        <v>1847</v>
      </c>
      <c r="B2020" t="s">
        <v>1855</v>
      </c>
      <c r="C2020">
        <v>182</v>
      </c>
      <c r="D2020" t="s">
        <v>1447</v>
      </c>
      <c r="E2020" t="s">
        <v>1857</v>
      </c>
      <c r="F2020" t="s">
        <v>1741</v>
      </c>
      <c r="G2020" t="str">
        <f>IF(ISBLANK('Q 5'!H384),"",IF('Q 5'!H384="&lt;please select&gt;","",'Q 5'!H384))</f>
        <v>Gaz koksowniczy</v>
      </c>
    </row>
    <row r="2021" spans="1:7" x14ac:dyDescent="0.3">
      <c r="A2021" t="s">
        <v>1847</v>
      </c>
      <c r="B2021" t="s">
        <v>1855</v>
      </c>
      <c r="C2021">
        <v>183</v>
      </c>
      <c r="D2021" t="s">
        <v>1447</v>
      </c>
      <c r="E2021" t="s">
        <v>1857</v>
      </c>
      <c r="F2021" t="s">
        <v>1741</v>
      </c>
      <c r="G2021" t="str">
        <f>IF(ISBLANK('Q 5'!H385),"",IF('Q 5'!H385="&lt;please select&gt;","",'Q 5'!H385))</f>
        <v>Gaz LPG</v>
      </c>
    </row>
    <row r="2022" spans="1:7" x14ac:dyDescent="0.3">
      <c r="A2022" t="s">
        <v>1847</v>
      </c>
      <c r="B2022" t="s">
        <v>1855</v>
      </c>
      <c r="C2022">
        <v>184</v>
      </c>
      <c r="D2022" t="s">
        <v>1447</v>
      </c>
      <c r="E2022" t="s">
        <v>1857</v>
      </c>
      <c r="F2022" t="s">
        <v>1741</v>
      </c>
      <c r="G2022" t="str">
        <f>IF(ISBLANK('Q 5'!H386),"",IF('Q 5'!H386="&lt;please select&gt;","",'Q 5'!H386))</f>
        <v>gaz opałowy z HOG</v>
      </c>
    </row>
    <row r="2023" spans="1:7" x14ac:dyDescent="0.3">
      <c r="A2023" t="s">
        <v>1847</v>
      </c>
      <c r="B2023" t="s">
        <v>1855</v>
      </c>
      <c r="C2023">
        <v>185</v>
      </c>
      <c r="D2023" t="s">
        <v>1447</v>
      </c>
      <c r="E2023" t="s">
        <v>1857</v>
      </c>
      <c r="F2023" t="s">
        <v>1741</v>
      </c>
      <c r="G2023" t="str">
        <f>IF(ISBLANK('Q 5'!H387),"",IF('Q 5'!H387="&lt;please select&gt;","",'Q 5'!H387))</f>
        <v>gaz pooksydacyjny z Biturox</v>
      </c>
    </row>
    <row r="2024" spans="1:7" x14ac:dyDescent="0.3">
      <c r="A2024" t="s">
        <v>1847</v>
      </c>
      <c r="B2024" t="s">
        <v>1855</v>
      </c>
      <c r="C2024">
        <v>186</v>
      </c>
      <c r="D2024" t="s">
        <v>1447</v>
      </c>
      <c r="E2024" t="s">
        <v>1857</v>
      </c>
      <c r="F2024" t="s">
        <v>1741</v>
      </c>
      <c r="G2024" t="str">
        <f>IF(ISBLANK('Q 5'!H388),"",IF('Q 5'!H388="&lt;please select&gt;","",'Q 5'!H388))</f>
        <v>gaz pooksydacyjny z Oksydacji</v>
      </c>
    </row>
    <row r="2025" spans="1:7" x14ac:dyDescent="0.3">
      <c r="A2025" t="s">
        <v>1847</v>
      </c>
      <c r="B2025" t="s">
        <v>1855</v>
      </c>
      <c r="C2025">
        <v>187</v>
      </c>
      <c r="D2025" t="s">
        <v>1447</v>
      </c>
      <c r="E2025" t="s">
        <v>1857</v>
      </c>
      <c r="F2025" t="s">
        <v>1741</v>
      </c>
      <c r="G2025" t="str">
        <f>IF(ISBLANK('Q 5'!H389),"",IF('Q 5'!H389="&lt;please select&gt;","",'Q 5'!H389))</f>
        <v>Gaz propan - butan</v>
      </c>
    </row>
    <row r="2026" spans="1:7" x14ac:dyDescent="0.3">
      <c r="A2026" t="s">
        <v>1847</v>
      </c>
      <c r="B2026" t="s">
        <v>1855</v>
      </c>
      <c r="C2026">
        <v>188</v>
      </c>
      <c r="D2026" t="s">
        <v>1447</v>
      </c>
      <c r="E2026" t="s">
        <v>1857</v>
      </c>
      <c r="F2026" t="s">
        <v>1741</v>
      </c>
      <c r="G2026" t="str">
        <f>IF(ISBLANK('Q 5'!H390),"",IF('Q 5'!H390="&lt;please select&gt;","",'Q 5'!H390))</f>
        <v>Gaz resztkowy</v>
      </c>
    </row>
    <row r="2027" spans="1:7" x14ac:dyDescent="0.3">
      <c r="A2027" t="s">
        <v>1847</v>
      </c>
      <c r="B2027" t="s">
        <v>1855</v>
      </c>
      <c r="C2027">
        <v>189</v>
      </c>
      <c r="D2027" t="s">
        <v>1447</v>
      </c>
      <c r="E2027" t="s">
        <v>1857</v>
      </c>
      <c r="F2027" t="s">
        <v>1741</v>
      </c>
      <c r="G2027" t="str">
        <f>IF(ISBLANK('Q 5'!H391),"",IF('Q 5'!H391="&lt;please select&gt;","",'Q 5'!H391))</f>
        <v>gaz siarkowodorowy</v>
      </c>
    </row>
    <row r="2028" spans="1:7" x14ac:dyDescent="0.3">
      <c r="A2028" t="s">
        <v>1847</v>
      </c>
      <c r="B2028" t="s">
        <v>1855</v>
      </c>
      <c r="C2028">
        <v>190</v>
      </c>
      <c r="D2028" t="s">
        <v>1447</v>
      </c>
      <c r="E2028" t="s">
        <v>1857</v>
      </c>
      <c r="F2028" t="s">
        <v>1741</v>
      </c>
      <c r="G2028" t="str">
        <f>IF(ISBLANK('Q 5'!H392),"",IF('Q 5'!H392="&lt;please select&gt;","",'Q 5'!H392))</f>
        <v>gaz siarkowodorowy z amoniakiem</v>
      </c>
    </row>
    <row r="2029" spans="1:7" x14ac:dyDescent="0.3">
      <c r="A2029" t="s">
        <v>1847</v>
      </c>
      <c r="B2029" t="s">
        <v>1855</v>
      </c>
      <c r="C2029">
        <v>191</v>
      </c>
      <c r="D2029" t="s">
        <v>1447</v>
      </c>
      <c r="E2029" t="s">
        <v>1857</v>
      </c>
      <c r="F2029" t="s">
        <v>1741</v>
      </c>
      <c r="G2029" t="str">
        <f>IF(ISBLANK('Q 5'!H393),"",IF('Q 5'!H393="&lt;please select&gt;","",'Q 5'!H393))</f>
        <v>Gaz Specjalny</v>
      </c>
    </row>
    <row r="2030" spans="1:7" x14ac:dyDescent="0.3">
      <c r="A2030" t="s">
        <v>1847</v>
      </c>
      <c r="B2030" t="s">
        <v>1855</v>
      </c>
      <c r="C2030">
        <v>192</v>
      </c>
      <c r="D2030" t="s">
        <v>1447</v>
      </c>
      <c r="E2030" t="s">
        <v>1857</v>
      </c>
      <c r="F2030" t="s">
        <v>1741</v>
      </c>
      <c r="G2030" t="str">
        <f>IF(ISBLANK('Q 5'!H394),"",IF('Q 5'!H394="&lt;please select&gt;","",'Q 5'!H394))</f>
        <v>gaz własny z Hydrokrakingu</v>
      </c>
    </row>
    <row r="2031" spans="1:7" x14ac:dyDescent="0.3">
      <c r="A2031" t="s">
        <v>1847</v>
      </c>
      <c r="B2031" t="s">
        <v>1855</v>
      </c>
      <c r="C2031">
        <v>193</v>
      </c>
      <c r="D2031" t="s">
        <v>1447</v>
      </c>
      <c r="E2031" t="s">
        <v>1857</v>
      </c>
      <c r="F2031" t="s">
        <v>1741</v>
      </c>
      <c r="G2031" t="str">
        <f>IF(ISBLANK('Q 5'!H395),"",IF('Q 5'!H395="&lt;please select&gt;","",'Q 5'!H395))</f>
        <v xml:space="preserve">gaz wysokociśnieniowy (mieszanina gazów rafineryjnych i gazu ziemnego) </v>
      </c>
    </row>
    <row r="2032" spans="1:7" x14ac:dyDescent="0.3">
      <c r="A2032" t="s">
        <v>1847</v>
      </c>
      <c r="B2032" t="s">
        <v>1855</v>
      </c>
      <c r="C2032">
        <v>194</v>
      </c>
      <c r="D2032" t="s">
        <v>1447</v>
      </c>
      <c r="E2032" t="s">
        <v>1857</v>
      </c>
      <c r="F2032" t="s">
        <v>1741</v>
      </c>
      <c r="G2032" t="str">
        <f>IF(ISBLANK('Q 5'!H396),"",IF('Q 5'!H396="&lt;please select&gt;","",'Q 5'!H396))</f>
        <v>gaz ziemny wysokometanowy</v>
      </c>
    </row>
    <row r="2033" spans="1:7" x14ac:dyDescent="0.3">
      <c r="A2033" t="s">
        <v>1847</v>
      </c>
      <c r="B2033" t="s">
        <v>1855</v>
      </c>
      <c r="C2033">
        <v>195</v>
      </c>
      <c r="D2033" t="s">
        <v>1447</v>
      </c>
      <c r="E2033" t="s">
        <v>1857</v>
      </c>
      <c r="F2033" t="s">
        <v>1741</v>
      </c>
      <c r="G2033" t="str">
        <f>IF(ISBLANK('Q 5'!H397),"",IF('Q 5'!H397="&lt;please select&gt;","",'Q 5'!H397))</f>
        <v>Gazy złowonne</v>
      </c>
    </row>
    <row r="2034" spans="1:7" x14ac:dyDescent="0.3">
      <c r="A2034" t="s">
        <v>1847</v>
      </c>
      <c r="B2034" t="s">
        <v>1855</v>
      </c>
      <c r="C2034">
        <v>196</v>
      </c>
      <c r="D2034" t="s">
        <v>1447</v>
      </c>
      <c r="E2034" t="s">
        <v>1857</v>
      </c>
      <c r="F2034" t="s">
        <v>1741</v>
      </c>
      <c r="G2034" t="str">
        <f>IF(ISBLANK('Q 5'!H398),"",IF('Q 5'!H398="&lt;please select&gt;","",'Q 5'!H398))</f>
        <v>Kamień wapienny</v>
      </c>
    </row>
    <row r="2035" spans="1:7" x14ac:dyDescent="0.3">
      <c r="A2035" t="s">
        <v>1847</v>
      </c>
      <c r="B2035" t="s">
        <v>1855</v>
      </c>
      <c r="C2035">
        <v>197</v>
      </c>
      <c r="D2035" t="s">
        <v>1447</v>
      </c>
      <c r="E2035" t="s">
        <v>1857</v>
      </c>
      <c r="F2035" t="s">
        <v>1741</v>
      </c>
      <c r="G2035" t="str">
        <f>IF(ISBLANK('Q 5'!H399),"",IF('Q 5'!H399="&lt;please select&gt;","",'Q 5'!H399))</f>
        <v>Koks</v>
      </c>
    </row>
    <row r="2036" spans="1:7" x14ac:dyDescent="0.3">
      <c r="A2036" t="s">
        <v>1847</v>
      </c>
      <c r="B2036" t="s">
        <v>1855</v>
      </c>
      <c r="C2036">
        <v>198</v>
      </c>
      <c r="D2036" t="s">
        <v>1447</v>
      </c>
      <c r="E2036" t="s">
        <v>1857</v>
      </c>
      <c r="F2036" t="s">
        <v>1741</v>
      </c>
      <c r="G2036" t="str">
        <f>IF(ISBLANK('Q 5'!H400),"",IF('Q 5'!H400="&lt;please select&gt;","",'Q 5'!H400))</f>
        <v>Mazut</v>
      </c>
    </row>
    <row r="2037" spans="1:7" x14ac:dyDescent="0.3">
      <c r="A2037" t="s">
        <v>1847</v>
      </c>
      <c r="B2037" t="s">
        <v>1855</v>
      </c>
      <c r="C2037">
        <v>199</v>
      </c>
      <c r="D2037" t="s">
        <v>1447</v>
      </c>
      <c r="E2037" t="s">
        <v>1857</v>
      </c>
      <c r="F2037" t="s">
        <v>1741</v>
      </c>
      <c r="G2037" t="str">
        <f>IF(ISBLANK('Q 5'!H401),"",IF('Q 5'!H401="&lt;please select&gt;","",'Q 5'!H401))</f>
        <v>Mocznik</v>
      </c>
    </row>
    <row r="2038" spans="1:7" x14ac:dyDescent="0.3">
      <c r="A2038" t="s">
        <v>1847</v>
      </c>
      <c r="B2038" t="s">
        <v>1855</v>
      </c>
      <c r="C2038">
        <v>200</v>
      </c>
      <c r="D2038" t="s">
        <v>1447</v>
      </c>
      <c r="E2038" t="s">
        <v>1857</v>
      </c>
      <c r="F2038" t="s">
        <v>1741</v>
      </c>
      <c r="G2038" t="str">
        <f>IF(ISBLANK('Q 5'!H402),"",IF('Q 5'!H402="&lt;please select&gt;","",'Q 5'!H402))</f>
        <v>odgazy z procesów napełniania zbiorników</v>
      </c>
    </row>
    <row r="2039" spans="1:7" x14ac:dyDescent="0.3">
      <c r="A2039" t="s">
        <v>1847</v>
      </c>
      <c r="B2039" t="s">
        <v>1855</v>
      </c>
      <c r="C2039">
        <v>201</v>
      </c>
      <c r="D2039" t="s">
        <v>1447</v>
      </c>
      <c r="E2039" t="s">
        <v>1857</v>
      </c>
      <c r="F2039" t="s">
        <v>1741</v>
      </c>
      <c r="G2039" t="str">
        <f>IF(ISBLANK('Q 5'!H403),"",IF('Q 5'!H403="&lt;please select&gt;","",'Q 5'!H403))</f>
        <v>Odpady przemysłowe</v>
      </c>
    </row>
    <row r="2040" spans="1:7" x14ac:dyDescent="0.3">
      <c r="A2040" t="s">
        <v>1847</v>
      </c>
      <c r="B2040" t="s">
        <v>1855</v>
      </c>
      <c r="C2040">
        <v>202</v>
      </c>
      <c r="D2040" t="s">
        <v>1447</v>
      </c>
      <c r="E2040" t="s">
        <v>1857</v>
      </c>
      <c r="F2040" t="s">
        <v>1741</v>
      </c>
      <c r="G2040" t="str">
        <f>IF(ISBLANK('Q 5'!H404),"",IF('Q 5'!H404="&lt;please select&gt;","",'Q 5'!H404))</f>
        <v>Olej napędowy</v>
      </c>
    </row>
    <row r="2041" spans="1:7" x14ac:dyDescent="0.3">
      <c r="A2041" t="s">
        <v>1847</v>
      </c>
      <c r="B2041" t="s">
        <v>1855</v>
      </c>
      <c r="C2041">
        <v>203</v>
      </c>
      <c r="D2041" t="s">
        <v>1447</v>
      </c>
      <c r="E2041" t="s">
        <v>1857</v>
      </c>
      <c r="F2041" t="s">
        <v>1741</v>
      </c>
      <c r="G2041" t="str">
        <f>IF(ISBLANK('Q 5'!H405),"",IF('Q 5'!H405="&lt;please select&gt;","",'Q 5'!H405))</f>
        <v>Olej opałowy bardzo lekki</v>
      </c>
    </row>
    <row r="2042" spans="1:7" x14ac:dyDescent="0.3">
      <c r="A2042" t="s">
        <v>1847</v>
      </c>
      <c r="B2042" t="s">
        <v>1855</v>
      </c>
      <c r="C2042">
        <v>204</v>
      </c>
      <c r="D2042" t="s">
        <v>1447</v>
      </c>
      <c r="E2042" t="s">
        <v>1857</v>
      </c>
      <c r="F2042" t="s">
        <v>1741</v>
      </c>
      <c r="G2042" t="str">
        <f>IF(ISBLANK('Q 5'!H406),"",IF('Q 5'!H406="&lt;please select&gt;","",'Q 5'!H406))</f>
        <v>Olej opałowy ciężki</v>
      </c>
    </row>
    <row r="2043" spans="1:7" x14ac:dyDescent="0.3">
      <c r="A2043" t="s">
        <v>1847</v>
      </c>
      <c r="B2043" t="s">
        <v>1855</v>
      </c>
      <c r="C2043">
        <v>205</v>
      </c>
      <c r="D2043" t="s">
        <v>1447</v>
      </c>
      <c r="E2043" t="s">
        <v>1857</v>
      </c>
      <c r="F2043" t="s">
        <v>1741</v>
      </c>
      <c r="G2043" t="str">
        <f>IF(ISBLANK('Q 5'!H407),"",IF('Q 5'!H407="&lt;please select&gt;","",'Q 5'!H407))</f>
        <v>Olej opałowy lekki</v>
      </c>
    </row>
    <row r="2044" spans="1:7" x14ac:dyDescent="0.3">
      <c r="A2044" t="s">
        <v>1847</v>
      </c>
      <c r="B2044" t="s">
        <v>1855</v>
      </c>
      <c r="C2044">
        <v>206</v>
      </c>
      <c r="D2044" t="s">
        <v>1447</v>
      </c>
      <c r="E2044" t="s">
        <v>1857</v>
      </c>
      <c r="F2044" t="s">
        <v>1741</v>
      </c>
      <c r="G2044" t="str">
        <f>IF(ISBLANK('Q 5'!H408),"",IF('Q 5'!H408="&lt;please select&gt;","",'Q 5'!H408))</f>
        <v>Olej opałowy średni</v>
      </c>
    </row>
    <row r="2045" spans="1:7" x14ac:dyDescent="0.3">
      <c r="A2045" t="s">
        <v>1847</v>
      </c>
      <c r="B2045" t="s">
        <v>1855</v>
      </c>
      <c r="C2045">
        <v>207</v>
      </c>
      <c r="D2045" t="s">
        <v>1447</v>
      </c>
      <c r="E2045" t="s">
        <v>1857</v>
      </c>
      <c r="F2045" t="s">
        <v>1741</v>
      </c>
      <c r="G2045" t="str">
        <f>IF(ISBLANK('Q 5'!H409),"",IF('Q 5'!H409="&lt;please select&gt;","",'Q 5'!H409))</f>
        <v>Paliwa alternatywne</v>
      </c>
    </row>
    <row r="2046" spans="1:7" x14ac:dyDescent="0.3">
      <c r="A2046" t="s">
        <v>1847</v>
      </c>
      <c r="B2046" t="s">
        <v>1855</v>
      </c>
      <c r="C2046">
        <v>208</v>
      </c>
      <c r="D2046" t="s">
        <v>1447</v>
      </c>
      <c r="E2046" t="s">
        <v>1857</v>
      </c>
      <c r="F2046" t="s">
        <v>1741</v>
      </c>
      <c r="G2046" t="str">
        <f>IF(ISBLANK('Q 5'!H410),"",IF('Q 5'!H410="&lt;please select&gt;","",'Q 5'!H410))</f>
        <v>Propan</v>
      </c>
    </row>
    <row r="2047" spans="1:7" x14ac:dyDescent="0.3">
      <c r="A2047" t="s">
        <v>1847</v>
      </c>
      <c r="B2047" t="s">
        <v>1855</v>
      </c>
      <c r="C2047">
        <v>209</v>
      </c>
      <c r="D2047" t="s">
        <v>1447</v>
      </c>
      <c r="E2047" t="s">
        <v>1857</v>
      </c>
      <c r="F2047" t="s">
        <v>1741</v>
      </c>
      <c r="G2047" t="str">
        <f>IF(ISBLANK('Q 5'!H411),"",IF('Q 5'!H411="&lt;please select&gt;","",'Q 5'!H411))</f>
        <v>Soda</v>
      </c>
    </row>
    <row r="2048" spans="1:7" x14ac:dyDescent="0.3">
      <c r="A2048" t="s">
        <v>1847</v>
      </c>
      <c r="B2048" t="s">
        <v>1855</v>
      </c>
      <c r="C2048">
        <v>210</v>
      </c>
      <c r="D2048" t="s">
        <v>1447</v>
      </c>
      <c r="E2048" t="s">
        <v>1857</v>
      </c>
      <c r="F2048" t="s">
        <v>1741</v>
      </c>
      <c r="G2048" t="str">
        <f>IF(ISBLANK('Q 5'!H412),"",IF('Q 5'!H412="&lt;please select&gt;","",'Q 5'!H412))</f>
        <v>Sorbent Wapienny</v>
      </c>
    </row>
    <row r="2049" spans="1:7" x14ac:dyDescent="0.3">
      <c r="A2049" t="s">
        <v>1847</v>
      </c>
      <c r="B2049" t="s">
        <v>1855</v>
      </c>
      <c r="C2049">
        <v>211</v>
      </c>
      <c r="D2049" t="s">
        <v>1447</v>
      </c>
      <c r="E2049" t="s">
        <v>1857</v>
      </c>
      <c r="F2049" t="s">
        <v>1741</v>
      </c>
      <c r="G2049" t="str">
        <f>IF(ISBLANK('Q 5'!H413),"",IF('Q 5'!H413="&lt;please select&gt;","",'Q 5'!H413))</f>
        <v>Węgiel kamienny</v>
      </c>
    </row>
    <row r="2050" spans="1:7" x14ac:dyDescent="0.3">
      <c r="A2050" t="s">
        <v>1847</v>
      </c>
      <c r="B2050" t="s">
        <v>1855</v>
      </c>
      <c r="C2050">
        <v>212</v>
      </c>
      <c r="D2050" t="s">
        <v>1447</v>
      </c>
      <c r="E2050" t="s">
        <v>1857</v>
      </c>
      <c r="F2050" t="s">
        <v>1741</v>
      </c>
      <c r="G2050" t="str">
        <f>IF(ISBLANK('Q 5'!H414),"",IF('Q 5'!H414="&lt;please select&gt;","",'Q 5'!H414))</f>
        <v>Węglan Magnezu</v>
      </c>
    </row>
    <row r="2051" spans="1:7" x14ac:dyDescent="0.3">
      <c r="A2051" t="s">
        <v>1847</v>
      </c>
      <c r="B2051" t="s">
        <v>1855</v>
      </c>
      <c r="C2051">
        <v>213</v>
      </c>
      <c r="D2051" t="s">
        <v>1447</v>
      </c>
      <c r="E2051" t="s">
        <v>1857</v>
      </c>
      <c r="F2051" t="s">
        <v>1741</v>
      </c>
      <c r="G2051" t="str">
        <f>IF(ISBLANK('Q 5'!H415),"",IF('Q 5'!H415="&lt;please select&gt;","",'Q 5'!H415))</f>
        <v>Węglan wapnia</v>
      </c>
    </row>
    <row r="2052" spans="1:7" x14ac:dyDescent="0.3">
      <c r="A2052" t="s">
        <v>1847</v>
      </c>
      <c r="B2052" t="s">
        <v>1855</v>
      </c>
      <c r="C2052">
        <v>214</v>
      </c>
      <c r="D2052" t="s">
        <v>1447</v>
      </c>
      <c r="E2052" t="s">
        <v>1857</v>
      </c>
      <c r="F2052" t="s">
        <v>1741</v>
      </c>
      <c r="G2052" t="str">
        <f>IF(ISBLANK('Q 5'!H416),"",IF('Q 5'!H416="&lt;please select&gt;","",'Q 5'!H416))</f>
        <v>Zużyte opony</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v>
      </c>
    </row>
    <row r="2640" spans="1:8" x14ac:dyDescent="0.3">
      <c r="A2640" t="s">
        <v>1847</v>
      </c>
      <c r="B2640" t="s">
        <v>1855</v>
      </c>
      <c r="C2640">
        <v>2</v>
      </c>
      <c r="D2640" t="s">
        <v>1447</v>
      </c>
      <c r="E2640" t="s">
        <v>1858</v>
      </c>
      <c r="F2640" t="s">
        <v>1748</v>
      </c>
      <c r="H2640" s="165" t="str">
        <f>IF(ISBLANK('Q 5'!I204),"",IF('Q 5'!I204="&lt;please select&gt;","",'Q 5'!I204))</f>
        <v>7</v>
      </c>
    </row>
    <row r="2641" spans="1:8" x14ac:dyDescent="0.3">
      <c r="A2641" t="s">
        <v>1847</v>
      </c>
      <c r="B2641" t="s">
        <v>1855</v>
      </c>
      <c r="C2641">
        <v>3</v>
      </c>
      <c r="D2641" t="s">
        <v>1447</v>
      </c>
      <c r="E2641" t="s">
        <v>1858</v>
      </c>
      <c r="F2641" t="s">
        <v>1748</v>
      </c>
      <c r="H2641" s="165" t="str">
        <f>IF(ISBLANK('Q 5'!I205),"",IF('Q 5'!I205="&lt;please select&gt;","",'Q 5'!I205))</f>
        <v>35</v>
      </c>
    </row>
    <row r="2642" spans="1:8" x14ac:dyDescent="0.3">
      <c r="A2642" t="s">
        <v>1847</v>
      </c>
      <c r="B2642" t="s">
        <v>1855</v>
      </c>
      <c r="C2642">
        <v>4</v>
      </c>
      <c r="D2642" t="s">
        <v>1447</v>
      </c>
      <c r="E2642" t="s">
        <v>1858</v>
      </c>
      <c r="F2642" t="s">
        <v>1748</v>
      </c>
      <c r="H2642" s="165" t="str">
        <f>IF(ISBLANK('Q 5'!I206),"",IF('Q 5'!I206="&lt;please select&gt;","",'Q 5'!I206))</f>
        <v>1</v>
      </c>
    </row>
    <row r="2643" spans="1:8" x14ac:dyDescent="0.3">
      <c r="A2643" t="s">
        <v>1847</v>
      </c>
      <c r="B2643" t="s">
        <v>1855</v>
      </c>
      <c r="C2643">
        <v>5</v>
      </c>
      <c r="D2643" t="s">
        <v>1447</v>
      </c>
      <c r="E2643" t="s">
        <v>1858</v>
      </c>
      <c r="F2643" t="s">
        <v>1748</v>
      </c>
      <c r="H2643" s="165" t="str">
        <f>IF(ISBLANK('Q 5'!I207),"",IF('Q 5'!I207="&lt;please select&gt;","",'Q 5'!I207))</f>
        <v>1</v>
      </c>
    </row>
    <row r="2644" spans="1:8" x14ac:dyDescent="0.3">
      <c r="A2644" t="s">
        <v>1847</v>
      </c>
      <c r="B2644" t="s">
        <v>1855</v>
      </c>
      <c r="C2644">
        <v>6</v>
      </c>
      <c r="D2644" t="s">
        <v>1447</v>
      </c>
      <c r="E2644" t="s">
        <v>1858</v>
      </c>
      <c r="F2644" t="s">
        <v>1748</v>
      </c>
      <c r="H2644" s="165" t="str">
        <f>IF(ISBLANK('Q 5'!I208),"",IF('Q 5'!I208="&lt;please select&gt;","",'Q 5'!I208))</f>
        <v>3</v>
      </c>
    </row>
    <row r="2645" spans="1:8" x14ac:dyDescent="0.3">
      <c r="A2645" t="s">
        <v>1847</v>
      </c>
      <c r="B2645" t="s">
        <v>1855</v>
      </c>
      <c r="C2645">
        <v>7</v>
      </c>
      <c r="D2645" t="s">
        <v>1447</v>
      </c>
      <c r="E2645" t="s">
        <v>1858</v>
      </c>
      <c r="F2645" t="s">
        <v>1748</v>
      </c>
      <c r="H2645" s="165" t="str">
        <f>IF(ISBLANK('Q 5'!I209),"",IF('Q 5'!I209="&lt;please select&gt;","",'Q 5'!I209))</f>
        <v>6</v>
      </c>
    </row>
    <row r="2646" spans="1:8" x14ac:dyDescent="0.3">
      <c r="A2646" t="s">
        <v>1847</v>
      </c>
      <c r="B2646" t="s">
        <v>1855</v>
      </c>
      <c r="C2646">
        <v>8</v>
      </c>
      <c r="D2646" t="s">
        <v>1447</v>
      </c>
      <c r="E2646" t="s">
        <v>1858</v>
      </c>
      <c r="F2646" t="s">
        <v>1748</v>
      </c>
      <c r="H2646" s="165" t="str">
        <f>IF(ISBLANK('Q 5'!I210),"",IF('Q 5'!I210="&lt;please select&gt;","",'Q 5'!I210))</f>
        <v>1</v>
      </c>
    </row>
    <row r="2647" spans="1:8" x14ac:dyDescent="0.3">
      <c r="A2647" t="s">
        <v>1847</v>
      </c>
      <c r="B2647" t="s">
        <v>1855</v>
      </c>
      <c r="C2647">
        <v>9</v>
      </c>
      <c r="D2647" t="s">
        <v>1447</v>
      </c>
      <c r="E2647" t="s">
        <v>1858</v>
      </c>
      <c r="F2647" t="s">
        <v>1748</v>
      </c>
      <c r="H2647" s="165" t="str">
        <f>IF(ISBLANK('Q 5'!I211),"",IF('Q 5'!I211="&lt;please select&gt;","",'Q 5'!I211))</f>
        <v>2</v>
      </c>
    </row>
    <row r="2648" spans="1:8" x14ac:dyDescent="0.3">
      <c r="A2648" t="s">
        <v>1847</v>
      </c>
      <c r="B2648" t="s">
        <v>1855</v>
      </c>
      <c r="C2648">
        <v>10</v>
      </c>
      <c r="D2648" t="s">
        <v>1447</v>
      </c>
      <c r="E2648" t="s">
        <v>1858</v>
      </c>
      <c r="F2648" t="s">
        <v>1748</v>
      </c>
      <c r="H2648" s="165" t="str">
        <f>IF(ISBLANK('Q 5'!I212),"",IF('Q 5'!I212="&lt;please select&gt;","",'Q 5'!I212))</f>
        <v>2</v>
      </c>
    </row>
    <row r="2649" spans="1:8" x14ac:dyDescent="0.3">
      <c r="A2649" t="s">
        <v>1847</v>
      </c>
      <c r="B2649" t="s">
        <v>1855</v>
      </c>
      <c r="C2649">
        <v>11</v>
      </c>
      <c r="D2649" t="s">
        <v>1447</v>
      </c>
      <c r="E2649" t="s">
        <v>1858</v>
      </c>
      <c r="F2649" t="s">
        <v>1748</v>
      </c>
      <c r="H2649" s="165" t="str">
        <f>IF(ISBLANK('Q 5'!I213),"",IF('Q 5'!I213="&lt;please select&gt;","",'Q 5'!I213))</f>
        <v>2</v>
      </c>
    </row>
    <row r="2650" spans="1:8" x14ac:dyDescent="0.3">
      <c r="A2650" t="s">
        <v>1847</v>
      </c>
      <c r="B2650" t="s">
        <v>1855</v>
      </c>
      <c r="C2650">
        <v>12</v>
      </c>
      <c r="D2650" t="s">
        <v>1447</v>
      </c>
      <c r="E2650" t="s">
        <v>1858</v>
      </c>
      <c r="F2650" t="s">
        <v>1748</v>
      </c>
      <c r="H2650" s="165" t="str">
        <f>IF(ISBLANK('Q 5'!I214),"",IF('Q 5'!I214="&lt;please select&gt;","",'Q 5'!I214))</f>
        <v>3</v>
      </c>
    </row>
    <row r="2651" spans="1:8" x14ac:dyDescent="0.3">
      <c r="A2651" t="s">
        <v>1847</v>
      </c>
      <c r="B2651" t="s">
        <v>1855</v>
      </c>
      <c r="C2651">
        <v>13</v>
      </c>
      <c r="D2651" t="s">
        <v>1447</v>
      </c>
      <c r="E2651" t="s">
        <v>1858</v>
      </c>
      <c r="F2651" t="s">
        <v>1748</v>
      </c>
      <c r="H2651" s="165" t="str">
        <f>IF(ISBLANK('Q 5'!I215),"",IF('Q 5'!I215="&lt;please select&gt;","",'Q 5'!I215))</f>
        <v>126</v>
      </c>
    </row>
    <row r="2652" spans="1:8" x14ac:dyDescent="0.3">
      <c r="A2652" t="s">
        <v>1847</v>
      </c>
      <c r="B2652" t="s">
        <v>1855</v>
      </c>
      <c r="C2652">
        <v>14</v>
      </c>
      <c r="D2652" t="s">
        <v>1447</v>
      </c>
      <c r="E2652" t="s">
        <v>1858</v>
      </c>
      <c r="F2652" t="s">
        <v>1748</v>
      </c>
      <c r="H2652" s="165" t="str">
        <f>IF(ISBLANK('Q 5'!I216),"",IF('Q 5'!I216="&lt;please select&gt;","",'Q 5'!I216))</f>
        <v>4</v>
      </c>
    </row>
    <row r="2653" spans="1:8" x14ac:dyDescent="0.3">
      <c r="A2653" t="s">
        <v>1847</v>
      </c>
      <c r="B2653" t="s">
        <v>1855</v>
      </c>
      <c r="C2653">
        <v>15</v>
      </c>
      <c r="D2653" t="s">
        <v>1447</v>
      </c>
      <c r="E2653" t="s">
        <v>1858</v>
      </c>
      <c r="F2653" t="s">
        <v>1748</v>
      </c>
      <c r="H2653" s="165" t="str">
        <f>IF(ISBLANK('Q 5'!I217),"",IF('Q 5'!I217="&lt;please select&gt;","",'Q 5'!I217))</f>
        <v>1</v>
      </c>
    </row>
    <row r="2654" spans="1:8" x14ac:dyDescent="0.3">
      <c r="A2654" t="s">
        <v>1847</v>
      </c>
      <c r="B2654" t="s">
        <v>1855</v>
      </c>
      <c r="C2654">
        <v>16</v>
      </c>
      <c r="D2654" t="s">
        <v>1447</v>
      </c>
      <c r="E2654" t="s">
        <v>1858</v>
      </c>
      <c r="F2654" t="s">
        <v>1748</v>
      </c>
      <c r="H2654" s="165" t="str">
        <f>IF(ISBLANK('Q 5'!I218),"",IF('Q 5'!I218="&lt;please select&gt;","",'Q 5'!I218))</f>
        <v>1</v>
      </c>
    </row>
    <row r="2655" spans="1:8" x14ac:dyDescent="0.3">
      <c r="A2655" t="s">
        <v>1847</v>
      </c>
      <c r="B2655" t="s">
        <v>1855</v>
      </c>
      <c r="C2655">
        <v>17</v>
      </c>
      <c r="D2655" t="s">
        <v>1447</v>
      </c>
      <c r="E2655" t="s">
        <v>1858</v>
      </c>
      <c r="F2655" t="s">
        <v>1748</v>
      </c>
      <c r="H2655" s="165" t="str">
        <f>IF(ISBLANK('Q 5'!I219),"",IF('Q 5'!I219="&lt;please select&gt;","",'Q 5'!I219))</f>
        <v>2</v>
      </c>
    </row>
    <row r="2656" spans="1:8" x14ac:dyDescent="0.3">
      <c r="A2656" t="s">
        <v>1847</v>
      </c>
      <c r="B2656" t="s">
        <v>1855</v>
      </c>
      <c r="C2656">
        <v>18</v>
      </c>
      <c r="D2656" t="s">
        <v>1447</v>
      </c>
      <c r="E2656" t="s">
        <v>1858</v>
      </c>
      <c r="F2656" t="s">
        <v>1748</v>
      </c>
      <c r="H2656" s="165" t="str">
        <f>IF(ISBLANK('Q 5'!I220),"",IF('Q 5'!I220="&lt;please select&gt;","",'Q 5'!I220))</f>
        <v>1</v>
      </c>
    </row>
    <row r="2657" spans="1:8" x14ac:dyDescent="0.3">
      <c r="A2657" t="s">
        <v>1847</v>
      </c>
      <c r="B2657" t="s">
        <v>1855</v>
      </c>
      <c r="C2657">
        <v>19</v>
      </c>
      <c r="D2657" t="s">
        <v>1447</v>
      </c>
      <c r="E2657" t="s">
        <v>1858</v>
      </c>
      <c r="F2657" t="s">
        <v>1748</v>
      </c>
      <c r="H2657" s="165" t="str">
        <f>IF(ISBLANK('Q 5'!I221),"",IF('Q 5'!I221="&lt;please select&gt;","",'Q 5'!I221))</f>
        <v>3</v>
      </c>
    </row>
    <row r="2658" spans="1:8" x14ac:dyDescent="0.3">
      <c r="A2658" t="s">
        <v>1847</v>
      </c>
      <c r="B2658" t="s">
        <v>1855</v>
      </c>
      <c r="C2658">
        <v>20</v>
      </c>
      <c r="D2658" t="s">
        <v>1447</v>
      </c>
      <c r="E2658" t="s">
        <v>1858</v>
      </c>
      <c r="F2658" t="s">
        <v>1748</v>
      </c>
      <c r="H2658" s="165" t="str">
        <f>IF(ISBLANK('Q 5'!I222),"",IF('Q 5'!I222="&lt;please select&gt;","",'Q 5'!I222))</f>
        <v>1</v>
      </c>
    </row>
    <row r="2659" spans="1:8" x14ac:dyDescent="0.3">
      <c r="A2659" t="s">
        <v>1847</v>
      </c>
      <c r="B2659" t="s">
        <v>1855</v>
      </c>
      <c r="C2659">
        <v>21</v>
      </c>
      <c r="D2659" t="s">
        <v>1447</v>
      </c>
      <c r="E2659" t="s">
        <v>1858</v>
      </c>
      <c r="F2659" t="s">
        <v>1748</v>
      </c>
      <c r="H2659" s="165" t="str">
        <f>IF(ISBLANK('Q 5'!I223),"",IF('Q 5'!I223="&lt;please select&gt;","",'Q 5'!I223))</f>
        <v>1</v>
      </c>
    </row>
    <row r="2660" spans="1:8" x14ac:dyDescent="0.3">
      <c r="A2660" t="s">
        <v>1847</v>
      </c>
      <c r="B2660" t="s">
        <v>1855</v>
      </c>
      <c r="C2660">
        <v>22</v>
      </c>
      <c r="D2660" t="s">
        <v>1447</v>
      </c>
      <c r="E2660" t="s">
        <v>1858</v>
      </c>
      <c r="F2660" t="s">
        <v>1748</v>
      </c>
      <c r="H2660" s="165" t="str">
        <f>IF(ISBLANK('Q 5'!I224),"",IF('Q 5'!I224="&lt;please select&gt;","",'Q 5'!I224))</f>
        <v>1</v>
      </c>
    </row>
    <row r="2661" spans="1:8" x14ac:dyDescent="0.3">
      <c r="A2661" t="s">
        <v>1847</v>
      </c>
      <c r="B2661" t="s">
        <v>1855</v>
      </c>
      <c r="C2661">
        <v>23</v>
      </c>
      <c r="D2661" t="s">
        <v>1447</v>
      </c>
      <c r="E2661" t="s">
        <v>1858</v>
      </c>
      <c r="F2661" t="s">
        <v>1748</v>
      </c>
      <c r="H2661" s="165" t="str">
        <f>IF(ISBLANK('Q 5'!I225),"",IF('Q 5'!I225="&lt;please select&gt;","",'Q 5'!I225))</f>
        <v>1</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v>
      </c>
    </row>
    <row r="2664" spans="1:8" x14ac:dyDescent="0.3">
      <c r="A2664" t="s">
        <v>1847</v>
      </c>
      <c r="B2664" t="s">
        <v>1855</v>
      </c>
      <c r="C2664">
        <v>26</v>
      </c>
      <c r="D2664" t="s">
        <v>1447</v>
      </c>
      <c r="E2664" t="s">
        <v>1858</v>
      </c>
      <c r="F2664" t="s">
        <v>1748</v>
      </c>
      <c r="H2664" s="165" t="str">
        <f>IF(ISBLANK('Q 5'!I228),"",IF('Q 5'!I228="&lt;please select&gt;","",'Q 5'!I228))</f>
        <v>1</v>
      </c>
    </row>
    <row r="2665" spans="1:8" x14ac:dyDescent="0.3">
      <c r="A2665" t="s">
        <v>1847</v>
      </c>
      <c r="B2665" t="s">
        <v>1855</v>
      </c>
      <c r="C2665">
        <v>27</v>
      </c>
      <c r="D2665" t="s">
        <v>1447</v>
      </c>
      <c r="E2665" t="s">
        <v>1858</v>
      </c>
      <c r="F2665" t="s">
        <v>1748</v>
      </c>
      <c r="H2665" s="165" t="str">
        <f>IF(ISBLANK('Q 5'!I229),"",IF('Q 5'!I229="&lt;please select&gt;","",'Q 5'!I229))</f>
        <v>43</v>
      </c>
    </row>
    <row r="2666" spans="1:8" x14ac:dyDescent="0.3">
      <c r="A2666" t="s">
        <v>1847</v>
      </c>
      <c r="B2666" t="s">
        <v>1855</v>
      </c>
      <c r="C2666">
        <v>28</v>
      </c>
      <c r="D2666" t="s">
        <v>1447</v>
      </c>
      <c r="E2666" t="s">
        <v>1858</v>
      </c>
      <c r="F2666" t="s">
        <v>1748</v>
      </c>
      <c r="H2666" s="165" t="str">
        <f>IF(ISBLANK('Q 5'!I230),"",IF('Q 5'!I230="&lt;please select&gt;","",'Q 5'!I230))</f>
        <v>2</v>
      </c>
    </row>
    <row r="2667" spans="1:8" x14ac:dyDescent="0.3">
      <c r="A2667" t="s">
        <v>1847</v>
      </c>
      <c r="B2667" t="s">
        <v>1855</v>
      </c>
      <c r="C2667">
        <v>29</v>
      </c>
      <c r="D2667" t="s">
        <v>1447</v>
      </c>
      <c r="E2667" t="s">
        <v>1858</v>
      </c>
      <c r="F2667" t="s">
        <v>1748</v>
      </c>
      <c r="H2667" s="165" t="str">
        <f>IF(ISBLANK('Q 5'!I231),"",IF('Q 5'!I231="&lt;please select&gt;","",'Q 5'!I231))</f>
        <v>6</v>
      </c>
    </row>
    <row r="2668" spans="1:8" x14ac:dyDescent="0.3">
      <c r="A2668" t="s">
        <v>1847</v>
      </c>
      <c r="B2668" t="s">
        <v>1855</v>
      </c>
      <c r="C2668">
        <v>30</v>
      </c>
      <c r="D2668" t="s">
        <v>1447</v>
      </c>
      <c r="E2668" t="s">
        <v>1858</v>
      </c>
      <c r="F2668" t="s">
        <v>1748</v>
      </c>
      <c r="H2668" s="165" t="str">
        <f>IF(ISBLANK('Q 5'!I232),"",IF('Q 5'!I232="&lt;please select&gt;","",'Q 5'!I232))</f>
        <v>32</v>
      </c>
    </row>
    <row r="2669" spans="1:8" x14ac:dyDescent="0.3">
      <c r="A2669" t="s">
        <v>1847</v>
      </c>
      <c r="B2669" t="s">
        <v>1855</v>
      </c>
      <c r="C2669">
        <v>31</v>
      </c>
      <c r="D2669" t="s">
        <v>1447</v>
      </c>
      <c r="E2669" t="s">
        <v>1858</v>
      </c>
      <c r="F2669" t="s">
        <v>1748</v>
      </c>
      <c r="H2669" s="165" t="str">
        <f>IF(ISBLANK('Q 5'!I233),"",IF('Q 5'!I233="&lt;please select&gt;","",'Q 5'!I233))</f>
        <v>1</v>
      </c>
    </row>
    <row r="2670" spans="1:8" x14ac:dyDescent="0.3">
      <c r="A2670" t="s">
        <v>1847</v>
      </c>
      <c r="B2670" t="s">
        <v>1855</v>
      </c>
      <c r="C2670">
        <v>32</v>
      </c>
      <c r="D2670" t="s">
        <v>1447</v>
      </c>
      <c r="E2670" t="s">
        <v>1858</v>
      </c>
      <c r="F2670" t="s">
        <v>1748</v>
      </c>
      <c r="H2670" s="165" t="str">
        <f>IF(ISBLANK('Q 5'!I234),"",IF('Q 5'!I234="&lt;please select&gt;","",'Q 5'!I234))</f>
        <v>1</v>
      </c>
    </row>
    <row r="2671" spans="1:8" x14ac:dyDescent="0.3">
      <c r="A2671" t="s">
        <v>1847</v>
      </c>
      <c r="B2671" t="s">
        <v>1855</v>
      </c>
      <c r="C2671">
        <v>33</v>
      </c>
      <c r="D2671" t="s">
        <v>1447</v>
      </c>
      <c r="E2671" t="s">
        <v>1858</v>
      </c>
      <c r="F2671" t="s">
        <v>1748</v>
      </c>
      <c r="H2671" s="165" t="str">
        <f>IF(ISBLANK('Q 5'!I235),"",IF('Q 5'!I235="&lt;please select&gt;","",'Q 5'!I235))</f>
        <v>1</v>
      </c>
    </row>
    <row r="2672" spans="1:8" x14ac:dyDescent="0.3">
      <c r="A2672" t="s">
        <v>1847</v>
      </c>
      <c r="B2672" t="s">
        <v>1855</v>
      </c>
      <c r="C2672">
        <v>34</v>
      </c>
      <c r="D2672" t="s">
        <v>1447</v>
      </c>
      <c r="E2672" t="s">
        <v>1858</v>
      </c>
      <c r="F2672" t="s">
        <v>1748</v>
      </c>
      <c r="H2672" s="165" t="str">
        <f>IF(ISBLANK('Q 5'!I236),"",IF('Q 5'!I236="&lt;please select&gt;","",'Q 5'!I236))</f>
        <v>1</v>
      </c>
    </row>
    <row r="2673" spans="1:8" x14ac:dyDescent="0.3">
      <c r="A2673" t="s">
        <v>1847</v>
      </c>
      <c r="B2673" t="s">
        <v>1855</v>
      </c>
      <c r="C2673">
        <v>35</v>
      </c>
      <c r="D2673" t="s">
        <v>1447</v>
      </c>
      <c r="E2673" t="s">
        <v>1858</v>
      </c>
      <c r="F2673" t="s">
        <v>1748</v>
      </c>
      <c r="H2673" s="165" t="str">
        <f>IF(ISBLANK('Q 5'!I237),"",IF('Q 5'!I237="&lt;please select&gt;","",'Q 5'!I237))</f>
        <v>1</v>
      </c>
    </row>
    <row r="2674" spans="1:8" x14ac:dyDescent="0.3">
      <c r="A2674" t="s">
        <v>1847</v>
      </c>
      <c r="B2674" t="s">
        <v>1855</v>
      </c>
      <c r="C2674">
        <v>36</v>
      </c>
      <c r="D2674" t="s">
        <v>1447</v>
      </c>
      <c r="E2674" t="s">
        <v>1858</v>
      </c>
      <c r="F2674" t="s">
        <v>1748</v>
      </c>
      <c r="H2674" s="165" t="str">
        <f>IF(ISBLANK('Q 5'!I238),"",IF('Q 5'!I238="&lt;please select&gt;","",'Q 5'!I238))</f>
        <v>1</v>
      </c>
    </row>
    <row r="2675" spans="1:8" x14ac:dyDescent="0.3">
      <c r="A2675" t="s">
        <v>1847</v>
      </c>
      <c r="B2675" t="s">
        <v>1855</v>
      </c>
      <c r="C2675">
        <v>37</v>
      </c>
      <c r="D2675" t="s">
        <v>1447</v>
      </c>
      <c r="E2675" t="s">
        <v>1858</v>
      </c>
      <c r="F2675" t="s">
        <v>1748</v>
      </c>
      <c r="H2675" s="165" t="str">
        <f>IF(ISBLANK('Q 5'!I239),"",IF('Q 5'!I239="&lt;please select&gt;","",'Q 5'!I239))</f>
        <v>2</v>
      </c>
    </row>
    <row r="2676" spans="1:8" x14ac:dyDescent="0.3">
      <c r="A2676" t="s">
        <v>1847</v>
      </c>
      <c r="B2676" t="s">
        <v>1855</v>
      </c>
      <c r="C2676">
        <v>38</v>
      </c>
      <c r="D2676" t="s">
        <v>1447</v>
      </c>
      <c r="E2676" t="s">
        <v>1858</v>
      </c>
      <c r="F2676" t="s">
        <v>1748</v>
      </c>
      <c r="H2676" s="165" t="str">
        <f>IF(ISBLANK('Q 5'!I240),"",IF('Q 5'!I240="&lt;please select&gt;","",'Q 5'!I240))</f>
        <v>1</v>
      </c>
    </row>
    <row r="2677" spans="1:8" x14ac:dyDescent="0.3">
      <c r="A2677" t="s">
        <v>1847</v>
      </c>
      <c r="B2677" t="s">
        <v>1855</v>
      </c>
      <c r="C2677">
        <v>39</v>
      </c>
      <c r="D2677" t="s">
        <v>1447</v>
      </c>
      <c r="E2677" t="s">
        <v>1858</v>
      </c>
      <c r="F2677" t="s">
        <v>1748</v>
      </c>
      <c r="H2677" s="165" t="str">
        <f>IF(ISBLANK('Q 5'!I241),"",IF('Q 5'!I241="&lt;please select&gt;","",'Q 5'!I241))</f>
        <v>1</v>
      </c>
    </row>
    <row r="2678" spans="1:8" x14ac:dyDescent="0.3">
      <c r="A2678" t="s">
        <v>1847</v>
      </c>
      <c r="B2678" t="s">
        <v>1855</v>
      </c>
      <c r="C2678">
        <v>40</v>
      </c>
      <c r="D2678" t="s">
        <v>1447</v>
      </c>
      <c r="E2678" t="s">
        <v>1858</v>
      </c>
      <c r="F2678" t="s">
        <v>1748</v>
      </c>
      <c r="H2678" s="165" t="str">
        <f>IF(ISBLANK('Q 5'!I242),"",IF('Q 5'!I242="&lt;please select&gt;","",'Q 5'!I242))</f>
        <v>1</v>
      </c>
    </row>
    <row r="2679" spans="1:8" x14ac:dyDescent="0.3">
      <c r="A2679" t="s">
        <v>1847</v>
      </c>
      <c r="B2679" t="s">
        <v>1855</v>
      </c>
      <c r="C2679">
        <v>41</v>
      </c>
      <c r="D2679" t="s">
        <v>1447</v>
      </c>
      <c r="E2679" t="s">
        <v>1858</v>
      </c>
      <c r="F2679" t="s">
        <v>1748</v>
      </c>
      <c r="H2679" s="165" t="str">
        <f>IF(ISBLANK('Q 5'!I243),"",IF('Q 5'!I243="&lt;please select&gt;","",'Q 5'!I243))</f>
        <v>2</v>
      </c>
    </row>
    <row r="2680" spans="1:8" x14ac:dyDescent="0.3">
      <c r="A2680" t="s">
        <v>1847</v>
      </c>
      <c r="B2680" t="s">
        <v>1855</v>
      </c>
      <c r="C2680">
        <v>42</v>
      </c>
      <c r="D2680" t="s">
        <v>1447</v>
      </c>
      <c r="E2680" t="s">
        <v>1858</v>
      </c>
      <c r="F2680" t="s">
        <v>1748</v>
      </c>
      <c r="H2680" s="165" t="str">
        <f>IF(ISBLANK('Q 5'!I244),"",IF('Q 5'!I244="&lt;please select&gt;","",'Q 5'!I244))</f>
        <v>79</v>
      </c>
    </row>
    <row r="2681" spans="1:8" x14ac:dyDescent="0.3">
      <c r="A2681" t="s">
        <v>1847</v>
      </c>
      <c r="B2681" t="s">
        <v>1855</v>
      </c>
      <c r="C2681">
        <v>43</v>
      </c>
      <c r="D2681" t="s">
        <v>1447</v>
      </c>
      <c r="E2681" t="s">
        <v>1858</v>
      </c>
      <c r="F2681" t="s">
        <v>1748</v>
      </c>
      <c r="H2681" s="165" t="str">
        <f>IF(ISBLANK('Q 5'!I245),"",IF('Q 5'!I245="&lt;please select&gt;","",'Q 5'!I245))</f>
        <v>3</v>
      </c>
    </row>
    <row r="2682" spans="1:8" x14ac:dyDescent="0.3">
      <c r="A2682" t="s">
        <v>1847</v>
      </c>
      <c r="B2682" t="s">
        <v>1855</v>
      </c>
      <c r="C2682">
        <v>44</v>
      </c>
      <c r="D2682" t="s">
        <v>1447</v>
      </c>
      <c r="E2682" t="s">
        <v>1858</v>
      </c>
      <c r="F2682" t="s">
        <v>1748</v>
      </c>
      <c r="H2682" s="165" t="str">
        <f>IF(ISBLANK('Q 5'!I246),"",IF('Q 5'!I246="&lt;please select&gt;","",'Q 5'!I246))</f>
        <v>12</v>
      </c>
    </row>
    <row r="2683" spans="1:8" x14ac:dyDescent="0.3">
      <c r="A2683" t="s">
        <v>1847</v>
      </c>
      <c r="B2683" t="s">
        <v>1855</v>
      </c>
      <c r="C2683">
        <v>45</v>
      </c>
      <c r="D2683" t="s">
        <v>1447</v>
      </c>
      <c r="E2683" t="s">
        <v>1858</v>
      </c>
      <c r="F2683" t="s">
        <v>1748</v>
      </c>
      <c r="H2683" s="165" t="str">
        <f>IF(ISBLANK('Q 5'!I247),"",IF('Q 5'!I247="&lt;please select&gt;","",'Q 5'!I247))</f>
        <v>7</v>
      </c>
    </row>
    <row r="2684" spans="1:8" x14ac:dyDescent="0.3">
      <c r="A2684" t="s">
        <v>1847</v>
      </c>
      <c r="B2684" t="s">
        <v>1855</v>
      </c>
      <c r="C2684">
        <v>46</v>
      </c>
      <c r="D2684" t="s">
        <v>1447</v>
      </c>
      <c r="E2684" t="s">
        <v>1858</v>
      </c>
      <c r="F2684" t="s">
        <v>1748</v>
      </c>
      <c r="H2684" s="165" t="str">
        <f>IF(ISBLANK('Q 5'!I248),"",IF('Q 5'!I248="&lt;please select&gt;","",'Q 5'!I248))</f>
        <v>18</v>
      </c>
    </row>
    <row r="2685" spans="1:8" x14ac:dyDescent="0.3">
      <c r="A2685" t="s">
        <v>1847</v>
      </c>
      <c r="B2685" t="s">
        <v>1855</v>
      </c>
      <c r="C2685">
        <v>47</v>
      </c>
      <c r="D2685" t="s">
        <v>1447</v>
      </c>
      <c r="E2685" t="s">
        <v>1858</v>
      </c>
      <c r="F2685" t="s">
        <v>1748</v>
      </c>
      <c r="H2685" s="165" t="str">
        <f>IF(ISBLANK('Q 5'!I249),"",IF('Q 5'!I249="&lt;please select&gt;","",'Q 5'!I249))</f>
        <v>1</v>
      </c>
    </row>
    <row r="2686" spans="1:8" x14ac:dyDescent="0.3">
      <c r="A2686" t="s">
        <v>1847</v>
      </c>
      <c r="B2686" t="s">
        <v>1855</v>
      </c>
      <c r="C2686">
        <v>48</v>
      </c>
      <c r="D2686" t="s">
        <v>1447</v>
      </c>
      <c r="E2686" t="s">
        <v>1858</v>
      </c>
      <c r="F2686" t="s">
        <v>1748</v>
      </c>
      <c r="H2686" s="165" t="str">
        <f>IF(ISBLANK('Q 5'!I250),"",IF('Q 5'!I250="&lt;please select&gt;","",'Q 5'!I250))</f>
        <v>1</v>
      </c>
    </row>
    <row r="2687" spans="1:8" x14ac:dyDescent="0.3">
      <c r="A2687" t="s">
        <v>1847</v>
      </c>
      <c r="B2687" t="s">
        <v>1855</v>
      </c>
      <c r="C2687">
        <v>49</v>
      </c>
      <c r="D2687" t="s">
        <v>1447</v>
      </c>
      <c r="E2687" t="s">
        <v>1858</v>
      </c>
      <c r="F2687" t="s">
        <v>1748</v>
      </c>
      <c r="H2687" s="165" t="str">
        <f>IF(ISBLANK('Q 5'!I251),"",IF('Q 5'!I251="&lt;please select&gt;","",'Q 5'!I251))</f>
        <v>1</v>
      </c>
    </row>
    <row r="2688" spans="1:8" x14ac:dyDescent="0.3">
      <c r="A2688" t="s">
        <v>1847</v>
      </c>
      <c r="B2688" t="s">
        <v>1855</v>
      </c>
      <c r="C2688">
        <v>50</v>
      </c>
      <c r="D2688" t="s">
        <v>1447</v>
      </c>
      <c r="E2688" t="s">
        <v>1858</v>
      </c>
      <c r="F2688" t="s">
        <v>1748</v>
      </c>
      <c r="H2688" s="165" t="str">
        <f>IF(ISBLANK('Q 5'!I252),"",IF('Q 5'!I252="&lt;please select&gt;","",'Q 5'!I252))</f>
        <v>5</v>
      </c>
    </row>
    <row r="2689" spans="1:8" x14ac:dyDescent="0.3">
      <c r="A2689" t="s">
        <v>1847</v>
      </c>
      <c r="B2689" t="s">
        <v>1855</v>
      </c>
      <c r="C2689">
        <v>51</v>
      </c>
      <c r="D2689" t="s">
        <v>1447</v>
      </c>
      <c r="E2689" t="s">
        <v>1858</v>
      </c>
      <c r="F2689" t="s">
        <v>1748</v>
      </c>
      <c r="H2689" s="165" t="str">
        <f>IF(ISBLANK('Q 5'!I253),"",IF('Q 5'!I253="&lt;please select&gt;","",'Q 5'!I253))</f>
        <v>3</v>
      </c>
    </row>
    <row r="2690" spans="1:8" x14ac:dyDescent="0.3">
      <c r="A2690" t="s">
        <v>1847</v>
      </c>
      <c r="B2690" t="s">
        <v>1855</v>
      </c>
      <c r="C2690">
        <v>52</v>
      </c>
      <c r="D2690" t="s">
        <v>1447</v>
      </c>
      <c r="E2690" t="s">
        <v>1858</v>
      </c>
      <c r="F2690" t="s">
        <v>1748</v>
      </c>
      <c r="H2690" s="165" t="str">
        <f>IF(ISBLANK('Q 5'!I254),"",IF('Q 5'!I254="&lt;please select&gt;","",'Q 5'!I254))</f>
        <v>3</v>
      </c>
    </row>
    <row r="2691" spans="1:8" x14ac:dyDescent="0.3">
      <c r="A2691" t="s">
        <v>1847</v>
      </c>
      <c r="B2691" t="s">
        <v>1855</v>
      </c>
      <c r="C2691">
        <v>53</v>
      </c>
      <c r="D2691" t="s">
        <v>1447</v>
      </c>
      <c r="E2691" t="s">
        <v>1858</v>
      </c>
      <c r="F2691" t="s">
        <v>1748</v>
      </c>
      <c r="H2691" s="165" t="str">
        <f>IF(ISBLANK('Q 5'!I255),"",IF('Q 5'!I255="&lt;please select&gt;","",'Q 5'!I255))</f>
        <v>27</v>
      </c>
    </row>
    <row r="2692" spans="1:8" x14ac:dyDescent="0.3">
      <c r="A2692" t="s">
        <v>1847</v>
      </c>
      <c r="B2692" t="s">
        <v>1855</v>
      </c>
      <c r="C2692">
        <v>54</v>
      </c>
      <c r="D2692" t="s">
        <v>1447</v>
      </c>
      <c r="E2692" t="s">
        <v>1858</v>
      </c>
      <c r="F2692" t="s">
        <v>1748</v>
      </c>
      <c r="H2692" s="165" t="str">
        <f>IF(ISBLANK('Q 5'!I256),"",IF('Q 5'!I256="&lt;please select&gt;","",'Q 5'!I256))</f>
        <v>1</v>
      </c>
    </row>
    <row r="2693" spans="1:8" x14ac:dyDescent="0.3">
      <c r="A2693" t="s">
        <v>1847</v>
      </c>
      <c r="B2693" t="s">
        <v>1855</v>
      </c>
      <c r="C2693">
        <v>55</v>
      </c>
      <c r="D2693" t="s">
        <v>1447</v>
      </c>
      <c r="E2693" t="s">
        <v>1858</v>
      </c>
      <c r="F2693" t="s">
        <v>1748</v>
      </c>
      <c r="H2693" s="165" t="str">
        <f>IF(ISBLANK('Q 5'!I257),"",IF('Q 5'!I257="&lt;please select&gt;","",'Q 5'!I257))</f>
        <v>1</v>
      </c>
    </row>
    <row r="2694" spans="1:8" x14ac:dyDescent="0.3">
      <c r="A2694" t="s">
        <v>1847</v>
      </c>
      <c r="B2694" t="s">
        <v>1855</v>
      </c>
      <c r="C2694">
        <v>56</v>
      </c>
      <c r="D2694" t="s">
        <v>1447</v>
      </c>
      <c r="E2694" t="s">
        <v>1858</v>
      </c>
      <c r="F2694" t="s">
        <v>1748</v>
      </c>
      <c r="H2694" s="165" t="str">
        <f>IF(ISBLANK('Q 5'!I258),"",IF('Q 5'!I258="&lt;please select&gt;","",'Q 5'!I258))</f>
        <v>1</v>
      </c>
    </row>
    <row r="2695" spans="1:8" x14ac:dyDescent="0.3">
      <c r="A2695" t="s">
        <v>1847</v>
      </c>
      <c r="B2695" t="s">
        <v>1855</v>
      </c>
      <c r="C2695">
        <v>57</v>
      </c>
      <c r="D2695" t="s">
        <v>1447</v>
      </c>
      <c r="E2695" t="s">
        <v>1858</v>
      </c>
      <c r="F2695" t="s">
        <v>1748</v>
      </c>
      <c r="H2695" s="165" t="str">
        <f>IF(ISBLANK('Q 5'!I259),"",IF('Q 5'!I259="&lt;please select&gt;","",'Q 5'!I259))</f>
        <v>2</v>
      </c>
    </row>
    <row r="2696" spans="1:8" x14ac:dyDescent="0.3">
      <c r="A2696" t="s">
        <v>1847</v>
      </c>
      <c r="B2696" t="s">
        <v>1855</v>
      </c>
      <c r="C2696">
        <v>58</v>
      </c>
      <c r="D2696" t="s">
        <v>1447</v>
      </c>
      <c r="E2696" t="s">
        <v>1858</v>
      </c>
      <c r="F2696" t="s">
        <v>1748</v>
      </c>
      <c r="H2696" s="165" t="str">
        <f>IF(ISBLANK('Q 5'!I260),"",IF('Q 5'!I260="&lt;please select&gt;","",'Q 5'!I260))</f>
        <v>1</v>
      </c>
    </row>
    <row r="2697" spans="1:8" x14ac:dyDescent="0.3">
      <c r="A2697" t="s">
        <v>1847</v>
      </c>
      <c r="B2697" t="s">
        <v>1855</v>
      </c>
      <c r="C2697">
        <v>59</v>
      </c>
      <c r="D2697" t="s">
        <v>1447</v>
      </c>
      <c r="E2697" t="s">
        <v>1858</v>
      </c>
      <c r="F2697" t="s">
        <v>1748</v>
      </c>
      <c r="H2697" s="165" t="str">
        <f>IF(ISBLANK('Q 5'!I261),"",IF('Q 5'!I261="&lt;please select&gt;","",'Q 5'!I261))</f>
        <v>1</v>
      </c>
    </row>
    <row r="2698" spans="1:8" x14ac:dyDescent="0.3">
      <c r="A2698" t="s">
        <v>1847</v>
      </c>
      <c r="B2698" t="s">
        <v>1855</v>
      </c>
      <c r="C2698">
        <v>60</v>
      </c>
      <c r="D2698" t="s">
        <v>1447</v>
      </c>
      <c r="E2698" t="s">
        <v>1858</v>
      </c>
      <c r="F2698" t="s">
        <v>1748</v>
      </c>
      <c r="H2698" s="165" t="str">
        <f>IF(ISBLANK('Q 5'!I262),"",IF('Q 5'!I262="&lt;please select&gt;","",'Q 5'!I262))</f>
        <v>1</v>
      </c>
    </row>
    <row r="2699" spans="1:8" x14ac:dyDescent="0.3">
      <c r="A2699" t="s">
        <v>1847</v>
      </c>
      <c r="B2699" t="s">
        <v>1855</v>
      </c>
      <c r="C2699">
        <v>61</v>
      </c>
      <c r="D2699" t="s">
        <v>1447</v>
      </c>
      <c r="E2699" t="s">
        <v>1858</v>
      </c>
      <c r="F2699" t="s">
        <v>1748</v>
      </c>
      <c r="H2699" s="165" t="str">
        <f>IF(ISBLANK('Q 5'!I263),"",IF('Q 5'!I263="&lt;please select&gt;","",'Q 5'!I263))</f>
        <v>3</v>
      </c>
    </row>
    <row r="2700" spans="1:8" x14ac:dyDescent="0.3">
      <c r="A2700" t="s">
        <v>1847</v>
      </c>
      <c r="B2700" t="s">
        <v>1855</v>
      </c>
      <c r="C2700">
        <v>62</v>
      </c>
      <c r="D2700" t="s">
        <v>1447</v>
      </c>
      <c r="E2700" t="s">
        <v>1858</v>
      </c>
      <c r="F2700" t="s">
        <v>1748</v>
      </c>
      <c r="H2700" s="165" t="str">
        <f>IF(ISBLANK('Q 5'!I264),"",IF('Q 5'!I264="&lt;please select&gt;","",'Q 5'!I264))</f>
        <v>6</v>
      </c>
    </row>
    <row r="2701" spans="1:8" x14ac:dyDescent="0.3">
      <c r="A2701" t="s">
        <v>1847</v>
      </c>
      <c r="B2701" t="s">
        <v>1855</v>
      </c>
      <c r="C2701">
        <v>63</v>
      </c>
      <c r="D2701" t="s">
        <v>1447</v>
      </c>
      <c r="E2701" t="s">
        <v>1858</v>
      </c>
      <c r="F2701" t="s">
        <v>1748</v>
      </c>
      <c r="H2701" s="165" t="str">
        <f>IF(ISBLANK('Q 5'!I265),"",IF('Q 5'!I265="&lt;please select&gt;","",'Q 5'!I265))</f>
        <v>2</v>
      </c>
    </row>
    <row r="2702" spans="1:8" x14ac:dyDescent="0.3">
      <c r="A2702" t="s">
        <v>1847</v>
      </c>
      <c r="B2702" t="s">
        <v>1855</v>
      </c>
      <c r="C2702">
        <v>64</v>
      </c>
      <c r="D2702" t="s">
        <v>1447</v>
      </c>
      <c r="E2702" t="s">
        <v>1858</v>
      </c>
      <c r="F2702" t="s">
        <v>1748</v>
      </c>
      <c r="H2702" s="165" t="str">
        <f>IF(ISBLANK('Q 5'!I266),"",IF('Q 5'!I266="&lt;please select&gt;","",'Q 5'!I266))</f>
        <v>1</v>
      </c>
    </row>
    <row r="2703" spans="1:8" x14ac:dyDescent="0.3">
      <c r="A2703" t="s">
        <v>1847</v>
      </c>
      <c r="B2703" t="s">
        <v>1855</v>
      </c>
      <c r="C2703">
        <v>65</v>
      </c>
      <c r="D2703" t="s">
        <v>1447</v>
      </c>
      <c r="E2703" t="s">
        <v>1858</v>
      </c>
      <c r="F2703" t="s">
        <v>1748</v>
      </c>
      <c r="H2703" s="165" t="str">
        <f>IF(ISBLANK('Q 5'!I267),"",IF('Q 5'!I267="&lt;please select&gt;","",'Q 5'!I267))</f>
        <v>3</v>
      </c>
    </row>
    <row r="2704" spans="1:8" x14ac:dyDescent="0.3">
      <c r="A2704" t="s">
        <v>1847</v>
      </c>
      <c r="B2704" t="s">
        <v>1855</v>
      </c>
      <c r="C2704">
        <v>66</v>
      </c>
      <c r="D2704" t="s">
        <v>1447</v>
      </c>
      <c r="E2704" t="s">
        <v>1858</v>
      </c>
      <c r="F2704" t="s">
        <v>1748</v>
      </c>
      <c r="H2704" s="165" t="str">
        <f>IF(ISBLANK('Q 5'!I268),"",IF('Q 5'!I268="&lt;please select&gt;","",'Q 5'!I268))</f>
        <v>7</v>
      </c>
    </row>
    <row r="2705" spans="1:8" x14ac:dyDescent="0.3">
      <c r="A2705" t="s">
        <v>1847</v>
      </c>
      <c r="B2705" t="s">
        <v>1855</v>
      </c>
      <c r="C2705">
        <v>67</v>
      </c>
      <c r="D2705" t="s">
        <v>1447</v>
      </c>
      <c r="E2705" t="s">
        <v>1858</v>
      </c>
      <c r="F2705" t="s">
        <v>1748</v>
      </c>
      <c r="H2705" s="165" t="str">
        <f>IF(ISBLANK('Q 5'!I269),"",IF('Q 5'!I269="&lt;please select&gt;","",'Q 5'!I269))</f>
        <v>86</v>
      </c>
    </row>
    <row r="2706" spans="1:8" x14ac:dyDescent="0.3">
      <c r="A2706" t="s">
        <v>1847</v>
      </c>
      <c r="B2706" t="s">
        <v>1855</v>
      </c>
      <c r="C2706">
        <v>68</v>
      </c>
      <c r="D2706" t="s">
        <v>1447</v>
      </c>
      <c r="E2706" t="s">
        <v>1858</v>
      </c>
      <c r="F2706" t="s">
        <v>1748</v>
      </c>
      <c r="H2706" s="165" t="str">
        <f>IF(ISBLANK('Q 5'!I270),"",IF('Q 5'!I270="&lt;please select&gt;","",'Q 5'!I270))</f>
        <v>1</v>
      </c>
    </row>
    <row r="2707" spans="1:8" x14ac:dyDescent="0.3">
      <c r="A2707" t="s">
        <v>1847</v>
      </c>
      <c r="B2707" t="s">
        <v>1855</v>
      </c>
      <c r="C2707">
        <v>69</v>
      </c>
      <c r="D2707" t="s">
        <v>1447</v>
      </c>
      <c r="E2707" t="s">
        <v>1858</v>
      </c>
      <c r="F2707" t="s">
        <v>1748</v>
      </c>
      <c r="H2707" s="165" t="str">
        <f>IF(ISBLANK('Q 5'!I271),"",IF('Q 5'!I271="&lt;please select&gt;","",'Q 5'!I271))</f>
        <v>1</v>
      </c>
    </row>
    <row r="2708" spans="1:8" x14ac:dyDescent="0.3">
      <c r="A2708" t="s">
        <v>1847</v>
      </c>
      <c r="B2708" t="s">
        <v>1855</v>
      </c>
      <c r="C2708">
        <v>70</v>
      </c>
      <c r="D2708" t="s">
        <v>1447</v>
      </c>
      <c r="E2708" t="s">
        <v>1858</v>
      </c>
      <c r="F2708" t="s">
        <v>1748</v>
      </c>
      <c r="H2708" s="165" t="str">
        <f>IF(ISBLANK('Q 5'!I272),"",IF('Q 5'!I272="&lt;please select&gt;","",'Q 5'!I272))</f>
        <v>1</v>
      </c>
    </row>
    <row r="2709" spans="1:8" x14ac:dyDescent="0.3">
      <c r="A2709" t="s">
        <v>1847</v>
      </c>
      <c r="B2709" t="s">
        <v>1855</v>
      </c>
      <c r="C2709">
        <v>71</v>
      </c>
      <c r="D2709" t="s">
        <v>1447</v>
      </c>
      <c r="E2709" t="s">
        <v>1858</v>
      </c>
      <c r="F2709" t="s">
        <v>1748</v>
      </c>
      <c r="H2709" s="165" t="str">
        <f>IF(ISBLANK('Q 5'!I273),"",IF('Q 5'!I273="&lt;please select&gt;","",'Q 5'!I273))</f>
        <v>1</v>
      </c>
    </row>
    <row r="2710" spans="1:8" x14ac:dyDescent="0.3">
      <c r="A2710" t="s">
        <v>1847</v>
      </c>
      <c r="B2710" t="s">
        <v>1855</v>
      </c>
      <c r="C2710">
        <v>72</v>
      </c>
      <c r="D2710" t="s">
        <v>1447</v>
      </c>
      <c r="E2710" t="s">
        <v>1858</v>
      </c>
      <c r="F2710" t="s">
        <v>1748</v>
      </c>
      <c r="H2710" s="165" t="str">
        <f>IF(ISBLANK('Q 5'!I274),"",IF('Q 5'!I274="&lt;please select&gt;","",'Q 5'!I274))</f>
        <v>1</v>
      </c>
    </row>
    <row r="2711" spans="1:8" x14ac:dyDescent="0.3">
      <c r="A2711" t="s">
        <v>1847</v>
      </c>
      <c r="B2711" t="s">
        <v>1855</v>
      </c>
      <c r="C2711">
        <v>73</v>
      </c>
      <c r="D2711" t="s">
        <v>1447</v>
      </c>
      <c r="E2711" t="s">
        <v>1858</v>
      </c>
      <c r="F2711" t="s">
        <v>1748</v>
      </c>
      <c r="H2711" s="165" t="str">
        <f>IF(ISBLANK('Q 5'!I275),"",IF('Q 5'!I275="&lt;please select&gt;","",'Q 5'!I275))</f>
        <v>1</v>
      </c>
    </row>
    <row r="2712" spans="1:8" x14ac:dyDescent="0.3">
      <c r="A2712" t="s">
        <v>1847</v>
      </c>
      <c r="B2712" t="s">
        <v>1855</v>
      </c>
      <c r="C2712">
        <v>74</v>
      </c>
      <c r="D2712" t="s">
        <v>1447</v>
      </c>
      <c r="E2712" t="s">
        <v>1858</v>
      </c>
      <c r="F2712" t="s">
        <v>1748</v>
      </c>
      <c r="H2712" s="165" t="str">
        <f>IF(ISBLANK('Q 5'!I276),"",IF('Q 5'!I276="&lt;please select&gt;","",'Q 5'!I276))</f>
        <v>2</v>
      </c>
    </row>
    <row r="2713" spans="1:8" x14ac:dyDescent="0.3">
      <c r="A2713" t="s">
        <v>1847</v>
      </c>
      <c r="B2713" t="s">
        <v>1855</v>
      </c>
      <c r="C2713">
        <v>75</v>
      </c>
      <c r="D2713" t="s">
        <v>1447</v>
      </c>
      <c r="E2713" t="s">
        <v>1858</v>
      </c>
      <c r="F2713" t="s">
        <v>1748</v>
      </c>
      <c r="H2713" s="165" t="str">
        <f>IF(ISBLANK('Q 5'!I277),"",IF('Q 5'!I277="&lt;please select&gt;","",'Q 5'!I277))</f>
        <v>1</v>
      </c>
    </row>
    <row r="2714" spans="1:8" x14ac:dyDescent="0.3">
      <c r="A2714" t="s">
        <v>1847</v>
      </c>
      <c r="B2714" t="s">
        <v>1855</v>
      </c>
      <c r="C2714">
        <v>76</v>
      </c>
      <c r="D2714" t="s">
        <v>1447</v>
      </c>
      <c r="E2714" t="s">
        <v>1858</v>
      </c>
      <c r="F2714" t="s">
        <v>1748</v>
      </c>
      <c r="H2714" s="165" t="str">
        <f>IF(ISBLANK('Q 5'!I278),"",IF('Q 5'!I278="&lt;please select&gt;","",'Q 5'!I278))</f>
        <v>1</v>
      </c>
    </row>
    <row r="2715" spans="1:8" x14ac:dyDescent="0.3">
      <c r="A2715" t="s">
        <v>1847</v>
      </c>
      <c r="B2715" t="s">
        <v>1855</v>
      </c>
      <c r="C2715">
        <v>77</v>
      </c>
      <c r="D2715" t="s">
        <v>1447</v>
      </c>
      <c r="E2715" t="s">
        <v>1858</v>
      </c>
      <c r="F2715" t="s">
        <v>1748</v>
      </c>
      <c r="H2715" s="165" t="str">
        <f>IF(ISBLANK('Q 5'!I279),"",IF('Q 5'!I279="&lt;please select&gt;","",'Q 5'!I279))</f>
        <v>1</v>
      </c>
    </row>
    <row r="2716" spans="1:8" x14ac:dyDescent="0.3">
      <c r="A2716" t="s">
        <v>1847</v>
      </c>
      <c r="B2716" t="s">
        <v>1855</v>
      </c>
      <c r="C2716">
        <v>78</v>
      </c>
      <c r="D2716" t="s">
        <v>1447</v>
      </c>
      <c r="E2716" t="s">
        <v>1858</v>
      </c>
      <c r="F2716" t="s">
        <v>1748</v>
      </c>
      <c r="H2716" s="165" t="str">
        <f>IF(ISBLANK('Q 5'!I280),"",IF('Q 5'!I280="&lt;please select&gt;","",'Q 5'!I280))</f>
        <v>1</v>
      </c>
    </row>
    <row r="2717" spans="1:8" x14ac:dyDescent="0.3">
      <c r="A2717" t="s">
        <v>1847</v>
      </c>
      <c r="B2717" t="s">
        <v>1855</v>
      </c>
      <c r="C2717">
        <v>79</v>
      </c>
      <c r="D2717" t="s">
        <v>1447</v>
      </c>
      <c r="E2717" t="s">
        <v>1858</v>
      </c>
      <c r="F2717" t="s">
        <v>1748</v>
      </c>
      <c r="H2717" s="165" t="str">
        <f>IF(ISBLANK('Q 5'!I281),"",IF('Q 5'!I281="&lt;please select&gt;","",'Q 5'!I281))</f>
        <v>1</v>
      </c>
    </row>
    <row r="2718" spans="1:8" x14ac:dyDescent="0.3">
      <c r="A2718" t="s">
        <v>1847</v>
      </c>
      <c r="B2718" t="s">
        <v>1855</v>
      </c>
      <c r="C2718">
        <v>80</v>
      </c>
      <c r="D2718" t="s">
        <v>1447</v>
      </c>
      <c r="E2718" t="s">
        <v>1858</v>
      </c>
      <c r="F2718" t="s">
        <v>1748</v>
      </c>
      <c r="H2718" s="165" t="str">
        <f>IF(ISBLANK('Q 5'!I282),"",IF('Q 5'!I282="&lt;please select&gt;","",'Q 5'!I282))</f>
        <v>8</v>
      </c>
    </row>
    <row r="2719" spans="1:8" x14ac:dyDescent="0.3">
      <c r="A2719" t="s">
        <v>1847</v>
      </c>
      <c r="B2719" t="s">
        <v>1855</v>
      </c>
      <c r="C2719">
        <v>81</v>
      </c>
      <c r="D2719" t="s">
        <v>1447</v>
      </c>
      <c r="E2719" t="s">
        <v>1858</v>
      </c>
      <c r="F2719" t="s">
        <v>1748</v>
      </c>
      <c r="H2719" s="165" t="str">
        <f>IF(ISBLANK('Q 5'!I283),"",IF('Q 5'!I283="&lt;please select&gt;","",'Q 5'!I283))</f>
        <v>1</v>
      </c>
    </row>
    <row r="2720" spans="1:8" x14ac:dyDescent="0.3">
      <c r="A2720" t="s">
        <v>1847</v>
      </c>
      <c r="B2720" t="s">
        <v>1855</v>
      </c>
      <c r="C2720">
        <v>82</v>
      </c>
      <c r="D2720" t="s">
        <v>1447</v>
      </c>
      <c r="E2720" t="s">
        <v>1858</v>
      </c>
      <c r="F2720" t="s">
        <v>1748</v>
      </c>
      <c r="H2720" s="165" t="str">
        <f>IF(ISBLANK('Q 5'!I284),"",IF('Q 5'!I284="&lt;please select&gt;","",'Q 5'!I284))</f>
        <v>1</v>
      </c>
    </row>
    <row r="2721" spans="1:8" x14ac:dyDescent="0.3">
      <c r="A2721" t="s">
        <v>1847</v>
      </c>
      <c r="B2721" t="s">
        <v>1855</v>
      </c>
      <c r="C2721">
        <v>83</v>
      </c>
      <c r="D2721" t="s">
        <v>1447</v>
      </c>
      <c r="E2721" t="s">
        <v>1858</v>
      </c>
      <c r="F2721" t="s">
        <v>1748</v>
      </c>
      <c r="H2721" s="165" t="str">
        <f>IF(ISBLANK('Q 5'!I285),"",IF('Q 5'!I285="&lt;please select&gt;","",'Q 5'!I285))</f>
        <v>1</v>
      </c>
    </row>
    <row r="2722" spans="1:8" x14ac:dyDescent="0.3">
      <c r="A2722" t="s">
        <v>1847</v>
      </c>
      <c r="B2722" t="s">
        <v>1855</v>
      </c>
      <c r="C2722">
        <v>84</v>
      </c>
      <c r="D2722" t="s">
        <v>1447</v>
      </c>
      <c r="E2722" t="s">
        <v>1858</v>
      </c>
      <c r="F2722" t="s">
        <v>1748</v>
      </c>
      <c r="H2722" s="165" t="str">
        <f>IF(ISBLANK('Q 5'!I286),"",IF('Q 5'!I286="&lt;please select&gt;","",'Q 5'!I286))</f>
        <v>3</v>
      </c>
    </row>
    <row r="2723" spans="1:8" x14ac:dyDescent="0.3">
      <c r="A2723" t="s">
        <v>1847</v>
      </c>
      <c r="B2723" t="s">
        <v>1855</v>
      </c>
      <c r="C2723">
        <v>85</v>
      </c>
      <c r="D2723" t="s">
        <v>1447</v>
      </c>
      <c r="E2723" t="s">
        <v>1858</v>
      </c>
      <c r="F2723" t="s">
        <v>1748</v>
      </c>
      <c r="H2723" s="165" t="str">
        <f>IF(ISBLANK('Q 5'!I287),"",IF('Q 5'!I287="&lt;please select&gt;","",'Q 5'!I287))</f>
        <v>43</v>
      </c>
    </row>
    <row r="2724" spans="1:8" x14ac:dyDescent="0.3">
      <c r="A2724" t="s">
        <v>1847</v>
      </c>
      <c r="B2724" t="s">
        <v>1855</v>
      </c>
      <c r="C2724">
        <v>86</v>
      </c>
      <c r="D2724" t="s">
        <v>1447</v>
      </c>
      <c r="E2724" t="s">
        <v>1858</v>
      </c>
      <c r="F2724" t="s">
        <v>1748</v>
      </c>
      <c r="H2724" s="165" t="str">
        <f>IF(ISBLANK('Q 5'!I288),"",IF('Q 5'!I288="&lt;please select&gt;","",'Q 5'!I288))</f>
        <v>2</v>
      </c>
    </row>
    <row r="2725" spans="1:8" x14ac:dyDescent="0.3">
      <c r="A2725" t="s">
        <v>1847</v>
      </c>
      <c r="B2725" t="s">
        <v>1855</v>
      </c>
      <c r="C2725">
        <v>87</v>
      </c>
      <c r="D2725" t="s">
        <v>1447</v>
      </c>
      <c r="E2725" t="s">
        <v>1858</v>
      </c>
      <c r="F2725" t="s">
        <v>1748</v>
      </c>
      <c r="H2725" s="165" t="str">
        <f>IF(ISBLANK('Q 5'!I289),"",IF('Q 5'!I289="&lt;please select&gt;","",'Q 5'!I289))</f>
        <v>3</v>
      </c>
    </row>
    <row r="2726" spans="1:8" x14ac:dyDescent="0.3">
      <c r="A2726" t="s">
        <v>1847</v>
      </c>
      <c r="B2726" t="s">
        <v>1855</v>
      </c>
      <c r="C2726">
        <v>88</v>
      </c>
      <c r="D2726" t="s">
        <v>1447</v>
      </c>
      <c r="E2726" t="s">
        <v>1858</v>
      </c>
      <c r="F2726" t="s">
        <v>1748</v>
      </c>
      <c r="H2726" s="165" t="str">
        <f>IF(ISBLANK('Q 5'!I290),"",IF('Q 5'!I290="&lt;please select&gt;","",'Q 5'!I290))</f>
        <v>17</v>
      </c>
    </row>
    <row r="2727" spans="1:8" x14ac:dyDescent="0.3">
      <c r="A2727" t="s">
        <v>1847</v>
      </c>
      <c r="B2727" t="s">
        <v>1855</v>
      </c>
      <c r="C2727">
        <v>89</v>
      </c>
      <c r="D2727" t="s">
        <v>1447</v>
      </c>
      <c r="E2727" t="s">
        <v>1858</v>
      </c>
      <c r="F2727" t="s">
        <v>1748</v>
      </c>
      <c r="H2727" s="165" t="str">
        <f>IF(ISBLANK('Q 5'!I291),"",IF('Q 5'!I291="&lt;please select&gt;","",'Q 5'!I291))</f>
        <v>1</v>
      </c>
    </row>
    <row r="2728" spans="1:8" x14ac:dyDescent="0.3">
      <c r="A2728" t="s">
        <v>1847</v>
      </c>
      <c r="B2728" t="s">
        <v>1855</v>
      </c>
      <c r="C2728">
        <v>90</v>
      </c>
      <c r="D2728" t="s">
        <v>1447</v>
      </c>
      <c r="E2728" t="s">
        <v>1858</v>
      </c>
      <c r="F2728" t="s">
        <v>1748</v>
      </c>
      <c r="H2728" s="165" t="str">
        <f>IF(ISBLANK('Q 5'!I292),"",IF('Q 5'!I292="&lt;please select&gt;","",'Q 5'!I292))</f>
        <v>1</v>
      </c>
    </row>
    <row r="2729" spans="1:8" x14ac:dyDescent="0.3">
      <c r="A2729" t="s">
        <v>1847</v>
      </c>
      <c r="B2729" t="s">
        <v>1855</v>
      </c>
      <c r="C2729">
        <v>91</v>
      </c>
      <c r="D2729" t="s">
        <v>1447</v>
      </c>
      <c r="E2729" t="s">
        <v>1858</v>
      </c>
      <c r="F2729" t="s">
        <v>1748</v>
      </c>
      <c r="H2729" s="165" t="str">
        <f>IF(ISBLANK('Q 5'!I293),"",IF('Q 5'!I293="&lt;please select&gt;","",'Q 5'!I293))</f>
        <v>1</v>
      </c>
    </row>
    <row r="2730" spans="1:8" x14ac:dyDescent="0.3">
      <c r="A2730" t="s">
        <v>1847</v>
      </c>
      <c r="B2730" t="s">
        <v>1855</v>
      </c>
      <c r="C2730">
        <v>92</v>
      </c>
      <c r="D2730" t="s">
        <v>1447</v>
      </c>
      <c r="E2730" t="s">
        <v>1858</v>
      </c>
      <c r="F2730" t="s">
        <v>1748</v>
      </c>
      <c r="H2730" s="165" t="str">
        <f>IF(ISBLANK('Q 5'!I294),"",IF('Q 5'!I294="&lt;please select&gt;","",'Q 5'!I294))</f>
        <v>1</v>
      </c>
    </row>
    <row r="2731" spans="1:8" x14ac:dyDescent="0.3">
      <c r="A2731" t="s">
        <v>1847</v>
      </c>
      <c r="B2731" t="s">
        <v>1855</v>
      </c>
      <c r="C2731">
        <v>93</v>
      </c>
      <c r="D2731" t="s">
        <v>1447</v>
      </c>
      <c r="E2731" t="s">
        <v>1858</v>
      </c>
      <c r="F2731" t="s">
        <v>1748</v>
      </c>
      <c r="H2731" s="165" t="str">
        <f>IF(ISBLANK('Q 5'!I295),"",IF('Q 5'!I295="&lt;please select&gt;","",'Q 5'!I295))</f>
        <v>1</v>
      </c>
    </row>
    <row r="2732" spans="1:8" x14ac:dyDescent="0.3">
      <c r="A2732" t="s">
        <v>1847</v>
      </c>
      <c r="B2732" t="s">
        <v>1855</v>
      </c>
      <c r="C2732">
        <v>94</v>
      </c>
      <c r="D2732" t="s">
        <v>1447</v>
      </c>
      <c r="E2732" t="s">
        <v>1858</v>
      </c>
      <c r="F2732" t="s">
        <v>1748</v>
      </c>
      <c r="H2732" s="165" t="str">
        <f>IF(ISBLANK('Q 5'!I296),"",IF('Q 5'!I296="&lt;please select&gt;","",'Q 5'!I296))</f>
        <v>1</v>
      </c>
    </row>
    <row r="2733" spans="1:8" x14ac:dyDescent="0.3">
      <c r="A2733" t="s">
        <v>1847</v>
      </c>
      <c r="B2733" t="s">
        <v>1855</v>
      </c>
      <c r="C2733">
        <v>95</v>
      </c>
      <c r="D2733" t="s">
        <v>1447</v>
      </c>
      <c r="E2733" t="s">
        <v>1858</v>
      </c>
      <c r="F2733" t="s">
        <v>1748</v>
      </c>
      <c r="H2733" s="165" t="str">
        <f>IF(ISBLANK('Q 5'!I297),"",IF('Q 5'!I297="&lt;please select&gt;","",'Q 5'!I297))</f>
        <v>1</v>
      </c>
    </row>
    <row r="2734" spans="1:8" x14ac:dyDescent="0.3">
      <c r="A2734" t="s">
        <v>1847</v>
      </c>
      <c r="B2734" t="s">
        <v>1855</v>
      </c>
      <c r="C2734">
        <v>96</v>
      </c>
      <c r="D2734" t="s">
        <v>1447</v>
      </c>
      <c r="E2734" t="s">
        <v>1858</v>
      </c>
      <c r="F2734" t="s">
        <v>1748</v>
      </c>
      <c r="H2734" s="165" t="str">
        <f>IF(ISBLANK('Q 5'!I298),"",IF('Q 5'!I298="&lt;please select&gt;","",'Q 5'!I298))</f>
        <v>4</v>
      </c>
    </row>
    <row r="2735" spans="1:8" x14ac:dyDescent="0.3">
      <c r="A2735" t="s">
        <v>1847</v>
      </c>
      <c r="B2735" t="s">
        <v>1855</v>
      </c>
      <c r="C2735">
        <v>97</v>
      </c>
      <c r="D2735" t="s">
        <v>1447</v>
      </c>
      <c r="E2735" t="s">
        <v>1858</v>
      </c>
      <c r="F2735" t="s">
        <v>1748</v>
      </c>
      <c r="H2735" s="165" t="str">
        <f>IF(ISBLANK('Q 5'!I299),"",IF('Q 5'!I299="&lt;please select&gt;","",'Q 5'!I299))</f>
        <v>1</v>
      </c>
    </row>
    <row r="2736" spans="1:8" x14ac:dyDescent="0.3">
      <c r="A2736" t="s">
        <v>1847</v>
      </c>
      <c r="B2736" t="s">
        <v>1855</v>
      </c>
      <c r="C2736">
        <v>98</v>
      </c>
      <c r="D2736" t="s">
        <v>1447</v>
      </c>
      <c r="E2736" t="s">
        <v>1858</v>
      </c>
      <c r="F2736" t="s">
        <v>1748</v>
      </c>
      <c r="H2736" s="165" t="str">
        <f>IF(ISBLANK('Q 5'!I300),"",IF('Q 5'!I300="&lt;please select&gt;","",'Q 5'!I300))</f>
        <v>2</v>
      </c>
    </row>
    <row r="2737" spans="1:8" x14ac:dyDescent="0.3">
      <c r="A2737" t="s">
        <v>1847</v>
      </c>
      <c r="B2737" t="s">
        <v>1855</v>
      </c>
      <c r="C2737">
        <v>99</v>
      </c>
      <c r="D2737" t="s">
        <v>1447</v>
      </c>
      <c r="E2737" t="s">
        <v>1858</v>
      </c>
      <c r="F2737" t="s">
        <v>1748</v>
      </c>
      <c r="H2737" s="165" t="str">
        <f>IF(ISBLANK('Q 5'!I301),"",IF('Q 5'!I301="&lt;please select&gt;","",'Q 5'!I301))</f>
        <v>1</v>
      </c>
    </row>
    <row r="2738" spans="1:8" x14ac:dyDescent="0.3">
      <c r="A2738" t="s">
        <v>1847</v>
      </c>
      <c r="B2738" t="s">
        <v>1855</v>
      </c>
      <c r="C2738">
        <v>100</v>
      </c>
      <c r="D2738" t="s">
        <v>1447</v>
      </c>
      <c r="E2738" t="s">
        <v>1858</v>
      </c>
      <c r="F2738" t="s">
        <v>1748</v>
      </c>
      <c r="H2738" s="165" t="str">
        <f>IF(ISBLANK('Q 5'!I302),"",IF('Q 5'!I302="&lt;please select&gt;","",'Q 5'!I302))</f>
        <v>1</v>
      </c>
    </row>
    <row r="2739" spans="1:8" x14ac:dyDescent="0.3">
      <c r="A2739" t="s">
        <v>1847</v>
      </c>
      <c r="B2739" t="s">
        <v>1855</v>
      </c>
      <c r="C2739">
        <v>101</v>
      </c>
      <c r="D2739" t="s">
        <v>1447</v>
      </c>
      <c r="E2739" t="s">
        <v>1858</v>
      </c>
      <c r="F2739" t="s">
        <v>1748</v>
      </c>
      <c r="H2739" s="165" t="str">
        <f>IF(ISBLANK('Q 5'!I303),"",IF('Q 5'!I303="&lt;please select&gt;","",'Q 5'!I303))</f>
        <v>1</v>
      </c>
    </row>
    <row r="2740" spans="1:8" x14ac:dyDescent="0.3">
      <c r="A2740" t="s">
        <v>1847</v>
      </c>
      <c r="B2740" t="s">
        <v>1855</v>
      </c>
      <c r="C2740">
        <v>102</v>
      </c>
      <c r="D2740" t="s">
        <v>1447</v>
      </c>
      <c r="E2740" t="s">
        <v>1858</v>
      </c>
      <c r="F2740" t="s">
        <v>1748</v>
      </c>
      <c r="H2740" s="165" t="str">
        <f>IF(ISBLANK('Q 5'!I304),"",IF('Q 5'!I304="&lt;please select&gt;","",'Q 5'!I304))</f>
        <v>2</v>
      </c>
    </row>
    <row r="2741" spans="1:8" x14ac:dyDescent="0.3">
      <c r="A2741" t="s">
        <v>1847</v>
      </c>
      <c r="B2741" t="s">
        <v>1855</v>
      </c>
      <c r="C2741">
        <v>103</v>
      </c>
      <c r="D2741" t="s">
        <v>1447</v>
      </c>
      <c r="E2741" t="s">
        <v>1858</v>
      </c>
      <c r="F2741" t="s">
        <v>1748</v>
      </c>
      <c r="H2741" s="165" t="str">
        <f>IF(ISBLANK('Q 5'!I305),"",IF('Q 5'!I305="&lt;please select&gt;","",'Q 5'!I305))</f>
        <v>1</v>
      </c>
    </row>
    <row r="2742" spans="1:8" x14ac:dyDescent="0.3">
      <c r="A2742" t="s">
        <v>1847</v>
      </c>
      <c r="B2742" t="s">
        <v>1855</v>
      </c>
      <c r="C2742">
        <v>104</v>
      </c>
      <c r="D2742" t="s">
        <v>1447</v>
      </c>
      <c r="E2742" t="s">
        <v>1858</v>
      </c>
      <c r="F2742" t="s">
        <v>1748</v>
      </c>
      <c r="H2742" s="165" t="str">
        <f>IF(ISBLANK('Q 5'!I306),"",IF('Q 5'!I306="&lt;please select&gt;","",'Q 5'!I306))</f>
        <v>1</v>
      </c>
    </row>
    <row r="2743" spans="1:8" x14ac:dyDescent="0.3">
      <c r="A2743" t="s">
        <v>1847</v>
      </c>
      <c r="B2743" t="s">
        <v>1855</v>
      </c>
      <c r="C2743">
        <v>105</v>
      </c>
      <c r="D2743" t="s">
        <v>1447</v>
      </c>
      <c r="E2743" t="s">
        <v>1858</v>
      </c>
      <c r="F2743" t="s">
        <v>1748</v>
      </c>
      <c r="H2743" s="165" t="str">
        <f>IF(ISBLANK('Q 5'!I307),"",IF('Q 5'!I307="&lt;please select&gt;","",'Q 5'!I307))</f>
        <v>3</v>
      </c>
    </row>
    <row r="2744" spans="1:8" x14ac:dyDescent="0.3">
      <c r="A2744" t="s">
        <v>1847</v>
      </c>
      <c r="B2744" t="s">
        <v>1855</v>
      </c>
      <c r="C2744">
        <v>106</v>
      </c>
      <c r="D2744" t="s">
        <v>1447</v>
      </c>
      <c r="E2744" t="s">
        <v>1858</v>
      </c>
      <c r="F2744" t="s">
        <v>1748</v>
      </c>
      <c r="H2744" s="165" t="str">
        <f>IF(ISBLANK('Q 5'!I308),"",IF('Q 5'!I308="&lt;please select&gt;","",'Q 5'!I308))</f>
        <v>1</v>
      </c>
    </row>
    <row r="2745" spans="1:8" x14ac:dyDescent="0.3">
      <c r="A2745" t="s">
        <v>1847</v>
      </c>
      <c r="B2745" t="s">
        <v>1855</v>
      </c>
      <c r="C2745">
        <v>107</v>
      </c>
      <c r="D2745" t="s">
        <v>1447</v>
      </c>
      <c r="E2745" t="s">
        <v>1858</v>
      </c>
      <c r="F2745" t="s">
        <v>1748</v>
      </c>
      <c r="H2745" s="165" t="str">
        <f>IF(ISBLANK('Q 5'!I309),"",IF('Q 5'!I309="&lt;please select&gt;","",'Q 5'!I309))</f>
        <v>71</v>
      </c>
    </row>
    <row r="2746" spans="1:8" x14ac:dyDescent="0.3">
      <c r="A2746" t="s">
        <v>1847</v>
      </c>
      <c r="B2746" t="s">
        <v>1855</v>
      </c>
      <c r="C2746">
        <v>108</v>
      </c>
      <c r="D2746" t="s">
        <v>1447</v>
      </c>
      <c r="E2746" t="s">
        <v>1858</v>
      </c>
      <c r="F2746" t="s">
        <v>1748</v>
      </c>
      <c r="H2746" s="165" t="str">
        <f>IF(ISBLANK('Q 5'!I310),"",IF('Q 5'!I310="&lt;please select&gt;","",'Q 5'!I310))</f>
        <v>4</v>
      </c>
    </row>
    <row r="2747" spans="1:8" x14ac:dyDescent="0.3">
      <c r="A2747" t="s">
        <v>1847</v>
      </c>
      <c r="B2747" t="s">
        <v>1855</v>
      </c>
      <c r="C2747">
        <v>109</v>
      </c>
      <c r="D2747" t="s">
        <v>1447</v>
      </c>
      <c r="E2747" t="s">
        <v>1858</v>
      </c>
      <c r="F2747" t="s">
        <v>1748</v>
      </c>
      <c r="H2747" s="165" t="str">
        <f>IF(ISBLANK('Q 5'!I311),"",IF('Q 5'!I311="&lt;please select&gt;","",'Q 5'!I311))</f>
        <v>10</v>
      </c>
    </row>
    <row r="2748" spans="1:8" x14ac:dyDescent="0.3">
      <c r="A2748" t="s">
        <v>1847</v>
      </c>
      <c r="B2748" t="s">
        <v>1855</v>
      </c>
      <c r="C2748">
        <v>110</v>
      </c>
      <c r="D2748" t="s">
        <v>1447</v>
      </c>
      <c r="E2748" t="s">
        <v>1858</v>
      </c>
      <c r="F2748" t="s">
        <v>1748</v>
      </c>
      <c r="H2748" s="165" t="str">
        <f>IF(ISBLANK('Q 5'!I312),"",IF('Q 5'!I312="&lt;please select&gt;","",'Q 5'!I312))</f>
        <v>10</v>
      </c>
    </row>
    <row r="2749" spans="1:8" x14ac:dyDescent="0.3">
      <c r="A2749" t="s">
        <v>1847</v>
      </c>
      <c r="B2749" t="s">
        <v>1855</v>
      </c>
      <c r="C2749">
        <v>111</v>
      </c>
      <c r="D2749" t="s">
        <v>1447</v>
      </c>
      <c r="E2749" t="s">
        <v>1858</v>
      </c>
      <c r="F2749" t="s">
        <v>1748</v>
      </c>
      <c r="H2749" s="165" t="str">
        <f>IF(ISBLANK('Q 5'!I313),"",IF('Q 5'!I313="&lt;please select&gt;","",'Q 5'!I313))</f>
        <v>1</v>
      </c>
    </row>
    <row r="2750" spans="1:8" x14ac:dyDescent="0.3">
      <c r="A2750" t="s">
        <v>1847</v>
      </c>
      <c r="B2750" t="s">
        <v>1855</v>
      </c>
      <c r="C2750">
        <v>112</v>
      </c>
      <c r="D2750" t="s">
        <v>1447</v>
      </c>
      <c r="E2750" t="s">
        <v>1858</v>
      </c>
      <c r="F2750" t="s">
        <v>1748</v>
      </c>
      <c r="H2750" s="165" t="str">
        <f>IF(ISBLANK('Q 5'!I314),"",IF('Q 5'!I314="&lt;please select&gt;","",'Q 5'!I314))</f>
        <v>18</v>
      </c>
    </row>
    <row r="2751" spans="1:8" x14ac:dyDescent="0.3">
      <c r="A2751" t="s">
        <v>1847</v>
      </c>
      <c r="B2751" t="s">
        <v>1855</v>
      </c>
      <c r="C2751">
        <v>113</v>
      </c>
      <c r="D2751" t="s">
        <v>1447</v>
      </c>
      <c r="E2751" t="s">
        <v>1858</v>
      </c>
      <c r="F2751" t="s">
        <v>1748</v>
      </c>
      <c r="H2751" s="165" t="str">
        <f>IF(ISBLANK('Q 5'!I315),"",IF('Q 5'!I315="&lt;please select&gt;","",'Q 5'!I315))</f>
        <v>1</v>
      </c>
    </row>
    <row r="2752" spans="1:8" x14ac:dyDescent="0.3">
      <c r="A2752" t="s">
        <v>1847</v>
      </c>
      <c r="B2752" t="s">
        <v>1855</v>
      </c>
      <c r="C2752">
        <v>114</v>
      </c>
      <c r="D2752" t="s">
        <v>1447</v>
      </c>
      <c r="E2752" t="s">
        <v>1858</v>
      </c>
      <c r="F2752" t="s">
        <v>1748</v>
      </c>
      <c r="H2752" s="165" t="str">
        <f>IF(ISBLANK('Q 5'!I316),"",IF('Q 5'!I316="&lt;please select&gt;","",'Q 5'!I316))</f>
        <v>3</v>
      </c>
    </row>
    <row r="2753" spans="1:8" x14ac:dyDescent="0.3">
      <c r="A2753" t="s">
        <v>1847</v>
      </c>
      <c r="B2753" t="s">
        <v>1855</v>
      </c>
      <c r="C2753">
        <v>115</v>
      </c>
      <c r="D2753" t="s">
        <v>1447</v>
      </c>
      <c r="E2753" t="s">
        <v>1858</v>
      </c>
      <c r="F2753" t="s">
        <v>1748</v>
      </c>
      <c r="H2753" s="165" t="str">
        <f>IF(ISBLANK('Q 5'!I317),"",IF('Q 5'!I317="&lt;please select&gt;","",'Q 5'!I317))</f>
        <v>1</v>
      </c>
    </row>
    <row r="2754" spans="1:8" x14ac:dyDescent="0.3">
      <c r="A2754" t="s">
        <v>1847</v>
      </c>
      <c r="B2754" t="s">
        <v>1855</v>
      </c>
      <c r="C2754">
        <v>116</v>
      </c>
      <c r="D2754" t="s">
        <v>1447</v>
      </c>
      <c r="E2754" t="s">
        <v>1858</v>
      </c>
      <c r="F2754" t="s">
        <v>1748</v>
      </c>
      <c r="H2754" s="165" t="str">
        <f>IF(ISBLANK('Q 5'!I318),"",IF('Q 5'!I318="&lt;please select&gt;","",'Q 5'!I318))</f>
        <v>1</v>
      </c>
    </row>
    <row r="2755" spans="1:8" x14ac:dyDescent="0.3">
      <c r="A2755" t="s">
        <v>1847</v>
      </c>
      <c r="B2755" t="s">
        <v>1855</v>
      </c>
      <c r="C2755">
        <v>117</v>
      </c>
      <c r="D2755" t="s">
        <v>1447</v>
      </c>
      <c r="E2755" t="s">
        <v>1858</v>
      </c>
      <c r="F2755" t="s">
        <v>1748</v>
      </c>
      <c r="H2755" s="165" t="str">
        <f>IF(ISBLANK('Q 5'!I319),"",IF('Q 5'!I319="&lt;please select&gt;","",'Q 5'!I319))</f>
        <v>1</v>
      </c>
    </row>
    <row r="2756" spans="1:8" x14ac:dyDescent="0.3">
      <c r="A2756" t="s">
        <v>1847</v>
      </c>
      <c r="B2756" t="s">
        <v>1855</v>
      </c>
      <c r="C2756">
        <v>118</v>
      </c>
      <c r="D2756" t="s">
        <v>1447</v>
      </c>
      <c r="E2756" t="s">
        <v>1858</v>
      </c>
      <c r="F2756" t="s">
        <v>1748</v>
      </c>
      <c r="H2756" s="165" t="str">
        <f>IF(ISBLANK('Q 5'!I320),"",IF('Q 5'!I320="&lt;please select&gt;","",'Q 5'!I320))</f>
        <v>1</v>
      </c>
    </row>
    <row r="2757" spans="1:8" x14ac:dyDescent="0.3">
      <c r="A2757" t="s">
        <v>1847</v>
      </c>
      <c r="B2757" t="s">
        <v>1855</v>
      </c>
      <c r="C2757">
        <v>119</v>
      </c>
      <c r="D2757" t="s">
        <v>1447</v>
      </c>
      <c r="E2757" t="s">
        <v>1858</v>
      </c>
      <c r="F2757" t="s">
        <v>1748</v>
      </c>
      <c r="H2757" s="165" t="str">
        <f>IF(ISBLANK('Q 5'!I321),"",IF('Q 5'!I321="&lt;please select&gt;","",'Q 5'!I321))</f>
        <v>1</v>
      </c>
    </row>
    <row r="2758" spans="1:8" x14ac:dyDescent="0.3">
      <c r="A2758" t="s">
        <v>1847</v>
      </c>
      <c r="B2758" t="s">
        <v>1855</v>
      </c>
      <c r="C2758">
        <v>120</v>
      </c>
      <c r="D2758" t="s">
        <v>1447</v>
      </c>
      <c r="E2758" t="s">
        <v>1858</v>
      </c>
      <c r="F2758" t="s">
        <v>1748</v>
      </c>
      <c r="H2758" s="165" t="str">
        <f>IF(ISBLANK('Q 5'!I322),"",IF('Q 5'!I322="&lt;please select&gt;","",'Q 5'!I322))</f>
        <v>1</v>
      </c>
    </row>
    <row r="2759" spans="1:8" x14ac:dyDescent="0.3">
      <c r="A2759" t="s">
        <v>1847</v>
      </c>
      <c r="B2759" t="s">
        <v>1855</v>
      </c>
      <c r="C2759">
        <v>121</v>
      </c>
      <c r="D2759" t="s">
        <v>1447</v>
      </c>
      <c r="E2759" t="s">
        <v>1858</v>
      </c>
      <c r="F2759" t="s">
        <v>1748</v>
      </c>
      <c r="H2759" s="165" t="str">
        <f>IF(ISBLANK('Q 5'!I323),"",IF('Q 5'!I323="&lt;please select&gt;","",'Q 5'!I323))</f>
        <v>1</v>
      </c>
    </row>
    <row r="2760" spans="1:8" x14ac:dyDescent="0.3">
      <c r="A2760" t="s">
        <v>1847</v>
      </c>
      <c r="B2760" t="s">
        <v>1855</v>
      </c>
      <c r="C2760">
        <v>122</v>
      </c>
      <c r="D2760" t="s">
        <v>1447</v>
      </c>
      <c r="E2760" t="s">
        <v>1858</v>
      </c>
      <c r="F2760" t="s">
        <v>1748</v>
      </c>
      <c r="H2760" s="165" t="str">
        <f>IF(ISBLANK('Q 5'!I324),"",IF('Q 5'!I324="&lt;please select&gt;","",'Q 5'!I324))</f>
        <v>1</v>
      </c>
    </row>
    <row r="2761" spans="1:8" x14ac:dyDescent="0.3">
      <c r="A2761" t="s">
        <v>1847</v>
      </c>
      <c r="B2761" t="s">
        <v>1855</v>
      </c>
      <c r="C2761">
        <v>123</v>
      </c>
      <c r="D2761" t="s">
        <v>1447</v>
      </c>
      <c r="E2761" t="s">
        <v>1858</v>
      </c>
      <c r="F2761" t="s">
        <v>1748</v>
      </c>
      <c r="H2761" s="165" t="str">
        <f>IF(ISBLANK('Q 5'!I325),"",IF('Q 5'!I325="&lt;please select&gt;","",'Q 5'!I325))</f>
        <v>1</v>
      </c>
    </row>
    <row r="2762" spans="1:8" x14ac:dyDescent="0.3">
      <c r="A2762" t="s">
        <v>1847</v>
      </c>
      <c r="B2762" t="s">
        <v>1855</v>
      </c>
      <c r="C2762">
        <v>124</v>
      </c>
      <c r="D2762" t="s">
        <v>1447</v>
      </c>
      <c r="E2762" t="s">
        <v>1858</v>
      </c>
      <c r="F2762" t="s">
        <v>1748</v>
      </c>
      <c r="H2762" s="165" t="str">
        <f>IF(ISBLANK('Q 5'!I326),"",IF('Q 5'!I326="&lt;please select&gt;","",'Q 5'!I326))</f>
        <v>1</v>
      </c>
    </row>
    <row r="2763" spans="1:8" x14ac:dyDescent="0.3">
      <c r="A2763" t="s">
        <v>1847</v>
      </c>
      <c r="B2763" t="s">
        <v>1855</v>
      </c>
      <c r="C2763">
        <v>125</v>
      </c>
      <c r="D2763" t="s">
        <v>1447</v>
      </c>
      <c r="E2763" t="s">
        <v>1858</v>
      </c>
      <c r="F2763" t="s">
        <v>1748</v>
      </c>
      <c r="H2763" s="165" t="str">
        <f>IF(ISBLANK('Q 5'!I327),"",IF('Q 5'!I327="&lt;please select&gt;","",'Q 5'!I327))</f>
        <v>1</v>
      </c>
    </row>
    <row r="2764" spans="1:8" x14ac:dyDescent="0.3">
      <c r="A2764" t="s">
        <v>1847</v>
      </c>
      <c r="B2764" t="s">
        <v>1855</v>
      </c>
      <c r="C2764">
        <v>126</v>
      </c>
      <c r="D2764" t="s">
        <v>1447</v>
      </c>
      <c r="E2764" t="s">
        <v>1858</v>
      </c>
      <c r="F2764" t="s">
        <v>1748</v>
      </c>
      <c r="H2764" s="165" t="str">
        <f>IF(ISBLANK('Q 5'!I328),"",IF('Q 5'!I328="&lt;please select&gt;","",'Q 5'!I328))</f>
        <v>2</v>
      </c>
    </row>
    <row r="2765" spans="1:8" x14ac:dyDescent="0.3">
      <c r="A2765" t="s">
        <v>1847</v>
      </c>
      <c r="B2765" t="s">
        <v>1855</v>
      </c>
      <c r="C2765">
        <v>127</v>
      </c>
      <c r="D2765" t="s">
        <v>1447</v>
      </c>
      <c r="E2765" t="s">
        <v>1858</v>
      </c>
      <c r="F2765" t="s">
        <v>1748</v>
      </c>
      <c r="H2765" s="165" t="str">
        <f>IF(ISBLANK('Q 5'!I329),"",IF('Q 5'!I329="&lt;please select&gt;","",'Q 5'!I329))</f>
        <v>14</v>
      </c>
    </row>
    <row r="2766" spans="1:8" x14ac:dyDescent="0.3">
      <c r="A2766" t="s">
        <v>1847</v>
      </c>
      <c r="B2766" t="s">
        <v>1855</v>
      </c>
      <c r="C2766">
        <v>128</v>
      </c>
      <c r="D2766" t="s">
        <v>1447</v>
      </c>
      <c r="E2766" t="s">
        <v>1858</v>
      </c>
      <c r="F2766" t="s">
        <v>1748</v>
      </c>
      <c r="H2766" s="165" t="str">
        <f>IF(ISBLANK('Q 5'!I330),"",IF('Q 5'!I330="&lt;please select&gt;","",'Q 5'!I330))</f>
        <v>1</v>
      </c>
    </row>
    <row r="2767" spans="1:8" x14ac:dyDescent="0.3">
      <c r="A2767" t="s">
        <v>1847</v>
      </c>
      <c r="B2767" t="s">
        <v>1855</v>
      </c>
      <c r="C2767">
        <v>129</v>
      </c>
      <c r="D2767" t="s">
        <v>1447</v>
      </c>
      <c r="E2767" t="s">
        <v>1858</v>
      </c>
      <c r="F2767" t="s">
        <v>1748</v>
      </c>
      <c r="H2767" s="165" t="str">
        <f>IF(ISBLANK('Q 5'!I331),"",IF('Q 5'!I331="&lt;please select&gt;","",'Q 5'!I331))</f>
        <v>11</v>
      </c>
    </row>
    <row r="2768" spans="1:8" x14ac:dyDescent="0.3">
      <c r="A2768" t="s">
        <v>1847</v>
      </c>
      <c r="B2768" t="s">
        <v>1855</v>
      </c>
      <c r="C2768">
        <v>130</v>
      </c>
      <c r="D2768" t="s">
        <v>1447</v>
      </c>
      <c r="E2768" t="s">
        <v>1858</v>
      </c>
      <c r="F2768" t="s">
        <v>1748</v>
      </c>
      <c r="H2768" s="165" t="str">
        <f>IF(ISBLANK('Q 5'!I332),"",IF('Q 5'!I332="&lt;please select&gt;","",'Q 5'!I332))</f>
        <v>31</v>
      </c>
    </row>
    <row r="2769" spans="1:8" x14ac:dyDescent="0.3">
      <c r="A2769" t="s">
        <v>1847</v>
      </c>
      <c r="B2769" t="s">
        <v>1855</v>
      </c>
      <c r="C2769">
        <v>131</v>
      </c>
      <c r="D2769" t="s">
        <v>1447</v>
      </c>
      <c r="E2769" t="s">
        <v>1858</v>
      </c>
      <c r="F2769" t="s">
        <v>1748</v>
      </c>
      <c r="H2769" s="165" t="str">
        <f>IF(ISBLANK('Q 5'!I333),"",IF('Q 5'!I333="&lt;please select&gt;","",'Q 5'!I333))</f>
        <v>1</v>
      </c>
    </row>
    <row r="2770" spans="1:8" x14ac:dyDescent="0.3">
      <c r="A2770" t="s">
        <v>1847</v>
      </c>
      <c r="B2770" t="s">
        <v>1855</v>
      </c>
      <c r="C2770">
        <v>132</v>
      </c>
      <c r="D2770" t="s">
        <v>1447</v>
      </c>
      <c r="E2770" t="s">
        <v>1858</v>
      </c>
      <c r="F2770" t="s">
        <v>1748</v>
      </c>
      <c r="H2770" s="165" t="str">
        <f>IF(ISBLANK('Q 5'!I334),"",IF('Q 5'!I334="&lt;please select&gt;","",'Q 5'!I334))</f>
        <v>1</v>
      </c>
    </row>
    <row r="2771" spans="1:8" x14ac:dyDescent="0.3">
      <c r="A2771" t="s">
        <v>1847</v>
      </c>
      <c r="B2771" t="s">
        <v>1855</v>
      </c>
      <c r="C2771">
        <v>133</v>
      </c>
      <c r="D2771" t="s">
        <v>1447</v>
      </c>
      <c r="E2771" t="s">
        <v>1858</v>
      </c>
      <c r="F2771" t="s">
        <v>1748</v>
      </c>
      <c r="H2771" s="165" t="str">
        <f>IF(ISBLANK('Q 5'!I335),"",IF('Q 5'!I335="&lt;please select&gt;","",'Q 5'!I335))</f>
        <v>2</v>
      </c>
    </row>
    <row r="2772" spans="1:8" x14ac:dyDescent="0.3">
      <c r="A2772" t="s">
        <v>1847</v>
      </c>
      <c r="B2772" t="s">
        <v>1855</v>
      </c>
      <c r="C2772">
        <v>134</v>
      </c>
      <c r="D2772" t="s">
        <v>1447</v>
      </c>
      <c r="E2772" t="s">
        <v>1858</v>
      </c>
      <c r="F2772" t="s">
        <v>1748</v>
      </c>
      <c r="H2772" s="165" t="str">
        <f>IF(ISBLANK('Q 5'!I336),"",IF('Q 5'!I336="&lt;please select&gt;","",'Q 5'!I336))</f>
        <v>1</v>
      </c>
    </row>
    <row r="2773" spans="1:8" x14ac:dyDescent="0.3">
      <c r="A2773" t="s">
        <v>1847</v>
      </c>
      <c r="B2773" t="s">
        <v>1855</v>
      </c>
      <c r="C2773">
        <v>135</v>
      </c>
      <c r="D2773" t="s">
        <v>1447</v>
      </c>
      <c r="E2773" t="s">
        <v>1858</v>
      </c>
      <c r="F2773" t="s">
        <v>1748</v>
      </c>
      <c r="H2773" s="165" t="str">
        <f>IF(ISBLANK('Q 5'!I337),"",IF('Q 5'!I337="&lt;please select&gt;","",'Q 5'!I337))</f>
        <v>5</v>
      </c>
    </row>
    <row r="2774" spans="1:8" x14ac:dyDescent="0.3">
      <c r="A2774" t="s">
        <v>1847</v>
      </c>
      <c r="B2774" t="s">
        <v>1855</v>
      </c>
      <c r="C2774">
        <v>136</v>
      </c>
      <c r="D2774" t="s">
        <v>1447</v>
      </c>
      <c r="E2774" t="s">
        <v>1858</v>
      </c>
      <c r="F2774" t="s">
        <v>1748</v>
      </c>
      <c r="H2774" s="165" t="str">
        <f>IF(ISBLANK('Q 5'!I338),"",IF('Q 5'!I338="&lt;please select&gt;","",'Q 5'!I338))</f>
        <v>3</v>
      </c>
    </row>
    <row r="2775" spans="1:8" x14ac:dyDescent="0.3">
      <c r="A2775" t="s">
        <v>1847</v>
      </c>
      <c r="B2775" t="s">
        <v>1855</v>
      </c>
      <c r="C2775">
        <v>137</v>
      </c>
      <c r="D2775" t="s">
        <v>1447</v>
      </c>
      <c r="E2775" t="s">
        <v>1858</v>
      </c>
      <c r="F2775" t="s">
        <v>1748</v>
      </c>
      <c r="H2775" s="165" t="str">
        <f>IF(ISBLANK('Q 5'!I339),"",IF('Q 5'!I339="&lt;please select&gt;","",'Q 5'!I339))</f>
        <v>1</v>
      </c>
    </row>
    <row r="2776" spans="1:8" x14ac:dyDescent="0.3">
      <c r="A2776" t="s">
        <v>1847</v>
      </c>
      <c r="B2776" t="s">
        <v>1855</v>
      </c>
      <c r="C2776">
        <v>138</v>
      </c>
      <c r="D2776" t="s">
        <v>1447</v>
      </c>
      <c r="E2776" t="s">
        <v>1858</v>
      </c>
      <c r="F2776" t="s">
        <v>1748</v>
      </c>
      <c r="H2776" s="165" t="str">
        <f>IF(ISBLANK('Q 5'!I340),"",IF('Q 5'!I340="&lt;please select&gt;","",'Q 5'!I340))</f>
        <v>5</v>
      </c>
    </row>
    <row r="2777" spans="1:8" x14ac:dyDescent="0.3">
      <c r="A2777" t="s">
        <v>1847</v>
      </c>
      <c r="B2777" t="s">
        <v>1855</v>
      </c>
      <c r="C2777">
        <v>139</v>
      </c>
      <c r="D2777" t="s">
        <v>1447</v>
      </c>
      <c r="E2777" t="s">
        <v>1858</v>
      </c>
      <c r="F2777" t="s">
        <v>1748</v>
      </c>
      <c r="H2777" s="165" t="str">
        <f>IF(ISBLANK('Q 5'!I341),"",IF('Q 5'!I341="&lt;please select&gt;","",'Q 5'!I341))</f>
        <v>1</v>
      </c>
    </row>
    <row r="2778" spans="1:8" x14ac:dyDescent="0.3">
      <c r="A2778" t="s">
        <v>1847</v>
      </c>
      <c r="B2778" t="s">
        <v>1855</v>
      </c>
      <c r="C2778">
        <v>140</v>
      </c>
      <c r="D2778" t="s">
        <v>1447</v>
      </c>
      <c r="E2778" t="s">
        <v>1858</v>
      </c>
      <c r="F2778" t="s">
        <v>1748</v>
      </c>
      <c r="H2778" s="165" t="str">
        <f>IF(ISBLANK('Q 5'!I342),"",IF('Q 5'!I342="&lt;please select&gt;","",'Q 5'!I342))</f>
        <v>2</v>
      </c>
    </row>
    <row r="2779" spans="1:8" x14ac:dyDescent="0.3">
      <c r="A2779" t="s">
        <v>1847</v>
      </c>
      <c r="B2779" t="s">
        <v>1855</v>
      </c>
      <c r="C2779">
        <v>141</v>
      </c>
      <c r="D2779" t="s">
        <v>1447</v>
      </c>
      <c r="E2779" t="s">
        <v>1858</v>
      </c>
      <c r="F2779" t="s">
        <v>1748</v>
      </c>
      <c r="H2779" s="165" t="str">
        <f>IF(ISBLANK('Q 5'!I343),"",IF('Q 5'!I343="&lt;please select&gt;","",'Q 5'!I343))</f>
        <v>39</v>
      </c>
    </row>
    <row r="2780" spans="1:8" x14ac:dyDescent="0.3">
      <c r="A2780" t="s">
        <v>1847</v>
      </c>
      <c r="B2780" t="s">
        <v>1855</v>
      </c>
      <c r="C2780">
        <v>142</v>
      </c>
      <c r="D2780" t="s">
        <v>1447</v>
      </c>
      <c r="E2780" t="s">
        <v>1858</v>
      </c>
      <c r="F2780" t="s">
        <v>1748</v>
      </c>
      <c r="H2780" s="165" t="str">
        <f>IF(ISBLANK('Q 5'!I344),"",IF('Q 5'!I344="&lt;please select&gt;","",'Q 5'!I344))</f>
        <v>1</v>
      </c>
    </row>
    <row r="2781" spans="1:8" x14ac:dyDescent="0.3">
      <c r="A2781" t="s">
        <v>1847</v>
      </c>
      <c r="B2781" t="s">
        <v>1855</v>
      </c>
      <c r="C2781">
        <v>143</v>
      </c>
      <c r="D2781" t="s">
        <v>1447</v>
      </c>
      <c r="E2781" t="s">
        <v>1858</v>
      </c>
      <c r="F2781" t="s">
        <v>1748</v>
      </c>
      <c r="H2781" s="165" t="str">
        <f>IF(ISBLANK('Q 5'!I345),"",IF('Q 5'!I345="&lt;please select&gt;","",'Q 5'!I345))</f>
        <v>1</v>
      </c>
    </row>
    <row r="2782" spans="1:8" x14ac:dyDescent="0.3">
      <c r="A2782" t="s">
        <v>1847</v>
      </c>
      <c r="B2782" t="s">
        <v>1855</v>
      </c>
      <c r="C2782">
        <v>144</v>
      </c>
      <c r="D2782" t="s">
        <v>1447</v>
      </c>
      <c r="E2782" t="s">
        <v>1858</v>
      </c>
      <c r="F2782" t="s">
        <v>1748</v>
      </c>
      <c r="H2782" s="165" t="str">
        <f>IF(ISBLANK('Q 5'!I346),"",IF('Q 5'!I346="&lt;please select&gt;","",'Q 5'!I346))</f>
        <v>1</v>
      </c>
    </row>
    <row r="2783" spans="1:8" x14ac:dyDescent="0.3">
      <c r="A2783" t="s">
        <v>1847</v>
      </c>
      <c r="B2783" t="s">
        <v>1855</v>
      </c>
      <c r="C2783">
        <v>145</v>
      </c>
      <c r="D2783" t="s">
        <v>1447</v>
      </c>
      <c r="E2783" t="s">
        <v>1858</v>
      </c>
      <c r="F2783" t="s">
        <v>1748</v>
      </c>
      <c r="H2783" s="165" t="str">
        <f>IF(ISBLANK('Q 5'!I347),"",IF('Q 5'!I347="&lt;please select&gt;","",'Q 5'!I347))</f>
        <v>2</v>
      </c>
    </row>
    <row r="2784" spans="1:8" x14ac:dyDescent="0.3">
      <c r="A2784" t="s">
        <v>1847</v>
      </c>
      <c r="B2784" t="s">
        <v>1855</v>
      </c>
      <c r="C2784">
        <v>146</v>
      </c>
      <c r="D2784" t="s">
        <v>1447</v>
      </c>
      <c r="E2784" t="s">
        <v>1858</v>
      </c>
      <c r="F2784" t="s">
        <v>1748</v>
      </c>
      <c r="H2784" s="165" t="str">
        <f>IF(ISBLANK('Q 5'!I348),"",IF('Q 5'!I348="&lt;please select&gt;","",'Q 5'!I348))</f>
        <v>1</v>
      </c>
    </row>
    <row r="2785" spans="1:8" x14ac:dyDescent="0.3">
      <c r="A2785" t="s">
        <v>1847</v>
      </c>
      <c r="B2785" t="s">
        <v>1855</v>
      </c>
      <c r="C2785">
        <v>147</v>
      </c>
      <c r="D2785" t="s">
        <v>1447</v>
      </c>
      <c r="E2785" t="s">
        <v>1858</v>
      </c>
      <c r="F2785" t="s">
        <v>1748</v>
      </c>
      <c r="H2785" s="165" t="str">
        <f>IF(ISBLANK('Q 5'!I349),"",IF('Q 5'!I349="&lt;please select&gt;","",'Q 5'!I349))</f>
        <v>18</v>
      </c>
    </row>
    <row r="2786" spans="1:8" x14ac:dyDescent="0.3">
      <c r="A2786" t="s">
        <v>1847</v>
      </c>
      <c r="B2786" t="s">
        <v>1855</v>
      </c>
      <c r="C2786">
        <v>148</v>
      </c>
      <c r="D2786" t="s">
        <v>1447</v>
      </c>
      <c r="E2786" t="s">
        <v>1858</v>
      </c>
      <c r="F2786" t="s">
        <v>1748</v>
      </c>
      <c r="H2786" s="165" t="str">
        <f>IF(ISBLANK('Q 5'!I350),"",IF('Q 5'!I350="&lt;please select&gt;","",'Q 5'!I350))</f>
        <v>1</v>
      </c>
    </row>
    <row r="2787" spans="1:8" x14ac:dyDescent="0.3">
      <c r="A2787" t="s">
        <v>1847</v>
      </c>
      <c r="B2787" t="s">
        <v>1855</v>
      </c>
      <c r="C2787">
        <v>149</v>
      </c>
      <c r="D2787" t="s">
        <v>1447</v>
      </c>
      <c r="E2787" t="s">
        <v>1858</v>
      </c>
      <c r="F2787" t="s">
        <v>1748</v>
      </c>
      <c r="H2787" s="165" t="str">
        <f>IF(ISBLANK('Q 5'!I351),"",IF('Q 5'!I351="&lt;please select&gt;","",'Q 5'!I351))</f>
        <v>1</v>
      </c>
    </row>
    <row r="2788" spans="1:8" x14ac:dyDescent="0.3">
      <c r="A2788" t="s">
        <v>1847</v>
      </c>
      <c r="B2788" t="s">
        <v>1855</v>
      </c>
      <c r="C2788">
        <v>150</v>
      </c>
      <c r="D2788" t="s">
        <v>1447</v>
      </c>
      <c r="E2788" t="s">
        <v>1858</v>
      </c>
      <c r="F2788" t="s">
        <v>1748</v>
      </c>
      <c r="H2788" s="165" t="str">
        <f>IF(ISBLANK('Q 5'!I352),"",IF('Q 5'!I352="&lt;please select&gt;","",'Q 5'!I352))</f>
        <v>1</v>
      </c>
    </row>
    <row r="2789" spans="1:8" x14ac:dyDescent="0.3">
      <c r="A2789" t="s">
        <v>1847</v>
      </c>
      <c r="B2789" t="s">
        <v>1855</v>
      </c>
      <c r="C2789">
        <v>151</v>
      </c>
      <c r="D2789" t="s">
        <v>1447</v>
      </c>
      <c r="E2789" t="s">
        <v>1858</v>
      </c>
      <c r="F2789" t="s">
        <v>1748</v>
      </c>
      <c r="H2789" s="165" t="str">
        <f>IF(ISBLANK('Q 5'!I353),"",IF('Q 5'!I353="&lt;please select&gt;","",'Q 5'!I353))</f>
        <v>1</v>
      </c>
    </row>
    <row r="2790" spans="1:8" x14ac:dyDescent="0.3">
      <c r="A2790" t="s">
        <v>1847</v>
      </c>
      <c r="B2790" t="s">
        <v>1855</v>
      </c>
      <c r="C2790">
        <v>152</v>
      </c>
      <c r="D2790" t="s">
        <v>1447</v>
      </c>
      <c r="E2790" t="s">
        <v>1858</v>
      </c>
      <c r="F2790" t="s">
        <v>1748</v>
      </c>
      <c r="H2790" s="165" t="str">
        <f>IF(ISBLANK('Q 5'!I354),"",IF('Q 5'!I354="&lt;please select&gt;","",'Q 5'!I354))</f>
        <v>1</v>
      </c>
    </row>
    <row r="2791" spans="1:8" x14ac:dyDescent="0.3">
      <c r="A2791" t="s">
        <v>1847</v>
      </c>
      <c r="B2791" t="s">
        <v>1855</v>
      </c>
      <c r="C2791">
        <v>153</v>
      </c>
      <c r="D2791" t="s">
        <v>1447</v>
      </c>
      <c r="E2791" t="s">
        <v>1858</v>
      </c>
      <c r="F2791" t="s">
        <v>1748</v>
      </c>
      <c r="H2791" s="165" t="str">
        <f>IF(ISBLANK('Q 5'!I355),"",IF('Q 5'!I355="&lt;please select&gt;","",'Q 5'!I355))</f>
        <v>2</v>
      </c>
    </row>
    <row r="2792" spans="1:8" x14ac:dyDescent="0.3">
      <c r="A2792" t="s">
        <v>1847</v>
      </c>
      <c r="B2792" t="s">
        <v>1855</v>
      </c>
      <c r="C2792">
        <v>154</v>
      </c>
      <c r="D2792" t="s">
        <v>1447</v>
      </c>
      <c r="E2792" t="s">
        <v>1858</v>
      </c>
      <c r="F2792" t="s">
        <v>1748</v>
      </c>
      <c r="H2792" s="165" t="str">
        <f>IF(ISBLANK('Q 5'!I356),"",IF('Q 5'!I356="&lt;please select&gt;","",'Q 5'!I356))</f>
        <v>1</v>
      </c>
    </row>
    <row r="2793" spans="1:8" x14ac:dyDescent="0.3">
      <c r="A2793" t="s">
        <v>1847</v>
      </c>
      <c r="B2793" t="s">
        <v>1855</v>
      </c>
      <c r="C2793">
        <v>155</v>
      </c>
      <c r="D2793" t="s">
        <v>1447</v>
      </c>
      <c r="E2793" t="s">
        <v>1858</v>
      </c>
      <c r="F2793" t="s">
        <v>1748</v>
      </c>
      <c r="H2793" s="165" t="str">
        <f>IF(ISBLANK('Q 5'!I357),"",IF('Q 5'!I357="&lt;please select&gt;","",'Q 5'!I357))</f>
        <v>1</v>
      </c>
    </row>
    <row r="2794" spans="1:8" x14ac:dyDescent="0.3">
      <c r="A2794" t="s">
        <v>1847</v>
      </c>
      <c r="B2794" t="s">
        <v>1855</v>
      </c>
      <c r="C2794">
        <v>156</v>
      </c>
      <c r="D2794" t="s">
        <v>1447</v>
      </c>
      <c r="E2794" t="s">
        <v>1858</v>
      </c>
      <c r="F2794" t="s">
        <v>1748</v>
      </c>
      <c r="H2794" s="165" t="str">
        <f>IF(ISBLANK('Q 5'!I358),"",IF('Q 5'!I358="&lt;please select&gt;","",'Q 5'!I358))</f>
        <v>1</v>
      </c>
    </row>
    <row r="2795" spans="1:8" x14ac:dyDescent="0.3">
      <c r="A2795" t="s">
        <v>1847</v>
      </c>
      <c r="B2795" t="s">
        <v>1855</v>
      </c>
      <c r="C2795">
        <v>157</v>
      </c>
      <c r="D2795" t="s">
        <v>1447</v>
      </c>
      <c r="E2795" t="s">
        <v>1858</v>
      </c>
      <c r="F2795" t="s">
        <v>1748</v>
      </c>
      <c r="H2795" s="165" t="str">
        <f>IF(ISBLANK('Q 5'!I359),"",IF('Q 5'!I359="&lt;please select&gt;","",'Q 5'!I359))</f>
        <v>1</v>
      </c>
    </row>
    <row r="2796" spans="1:8" x14ac:dyDescent="0.3">
      <c r="A2796" t="s">
        <v>1847</v>
      </c>
      <c r="B2796" t="s">
        <v>1855</v>
      </c>
      <c r="C2796">
        <v>158</v>
      </c>
      <c r="D2796" t="s">
        <v>1447</v>
      </c>
      <c r="E2796" t="s">
        <v>1858</v>
      </c>
      <c r="F2796" t="s">
        <v>1748</v>
      </c>
      <c r="H2796" s="165" t="str">
        <f>IF(ISBLANK('Q 5'!I360),"",IF('Q 5'!I360="&lt;please select&gt;","",'Q 5'!I360))</f>
        <v>1</v>
      </c>
    </row>
    <row r="2797" spans="1:8" x14ac:dyDescent="0.3">
      <c r="A2797" t="s">
        <v>1847</v>
      </c>
      <c r="B2797" t="s">
        <v>1855</v>
      </c>
      <c r="C2797">
        <v>159</v>
      </c>
      <c r="D2797" t="s">
        <v>1447</v>
      </c>
      <c r="E2797" t="s">
        <v>1858</v>
      </c>
      <c r="F2797" t="s">
        <v>1748</v>
      </c>
      <c r="H2797" s="165" t="str">
        <f>IF(ISBLANK('Q 5'!I361),"",IF('Q 5'!I361="&lt;please select&gt;","",'Q 5'!I361))</f>
        <v>45</v>
      </c>
    </row>
    <row r="2798" spans="1:8" x14ac:dyDescent="0.3">
      <c r="A2798" t="s">
        <v>1847</v>
      </c>
      <c r="B2798" t="s">
        <v>1855</v>
      </c>
      <c r="C2798">
        <v>160</v>
      </c>
      <c r="D2798" t="s">
        <v>1447</v>
      </c>
      <c r="E2798" t="s">
        <v>1858</v>
      </c>
      <c r="F2798" t="s">
        <v>1748</v>
      </c>
      <c r="H2798" s="165" t="str">
        <f>IF(ISBLANK('Q 5'!I362),"",IF('Q 5'!I362="&lt;please select&gt;","",'Q 5'!I362))</f>
        <v>2</v>
      </c>
    </row>
    <row r="2799" spans="1:8" x14ac:dyDescent="0.3">
      <c r="A2799" t="s">
        <v>1847</v>
      </c>
      <c r="B2799" t="s">
        <v>1855</v>
      </c>
      <c r="C2799">
        <v>161</v>
      </c>
      <c r="D2799" t="s">
        <v>1447</v>
      </c>
      <c r="E2799" t="s">
        <v>1858</v>
      </c>
      <c r="F2799" t="s">
        <v>1748</v>
      </c>
      <c r="H2799" s="165" t="str">
        <f>IF(ISBLANK('Q 5'!I363),"",IF('Q 5'!I363="&lt;please select&gt;","",'Q 5'!I363))</f>
        <v>4</v>
      </c>
    </row>
    <row r="2800" spans="1:8" x14ac:dyDescent="0.3">
      <c r="A2800" t="s">
        <v>1847</v>
      </c>
      <c r="B2800" t="s">
        <v>1855</v>
      </c>
      <c r="C2800">
        <v>162</v>
      </c>
      <c r="D2800" t="s">
        <v>1447</v>
      </c>
      <c r="E2800" t="s">
        <v>1858</v>
      </c>
      <c r="F2800" t="s">
        <v>1748</v>
      </c>
      <c r="H2800" s="165" t="str">
        <f>IF(ISBLANK('Q 5'!I364),"",IF('Q 5'!I364="&lt;please select&gt;","",'Q 5'!I364))</f>
        <v>42</v>
      </c>
    </row>
    <row r="2801" spans="1:8" x14ac:dyDescent="0.3">
      <c r="A2801" t="s">
        <v>1847</v>
      </c>
      <c r="B2801" t="s">
        <v>1855</v>
      </c>
      <c r="C2801">
        <v>163</v>
      </c>
      <c r="D2801" t="s">
        <v>1447</v>
      </c>
      <c r="E2801" t="s">
        <v>1858</v>
      </c>
      <c r="F2801" t="s">
        <v>1748</v>
      </c>
      <c r="H2801" s="165" t="str">
        <f>IF(ISBLANK('Q 5'!I365),"",IF('Q 5'!I365="&lt;please select&gt;","",'Q 5'!I365))</f>
        <v>3</v>
      </c>
    </row>
    <row r="2802" spans="1:8" x14ac:dyDescent="0.3">
      <c r="A2802" t="s">
        <v>1847</v>
      </c>
      <c r="B2802" t="s">
        <v>1855</v>
      </c>
      <c r="C2802">
        <v>164</v>
      </c>
      <c r="D2802" t="s">
        <v>1447</v>
      </c>
      <c r="E2802" t="s">
        <v>1858</v>
      </c>
      <c r="F2802" t="s">
        <v>1748</v>
      </c>
      <c r="H2802" s="165" t="str">
        <f>IF(ISBLANK('Q 5'!I366),"",IF('Q 5'!I366="&lt;please select&gt;","",'Q 5'!I366))</f>
        <v>3</v>
      </c>
    </row>
    <row r="2803" spans="1:8" x14ac:dyDescent="0.3">
      <c r="A2803" t="s">
        <v>1847</v>
      </c>
      <c r="B2803" t="s">
        <v>1855</v>
      </c>
      <c r="C2803">
        <v>165</v>
      </c>
      <c r="D2803" t="s">
        <v>1447</v>
      </c>
      <c r="E2803" t="s">
        <v>1858</v>
      </c>
      <c r="F2803" t="s">
        <v>1748</v>
      </c>
      <c r="H2803" s="165" t="str">
        <f>IF(ISBLANK('Q 5'!I367),"",IF('Q 5'!I367="&lt;please select&gt;","",'Q 5'!I367))</f>
        <v>1</v>
      </c>
    </row>
    <row r="2804" spans="1:8" x14ac:dyDescent="0.3">
      <c r="A2804" t="s">
        <v>1847</v>
      </c>
      <c r="B2804" t="s">
        <v>1855</v>
      </c>
      <c r="C2804">
        <v>166</v>
      </c>
      <c r="D2804" t="s">
        <v>1447</v>
      </c>
      <c r="E2804" t="s">
        <v>1858</v>
      </c>
      <c r="F2804" t="s">
        <v>1748</v>
      </c>
      <c r="H2804" s="165" t="str">
        <f>IF(ISBLANK('Q 5'!I368),"",IF('Q 5'!I368="&lt;please select&gt;","",'Q 5'!I368))</f>
        <v>1</v>
      </c>
    </row>
    <row r="2805" spans="1:8" x14ac:dyDescent="0.3">
      <c r="A2805" t="s">
        <v>1847</v>
      </c>
      <c r="B2805" t="s">
        <v>1855</v>
      </c>
      <c r="C2805">
        <v>167</v>
      </c>
      <c r="D2805" t="s">
        <v>1447</v>
      </c>
      <c r="E2805" t="s">
        <v>1858</v>
      </c>
      <c r="F2805" t="s">
        <v>1748</v>
      </c>
      <c r="H2805" s="165" t="str">
        <f>IF(ISBLANK('Q 5'!I369),"",IF('Q 5'!I369="&lt;please select&gt;","",'Q 5'!I369))</f>
        <v>1</v>
      </c>
    </row>
    <row r="2806" spans="1:8" x14ac:dyDescent="0.3">
      <c r="A2806" t="s">
        <v>1847</v>
      </c>
      <c r="B2806" t="s">
        <v>1855</v>
      </c>
      <c r="C2806">
        <v>168</v>
      </c>
      <c r="D2806" t="s">
        <v>1447</v>
      </c>
      <c r="E2806" t="s">
        <v>1858</v>
      </c>
      <c r="F2806" t="s">
        <v>1748</v>
      </c>
      <c r="H2806" s="165" t="str">
        <f>IF(ISBLANK('Q 5'!I370),"",IF('Q 5'!I370="&lt;please select&gt;","",'Q 5'!I370))</f>
        <v>1</v>
      </c>
    </row>
    <row r="2807" spans="1:8" x14ac:dyDescent="0.3">
      <c r="A2807" t="s">
        <v>1847</v>
      </c>
      <c r="B2807" t="s">
        <v>1855</v>
      </c>
      <c r="C2807">
        <v>169</v>
      </c>
      <c r="D2807" t="s">
        <v>1447</v>
      </c>
      <c r="E2807" t="s">
        <v>1858</v>
      </c>
      <c r="F2807" t="s">
        <v>1748</v>
      </c>
      <c r="H2807" s="165" t="str">
        <f>IF(ISBLANK('Q 5'!I371),"",IF('Q 5'!I371="&lt;please select&gt;","",'Q 5'!I371))</f>
        <v>8</v>
      </c>
    </row>
    <row r="2808" spans="1:8" x14ac:dyDescent="0.3">
      <c r="A2808" t="s">
        <v>1847</v>
      </c>
      <c r="B2808" t="s">
        <v>1855</v>
      </c>
      <c r="C2808">
        <v>170</v>
      </c>
      <c r="D2808" t="s">
        <v>1447</v>
      </c>
      <c r="E2808" t="s">
        <v>1858</v>
      </c>
      <c r="F2808" t="s">
        <v>1748</v>
      </c>
      <c r="H2808" s="165" t="str">
        <f>IF(ISBLANK('Q 5'!I372),"",IF('Q 5'!I372="&lt;please select&gt;","",'Q 5'!I372))</f>
        <v>2</v>
      </c>
    </row>
    <row r="2809" spans="1:8" x14ac:dyDescent="0.3">
      <c r="A2809" t="s">
        <v>1847</v>
      </c>
      <c r="B2809" t="s">
        <v>1855</v>
      </c>
      <c r="C2809">
        <v>171</v>
      </c>
      <c r="D2809" t="s">
        <v>1447</v>
      </c>
      <c r="E2809" t="s">
        <v>1858</v>
      </c>
      <c r="F2809" t="s">
        <v>1748</v>
      </c>
      <c r="H2809" s="165" t="str">
        <f>IF(ISBLANK('Q 5'!I373),"",IF('Q 5'!I373="&lt;please select&gt;","",'Q 5'!I373))</f>
        <v>8</v>
      </c>
    </row>
    <row r="2810" spans="1:8" x14ac:dyDescent="0.3">
      <c r="A2810" t="s">
        <v>1847</v>
      </c>
      <c r="B2810" t="s">
        <v>1855</v>
      </c>
      <c r="C2810">
        <v>172</v>
      </c>
      <c r="D2810" t="s">
        <v>1447</v>
      </c>
      <c r="E2810" t="s">
        <v>1858</v>
      </c>
      <c r="F2810" t="s">
        <v>1748</v>
      </c>
      <c r="H2810" s="165" t="str">
        <f>IF(ISBLANK('Q 5'!I374),"",IF('Q 5'!I374="&lt;please select&gt;","",'Q 5'!I374))</f>
        <v>7</v>
      </c>
    </row>
    <row r="2811" spans="1:8" x14ac:dyDescent="0.3">
      <c r="A2811" t="s">
        <v>1847</v>
      </c>
      <c r="B2811" t="s">
        <v>1855</v>
      </c>
      <c r="C2811">
        <v>173</v>
      </c>
      <c r="D2811" t="s">
        <v>1447</v>
      </c>
      <c r="E2811" t="s">
        <v>1858</v>
      </c>
      <c r="F2811" t="s">
        <v>1748</v>
      </c>
      <c r="H2811" s="165" t="str">
        <f>IF(ISBLANK('Q 5'!I375),"",IF('Q 5'!I375="&lt;please select&gt;","",'Q 5'!I375))</f>
        <v>17</v>
      </c>
    </row>
    <row r="2812" spans="1:8" x14ac:dyDescent="0.3">
      <c r="A2812" t="s">
        <v>1847</v>
      </c>
      <c r="B2812" t="s">
        <v>1855</v>
      </c>
      <c r="C2812">
        <v>174</v>
      </c>
      <c r="D2812" t="s">
        <v>1447</v>
      </c>
      <c r="E2812" t="s">
        <v>1858</v>
      </c>
      <c r="F2812" t="s">
        <v>1748</v>
      </c>
      <c r="H2812" s="165" t="str">
        <f>IF(ISBLANK('Q 5'!I376),"",IF('Q 5'!I376="&lt;please select&gt;","",'Q 5'!I376))</f>
        <v>1</v>
      </c>
    </row>
    <row r="2813" spans="1:8" x14ac:dyDescent="0.3">
      <c r="A2813" t="s">
        <v>1847</v>
      </c>
      <c r="B2813" t="s">
        <v>1855</v>
      </c>
      <c r="C2813">
        <v>175</v>
      </c>
      <c r="D2813" t="s">
        <v>1447</v>
      </c>
      <c r="E2813" t="s">
        <v>1858</v>
      </c>
      <c r="F2813" t="s">
        <v>1748</v>
      </c>
      <c r="H2813" s="165" t="str">
        <f>IF(ISBLANK('Q 5'!I377),"",IF('Q 5'!I377="&lt;please select&gt;","",'Q 5'!I377))</f>
        <v>1</v>
      </c>
    </row>
    <row r="2814" spans="1:8" x14ac:dyDescent="0.3">
      <c r="A2814" t="s">
        <v>1847</v>
      </c>
      <c r="B2814" t="s">
        <v>1855</v>
      </c>
      <c r="C2814">
        <v>176</v>
      </c>
      <c r="D2814" t="s">
        <v>1447</v>
      </c>
      <c r="E2814" t="s">
        <v>1858</v>
      </c>
      <c r="F2814" t="s">
        <v>1748</v>
      </c>
      <c r="H2814" s="165" t="str">
        <f>IF(ISBLANK('Q 5'!I378),"",IF('Q 5'!I378="&lt;please select&gt;","",'Q 5'!I378))</f>
        <v>1</v>
      </c>
    </row>
    <row r="2815" spans="1:8" x14ac:dyDescent="0.3">
      <c r="A2815" t="s">
        <v>1847</v>
      </c>
      <c r="B2815" t="s">
        <v>1855</v>
      </c>
      <c r="C2815">
        <v>177</v>
      </c>
      <c r="D2815" t="s">
        <v>1447</v>
      </c>
      <c r="E2815" t="s">
        <v>1858</v>
      </c>
      <c r="F2815" t="s">
        <v>1748</v>
      </c>
      <c r="H2815" s="165" t="str">
        <f>IF(ISBLANK('Q 5'!I379),"",IF('Q 5'!I379="&lt;please select&gt;","",'Q 5'!I379))</f>
        <v>1</v>
      </c>
    </row>
    <row r="2816" spans="1:8" x14ac:dyDescent="0.3">
      <c r="A2816" t="s">
        <v>1847</v>
      </c>
      <c r="B2816" t="s">
        <v>1855</v>
      </c>
      <c r="C2816">
        <v>178</v>
      </c>
      <c r="D2816" t="s">
        <v>1447</v>
      </c>
      <c r="E2816" t="s">
        <v>1858</v>
      </c>
      <c r="F2816" t="s">
        <v>1748</v>
      </c>
      <c r="H2816" s="165" t="str">
        <f>IF(ISBLANK('Q 5'!I380),"",IF('Q 5'!I380="&lt;please select&gt;","",'Q 5'!I380))</f>
        <v>2</v>
      </c>
    </row>
    <row r="2817" spans="1:8" x14ac:dyDescent="0.3">
      <c r="A2817" t="s">
        <v>1847</v>
      </c>
      <c r="B2817" t="s">
        <v>1855</v>
      </c>
      <c r="C2817">
        <v>179</v>
      </c>
      <c r="D2817" t="s">
        <v>1447</v>
      </c>
      <c r="E2817" t="s">
        <v>1858</v>
      </c>
      <c r="F2817" t="s">
        <v>1748</v>
      </c>
      <c r="H2817" s="165" t="str">
        <f>IF(ISBLANK('Q 5'!I381),"",IF('Q 5'!I381="&lt;please select&gt;","",'Q 5'!I381))</f>
        <v>1</v>
      </c>
    </row>
    <row r="2818" spans="1:8" x14ac:dyDescent="0.3">
      <c r="A2818" t="s">
        <v>1847</v>
      </c>
      <c r="B2818" t="s">
        <v>1855</v>
      </c>
      <c r="C2818">
        <v>180</v>
      </c>
      <c r="D2818" t="s">
        <v>1447</v>
      </c>
      <c r="E2818" t="s">
        <v>1858</v>
      </c>
      <c r="F2818" t="s">
        <v>1748</v>
      </c>
      <c r="H2818" s="165" t="str">
        <f>IF(ISBLANK('Q 5'!I382),"",IF('Q 5'!I382="&lt;please select&gt;","",'Q 5'!I382))</f>
        <v>7</v>
      </c>
    </row>
    <row r="2819" spans="1:8" x14ac:dyDescent="0.3">
      <c r="A2819" t="s">
        <v>1847</v>
      </c>
      <c r="B2819" t="s">
        <v>1855</v>
      </c>
      <c r="C2819">
        <v>181</v>
      </c>
      <c r="D2819" t="s">
        <v>1447</v>
      </c>
      <c r="E2819" t="s">
        <v>1858</v>
      </c>
      <c r="F2819" t="s">
        <v>1748</v>
      </c>
      <c r="H2819" s="165" t="str">
        <f>IF(ISBLANK('Q 5'!I383),"",IF('Q 5'!I383="&lt;please select&gt;","",'Q 5'!I383))</f>
        <v>1</v>
      </c>
    </row>
    <row r="2820" spans="1:8" x14ac:dyDescent="0.3">
      <c r="A2820" t="s">
        <v>1847</v>
      </c>
      <c r="B2820" t="s">
        <v>1855</v>
      </c>
      <c r="C2820">
        <v>182</v>
      </c>
      <c r="D2820" t="s">
        <v>1447</v>
      </c>
      <c r="E2820" t="s">
        <v>1858</v>
      </c>
      <c r="F2820" t="s">
        <v>1748</v>
      </c>
      <c r="H2820" s="165" t="str">
        <f>IF(ISBLANK('Q 5'!I384),"",IF('Q 5'!I384="&lt;please select&gt;","",'Q 5'!I384))</f>
        <v>1</v>
      </c>
    </row>
    <row r="2821" spans="1:8" x14ac:dyDescent="0.3">
      <c r="A2821" t="s">
        <v>1847</v>
      </c>
      <c r="B2821" t="s">
        <v>1855</v>
      </c>
      <c r="C2821">
        <v>183</v>
      </c>
      <c r="D2821" t="s">
        <v>1447</v>
      </c>
      <c r="E2821" t="s">
        <v>1858</v>
      </c>
      <c r="F2821" t="s">
        <v>1748</v>
      </c>
      <c r="H2821" s="165" t="str">
        <f>IF(ISBLANK('Q 5'!I385),"",IF('Q 5'!I385="&lt;please select&gt;","",'Q 5'!I385))</f>
        <v>4</v>
      </c>
    </row>
    <row r="2822" spans="1:8" x14ac:dyDescent="0.3">
      <c r="A2822" t="s">
        <v>1847</v>
      </c>
      <c r="B2822" t="s">
        <v>1855</v>
      </c>
      <c r="C2822">
        <v>184</v>
      </c>
      <c r="D2822" t="s">
        <v>1447</v>
      </c>
      <c r="E2822" t="s">
        <v>1858</v>
      </c>
      <c r="F2822" t="s">
        <v>1748</v>
      </c>
      <c r="H2822" s="165" t="str">
        <f>IF(ISBLANK('Q 5'!I386),"",IF('Q 5'!I386="&lt;please select&gt;","",'Q 5'!I386))</f>
        <v>1</v>
      </c>
    </row>
    <row r="2823" spans="1:8" x14ac:dyDescent="0.3">
      <c r="A2823" t="s">
        <v>1847</v>
      </c>
      <c r="B2823" t="s">
        <v>1855</v>
      </c>
      <c r="C2823">
        <v>185</v>
      </c>
      <c r="D2823" t="s">
        <v>1447</v>
      </c>
      <c r="E2823" t="s">
        <v>1858</v>
      </c>
      <c r="F2823" t="s">
        <v>1748</v>
      </c>
      <c r="H2823" s="165" t="str">
        <f>IF(ISBLANK('Q 5'!I387),"",IF('Q 5'!I387="&lt;please select&gt;","",'Q 5'!I387))</f>
        <v>1</v>
      </c>
    </row>
    <row r="2824" spans="1:8" x14ac:dyDescent="0.3">
      <c r="A2824" t="s">
        <v>1847</v>
      </c>
      <c r="B2824" t="s">
        <v>1855</v>
      </c>
      <c r="C2824">
        <v>186</v>
      </c>
      <c r="D2824" t="s">
        <v>1447</v>
      </c>
      <c r="E2824" t="s">
        <v>1858</v>
      </c>
      <c r="F2824" t="s">
        <v>1748</v>
      </c>
      <c r="H2824" s="165" t="str">
        <f>IF(ISBLANK('Q 5'!I388),"",IF('Q 5'!I388="&lt;please select&gt;","",'Q 5'!I388))</f>
        <v>1</v>
      </c>
    </row>
    <row r="2825" spans="1:8" x14ac:dyDescent="0.3">
      <c r="A2825" t="s">
        <v>1847</v>
      </c>
      <c r="B2825" t="s">
        <v>1855</v>
      </c>
      <c r="C2825">
        <v>187</v>
      </c>
      <c r="D2825" t="s">
        <v>1447</v>
      </c>
      <c r="E2825" t="s">
        <v>1858</v>
      </c>
      <c r="F2825" t="s">
        <v>1748</v>
      </c>
      <c r="H2825" s="165" t="str">
        <f>IF(ISBLANK('Q 5'!I389),"",IF('Q 5'!I389="&lt;please select&gt;","",'Q 5'!I389))</f>
        <v>3</v>
      </c>
    </row>
    <row r="2826" spans="1:8" x14ac:dyDescent="0.3">
      <c r="A2826" t="s">
        <v>1847</v>
      </c>
      <c r="B2826" t="s">
        <v>1855</v>
      </c>
      <c r="C2826">
        <v>188</v>
      </c>
      <c r="D2826" t="s">
        <v>1447</v>
      </c>
      <c r="E2826" t="s">
        <v>1858</v>
      </c>
      <c r="F2826" t="s">
        <v>1748</v>
      </c>
      <c r="H2826" s="165" t="str">
        <f>IF(ISBLANK('Q 5'!I390),"",IF('Q 5'!I390="&lt;please select&gt;","",'Q 5'!I390))</f>
        <v>2</v>
      </c>
    </row>
    <row r="2827" spans="1:8" x14ac:dyDescent="0.3">
      <c r="A2827" t="s">
        <v>1847</v>
      </c>
      <c r="B2827" t="s">
        <v>1855</v>
      </c>
      <c r="C2827">
        <v>189</v>
      </c>
      <c r="D2827" t="s">
        <v>1447</v>
      </c>
      <c r="E2827" t="s">
        <v>1858</v>
      </c>
      <c r="F2827" t="s">
        <v>1748</v>
      </c>
      <c r="H2827" s="165" t="str">
        <f>IF(ISBLANK('Q 5'!I391),"",IF('Q 5'!I391="&lt;please select&gt;","",'Q 5'!I391))</f>
        <v>1</v>
      </c>
    </row>
    <row r="2828" spans="1:8" x14ac:dyDescent="0.3">
      <c r="A2828" t="s">
        <v>1847</v>
      </c>
      <c r="B2828" t="s">
        <v>1855</v>
      </c>
      <c r="C2828">
        <v>190</v>
      </c>
      <c r="D2828" t="s">
        <v>1447</v>
      </c>
      <c r="E2828" t="s">
        <v>1858</v>
      </c>
      <c r="F2828" t="s">
        <v>1748</v>
      </c>
      <c r="H2828" s="165" t="str">
        <f>IF(ISBLANK('Q 5'!I392),"",IF('Q 5'!I392="&lt;please select&gt;","",'Q 5'!I392))</f>
        <v>1</v>
      </c>
    </row>
    <row r="2829" spans="1:8" x14ac:dyDescent="0.3">
      <c r="A2829" t="s">
        <v>1847</v>
      </c>
      <c r="B2829" t="s">
        <v>1855</v>
      </c>
      <c r="C2829">
        <v>191</v>
      </c>
      <c r="D2829" t="s">
        <v>1447</v>
      </c>
      <c r="E2829" t="s">
        <v>1858</v>
      </c>
      <c r="F2829" t="s">
        <v>1748</v>
      </c>
      <c r="H2829" s="165" t="str">
        <f>IF(ISBLANK('Q 5'!I393),"",IF('Q 5'!I393="&lt;please select&gt;","",'Q 5'!I393))</f>
        <v>6</v>
      </c>
    </row>
    <row r="2830" spans="1:8" x14ac:dyDescent="0.3">
      <c r="A2830" t="s">
        <v>1847</v>
      </c>
      <c r="B2830" t="s">
        <v>1855</v>
      </c>
      <c r="C2830">
        <v>192</v>
      </c>
      <c r="D2830" t="s">
        <v>1447</v>
      </c>
      <c r="E2830" t="s">
        <v>1858</v>
      </c>
      <c r="F2830" t="s">
        <v>1748</v>
      </c>
      <c r="H2830" s="165" t="str">
        <f>IF(ISBLANK('Q 5'!I394),"",IF('Q 5'!I394="&lt;please select&gt;","",'Q 5'!I394))</f>
        <v>1</v>
      </c>
    </row>
    <row r="2831" spans="1:8" x14ac:dyDescent="0.3">
      <c r="A2831" t="s">
        <v>1847</v>
      </c>
      <c r="B2831" t="s">
        <v>1855</v>
      </c>
      <c r="C2831">
        <v>193</v>
      </c>
      <c r="D2831" t="s">
        <v>1447</v>
      </c>
      <c r="E2831" t="s">
        <v>1858</v>
      </c>
      <c r="F2831" t="s">
        <v>1748</v>
      </c>
      <c r="H2831" s="165" t="str">
        <f>IF(ISBLANK('Q 5'!I395),"",IF('Q 5'!I395="&lt;please select&gt;","",'Q 5'!I395))</f>
        <v>1</v>
      </c>
    </row>
    <row r="2832" spans="1:8" x14ac:dyDescent="0.3">
      <c r="A2832" t="s">
        <v>1847</v>
      </c>
      <c r="B2832" t="s">
        <v>1855</v>
      </c>
      <c r="C2832">
        <v>194</v>
      </c>
      <c r="D2832" t="s">
        <v>1447</v>
      </c>
      <c r="E2832" t="s">
        <v>1858</v>
      </c>
      <c r="F2832" t="s">
        <v>1748</v>
      </c>
      <c r="H2832" s="165" t="str">
        <f>IF(ISBLANK('Q 5'!I396),"",IF('Q 5'!I396="&lt;please select&gt;","",'Q 5'!I396))</f>
        <v>5</v>
      </c>
    </row>
    <row r="2833" spans="1:8" x14ac:dyDescent="0.3">
      <c r="A2833" t="s">
        <v>1847</v>
      </c>
      <c r="B2833" t="s">
        <v>1855</v>
      </c>
      <c r="C2833">
        <v>195</v>
      </c>
      <c r="D2833" t="s">
        <v>1447</v>
      </c>
      <c r="E2833" t="s">
        <v>1858</v>
      </c>
      <c r="F2833" t="s">
        <v>1748</v>
      </c>
      <c r="H2833" s="165" t="str">
        <f>IF(ISBLANK('Q 5'!I397),"",IF('Q 5'!I397="&lt;please select&gt;","",'Q 5'!I397))</f>
        <v>1</v>
      </c>
    </row>
    <row r="2834" spans="1:8" x14ac:dyDescent="0.3">
      <c r="A2834" t="s">
        <v>1847</v>
      </c>
      <c r="B2834" t="s">
        <v>1855</v>
      </c>
      <c r="C2834">
        <v>196</v>
      </c>
      <c r="D2834" t="s">
        <v>1447</v>
      </c>
      <c r="E2834" t="s">
        <v>1858</v>
      </c>
      <c r="F2834" t="s">
        <v>1748</v>
      </c>
      <c r="H2834" s="165" t="str">
        <f>IF(ISBLANK('Q 5'!I398),"",IF('Q 5'!I398="&lt;please select&gt;","",'Q 5'!I398))</f>
        <v>4</v>
      </c>
    </row>
    <row r="2835" spans="1:8" x14ac:dyDescent="0.3">
      <c r="A2835" t="s">
        <v>1847</v>
      </c>
      <c r="B2835" t="s">
        <v>1855</v>
      </c>
      <c r="C2835">
        <v>197</v>
      </c>
      <c r="D2835" t="s">
        <v>1447</v>
      </c>
      <c r="E2835" t="s">
        <v>1858</v>
      </c>
      <c r="F2835" t="s">
        <v>1748</v>
      </c>
      <c r="H2835" s="165" t="str">
        <f>IF(ISBLANK('Q 5'!I399),"",IF('Q 5'!I399="&lt;please select&gt;","",'Q 5'!I399))</f>
        <v>6</v>
      </c>
    </row>
    <row r="2836" spans="1:8" x14ac:dyDescent="0.3">
      <c r="A2836" t="s">
        <v>1847</v>
      </c>
      <c r="B2836" t="s">
        <v>1855</v>
      </c>
      <c r="C2836">
        <v>198</v>
      </c>
      <c r="D2836" t="s">
        <v>1447</v>
      </c>
      <c r="E2836" t="s">
        <v>1858</v>
      </c>
      <c r="F2836" t="s">
        <v>1748</v>
      </c>
      <c r="H2836" s="165" t="str">
        <f>IF(ISBLANK('Q 5'!I400),"",IF('Q 5'!I400="&lt;please select&gt;","",'Q 5'!I400))</f>
        <v>9</v>
      </c>
    </row>
    <row r="2837" spans="1:8" x14ac:dyDescent="0.3">
      <c r="A2837" t="s">
        <v>1847</v>
      </c>
      <c r="B2837" t="s">
        <v>1855</v>
      </c>
      <c r="C2837">
        <v>199</v>
      </c>
      <c r="D2837" t="s">
        <v>1447</v>
      </c>
      <c r="E2837" t="s">
        <v>1858</v>
      </c>
      <c r="F2837" t="s">
        <v>1748</v>
      </c>
      <c r="H2837" s="165" t="str">
        <f>IF(ISBLANK('Q 5'!I401),"",IF('Q 5'!I401="&lt;please select&gt;","",'Q 5'!I401))</f>
        <v>1</v>
      </c>
    </row>
    <row r="2838" spans="1:8" x14ac:dyDescent="0.3">
      <c r="A2838" t="s">
        <v>1847</v>
      </c>
      <c r="B2838" t="s">
        <v>1855</v>
      </c>
      <c r="C2838">
        <v>200</v>
      </c>
      <c r="D2838" t="s">
        <v>1447</v>
      </c>
      <c r="E2838" t="s">
        <v>1858</v>
      </c>
      <c r="F2838" t="s">
        <v>1748</v>
      </c>
      <c r="H2838" s="165" t="str">
        <f>IF(ISBLANK('Q 5'!I402),"",IF('Q 5'!I402="&lt;please select&gt;","",'Q 5'!I402))</f>
        <v>1</v>
      </c>
    </row>
    <row r="2839" spans="1:8" x14ac:dyDescent="0.3">
      <c r="A2839" t="s">
        <v>1847</v>
      </c>
      <c r="B2839" t="s">
        <v>1855</v>
      </c>
      <c r="C2839">
        <v>201</v>
      </c>
      <c r="D2839" t="s">
        <v>1447</v>
      </c>
      <c r="E2839" t="s">
        <v>1858</v>
      </c>
      <c r="F2839" t="s">
        <v>1748</v>
      </c>
      <c r="H2839" s="165" t="str">
        <f>IF(ISBLANK('Q 5'!I403),"",IF('Q 5'!I403="&lt;please select&gt;","",'Q 5'!I403))</f>
        <v>1</v>
      </c>
    </row>
    <row r="2840" spans="1:8" x14ac:dyDescent="0.3">
      <c r="A2840" t="s">
        <v>1847</v>
      </c>
      <c r="B2840" t="s">
        <v>1855</v>
      </c>
      <c r="C2840">
        <v>202</v>
      </c>
      <c r="D2840" t="s">
        <v>1447</v>
      </c>
      <c r="E2840" t="s">
        <v>1858</v>
      </c>
      <c r="F2840" t="s">
        <v>1748</v>
      </c>
      <c r="H2840" s="165" t="str">
        <f>IF(ISBLANK('Q 5'!I404),"",IF('Q 5'!I404="&lt;please select&gt;","",'Q 5'!I404))</f>
        <v>33</v>
      </c>
    </row>
    <row r="2841" spans="1:8" x14ac:dyDescent="0.3">
      <c r="A2841" t="s">
        <v>1847</v>
      </c>
      <c r="B2841" t="s">
        <v>1855</v>
      </c>
      <c r="C2841">
        <v>203</v>
      </c>
      <c r="D2841" t="s">
        <v>1447</v>
      </c>
      <c r="E2841" t="s">
        <v>1858</v>
      </c>
      <c r="F2841" t="s">
        <v>1748</v>
      </c>
      <c r="H2841" s="165" t="str">
        <f>IF(ISBLANK('Q 5'!I405),"",IF('Q 5'!I405="&lt;please select&gt;","",'Q 5'!I405))</f>
        <v>5</v>
      </c>
    </row>
    <row r="2842" spans="1:8" x14ac:dyDescent="0.3">
      <c r="A2842" t="s">
        <v>1847</v>
      </c>
      <c r="B2842" t="s">
        <v>1855</v>
      </c>
      <c r="C2842">
        <v>204</v>
      </c>
      <c r="D2842" t="s">
        <v>1447</v>
      </c>
      <c r="E2842" t="s">
        <v>1858</v>
      </c>
      <c r="F2842" t="s">
        <v>1748</v>
      </c>
      <c r="H2842" s="165" t="str">
        <f>IF(ISBLANK('Q 5'!I406),"",IF('Q 5'!I406="&lt;please select&gt;","",'Q 5'!I406))</f>
        <v>6</v>
      </c>
    </row>
    <row r="2843" spans="1:8" x14ac:dyDescent="0.3">
      <c r="A2843" t="s">
        <v>1847</v>
      </c>
      <c r="B2843" t="s">
        <v>1855</v>
      </c>
      <c r="C2843">
        <v>205</v>
      </c>
      <c r="D2843" t="s">
        <v>1447</v>
      </c>
      <c r="E2843" t="s">
        <v>1858</v>
      </c>
      <c r="F2843" t="s">
        <v>1748</v>
      </c>
      <c r="H2843" s="165" t="str">
        <f>IF(ISBLANK('Q 5'!I407),"",IF('Q 5'!I407="&lt;please select&gt;","",'Q 5'!I407))</f>
        <v>37</v>
      </c>
    </row>
    <row r="2844" spans="1:8" x14ac:dyDescent="0.3">
      <c r="A2844" t="s">
        <v>1847</v>
      </c>
      <c r="B2844" t="s">
        <v>1855</v>
      </c>
      <c r="C2844">
        <v>206</v>
      </c>
      <c r="D2844" t="s">
        <v>1447</v>
      </c>
      <c r="E2844" t="s">
        <v>1858</v>
      </c>
      <c r="F2844" t="s">
        <v>1748</v>
      </c>
      <c r="H2844" s="165" t="str">
        <f>IF(ISBLANK('Q 5'!I408),"",IF('Q 5'!I408="&lt;please select&gt;","",'Q 5'!I408))</f>
        <v>1</v>
      </c>
    </row>
    <row r="2845" spans="1:8" x14ac:dyDescent="0.3">
      <c r="A2845" t="s">
        <v>1847</v>
      </c>
      <c r="B2845" t="s">
        <v>1855</v>
      </c>
      <c r="C2845">
        <v>207</v>
      </c>
      <c r="D2845" t="s">
        <v>1447</v>
      </c>
      <c r="E2845" t="s">
        <v>1858</v>
      </c>
      <c r="F2845" t="s">
        <v>1748</v>
      </c>
      <c r="H2845" s="165" t="str">
        <f>IF(ISBLANK('Q 5'!I409),"",IF('Q 5'!I409="&lt;please select&gt;","",'Q 5'!I409))</f>
        <v>3</v>
      </c>
    </row>
    <row r="2846" spans="1:8" x14ac:dyDescent="0.3">
      <c r="A2846" t="s">
        <v>1847</v>
      </c>
      <c r="B2846" t="s">
        <v>1855</v>
      </c>
      <c r="C2846">
        <v>208</v>
      </c>
      <c r="D2846" t="s">
        <v>1447</v>
      </c>
      <c r="E2846" t="s">
        <v>1858</v>
      </c>
      <c r="F2846" t="s">
        <v>1748</v>
      </c>
      <c r="H2846" s="165" t="str">
        <f>IF(ISBLANK('Q 5'!I410),"",IF('Q 5'!I410="&lt;please select&gt;","",'Q 5'!I410))</f>
        <v>3</v>
      </c>
    </row>
    <row r="2847" spans="1:8" x14ac:dyDescent="0.3">
      <c r="A2847" t="s">
        <v>1847</v>
      </c>
      <c r="B2847" t="s">
        <v>1855</v>
      </c>
      <c r="C2847">
        <v>209</v>
      </c>
      <c r="D2847" t="s">
        <v>1447</v>
      </c>
      <c r="E2847" t="s">
        <v>1858</v>
      </c>
      <c r="F2847" t="s">
        <v>1748</v>
      </c>
      <c r="H2847" s="165" t="str">
        <f>IF(ISBLANK('Q 5'!I411),"",IF('Q 5'!I411="&lt;please select&gt;","",'Q 5'!I411))</f>
        <v>1</v>
      </c>
    </row>
    <row r="2848" spans="1:8" x14ac:dyDescent="0.3">
      <c r="A2848" t="s">
        <v>1847</v>
      </c>
      <c r="B2848" t="s">
        <v>1855</v>
      </c>
      <c r="C2848">
        <v>210</v>
      </c>
      <c r="D2848" t="s">
        <v>1447</v>
      </c>
      <c r="E2848" t="s">
        <v>1858</v>
      </c>
      <c r="F2848" t="s">
        <v>1748</v>
      </c>
      <c r="H2848" s="165" t="str">
        <f>IF(ISBLANK('Q 5'!I412),"",IF('Q 5'!I412="&lt;please select&gt;","",'Q 5'!I412))</f>
        <v>2</v>
      </c>
    </row>
    <row r="2849" spans="1:8" x14ac:dyDescent="0.3">
      <c r="A2849" t="s">
        <v>1847</v>
      </c>
      <c r="B2849" t="s">
        <v>1855</v>
      </c>
      <c r="C2849">
        <v>211</v>
      </c>
      <c r="D2849" t="s">
        <v>1447</v>
      </c>
      <c r="E2849" t="s">
        <v>1858</v>
      </c>
      <c r="F2849" t="s">
        <v>1748</v>
      </c>
      <c r="H2849" s="165" t="str">
        <f>IF(ISBLANK('Q 5'!I413),"",IF('Q 5'!I413="&lt;please select&gt;","",'Q 5'!I413))</f>
        <v>3</v>
      </c>
    </row>
    <row r="2850" spans="1:8" x14ac:dyDescent="0.3">
      <c r="A2850" t="s">
        <v>1847</v>
      </c>
      <c r="B2850" t="s">
        <v>1855</v>
      </c>
      <c r="C2850">
        <v>212</v>
      </c>
      <c r="D2850" t="s">
        <v>1447</v>
      </c>
      <c r="E2850" t="s">
        <v>1858</v>
      </c>
      <c r="F2850" t="s">
        <v>1748</v>
      </c>
      <c r="H2850" s="165" t="str">
        <f>IF(ISBLANK('Q 5'!I414),"",IF('Q 5'!I414="&lt;please select&gt;","",'Q 5'!I414))</f>
        <v>3</v>
      </c>
    </row>
    <row r="2851" spans="1:8" x14ac:dyDescent="0.3">
      <c r="A2851" t="s">
        <v>1847</v>
      </c>
      <c r="B2851" t="s">
        <v>1855</v>
      </c>
      <c r="C2851">
        <v>213</v>
      </c>
      <c r="D2851" t="s">
        <v>1447</v>
      </c>
      <c r="E2851" t="s">
        <v>1858</v>
      </c>
      <c r="F2851" t="s">
        <v>1748</v>
      </c>
      <c r="H2851" s="165" t="str">
        <f>IF(ISBLANK('Q 5'!I415),"",IF('Q 5'!I415="&lt;please select&gt;","",'Q 5'!I415))</f>
        <v>3</v>
      </c>
    </row>
    <row r="2852" spans="1:8" x14ac:dyDescent="0.3">
      <c r="A2852" t="s">
        <v>1847</v>
      </c>
      <c r="B2852" t="s">
        <v>1855</v>
      </c>
      <c r="C2852">
        <v>214</v>
      </c>
      <c r="D2852" t="s">
        <v>1447</v>
      </c>
      <c r="E2852" t="s">
        <v>1858</v>
      </c>
      <c r="F2852" t="s">
        <v>1748</v>
      </c>
      <c r="H2852" s="165" t="str">
        <f>IF(ISBLANK('Q 5'!I416),"",IF('Q 5'!I416="&lt;please select&gt;","",'Q 5'!I416))</f>
        <v>6</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Olej opałowy lekki</v>
      </c>
    </row>
    <row r="3440" spans="1:8" x14ac:dyDescent="0.3">
      <c r="A3440" t="s">
        <v>1859</v>
      </c>
      <c r="B3440" t="s">
        <v>1860</v>
      </c>
      <c r="C3440">
        <v>2</v>
      </c>
      <c r="D3440" t="s">
        <v>1447</v>
      </c>
      <c r="E3440" t="s">
        <v>1861</v>
      </c>
      <c r="F3440" t="s">
        <v>1741</v>
      </c>
      <c r="G3440" t="str">
        <f>IF(ISBLANK('Q 5'!C1009),"",IF('Q 5'!C1009="&lt;please select&gt;","",'Q 5'!C1009))</f>
        <v>Gaz technologiczny</v>
      </c>
    </row>
    <row r="3441" spans="1:7" x14ac:dyDescent="0.3">
      <c r="A3441" t="s">
        <v>1859</v>
      </c>
      <c r="B3441" t="s">
        <v>1860</v>
      </c>
      <c r="C3441">
        <v>3</v>
      </c>
      <c r="D3441" t="s">
        <v>1447</v>
      </c>
      <c r="E3441" t="s">
        <v>1861</v>
      </c>
      <c r="F3441" t="s">
        <v>1741</v>
      </c>
      <c r="G3441" t="str">
        <f>IF(ISBLANK('Q 5'!C1010),"",IF('Q 5'!C1010="&lt;please select&gt;","",'Q 5'!C1010))</f>
        <v>Biogaz</v>
      </c>
    </row>
    <row r="3442" spans="1:7" x14ac:dyDescent="0.3">
      <c r="A3442" t="s">
        <v>1859</v>
      </c>
      <c r="B3442" t="s">
        <v>1860</v>
      </c>
      <c r="C3442">
        <v>4</v>
      </c>
      <c r="D3442" t="s">
        <v>1447</v>
      </c>
      <c r="E3442" t="s">
        <v>1861</v>
      </c>
      <c r="F3442" t="s">
        <v>1741</v>
      </c>
      <c r="G3442" t="str">
        <f>IF(ISBLANK('Q 5'!C1011),"",IF('Q 5'!C1011="&lt;please select&gt;","",'Q 5'!C1011))</f>
        <v>Gaz ziemny zaazotowany</v>
      </c>
    </row>
    <row r="3443" spans="1:7" x14ac:dyDescent="0.3">
      <c r="A3443" t="s">
        <v>1859</v>
      </c>
      <c r="B3443" t="s">
        <v>1860</v>
      </c>
      <c r="C3443">
        <v>5</v>
      </c>
      <c r="D3443" t="s">
        <v>1447</v>
      </c>
      <c r="E3443" t="s">
        <v>1861</v>
      </c>
      <c r="F3443" t="s">
        <v>1741</v>
      </c>
      <c r="G3443" t="str">
        <f>IF(ISBLANK('Q 5'!C1012),"",IF('Q 5'!C1012="&lt;please select&gt;","",'Q 5'!C1012))</f>
        <v>Gazy zrzutowe spalane na pochodniach</v>
      </c>
    </row>
    <row r="3444" spans="1:7" x14ac:dyDescent="0.3">
      <c r="A3444" t="s">
        <v>1859</v>
      </c>
      <c r="B3444" t="s">
        <v>1860</v>
      </c>
      <c r="C3444">
        <v>6</v>
      </c>
      <c r="D3444" t="s">
        <v>1447</v>
      </c>
      <c r="E3444" t="s">
        <v>1861</v>
      </c>
      <c r="F3444" t="s">
        <v>1741</v>
      </c>
      <c r="G3444" t="str">
        <f>IF(ISBLANK('Q 5'!C1013),"",IF('Q 5'!C1013="&lt;please select&gt;","",'Q 5'!C1013))</f>
        <v>Spieniacze żużla</v>
      </c>
    </row>
    <row r="3445" spans="1:7" x14ac:dyDescent="0.3">
      <c r="A3445" t="s">
        <v>1859</v>
      </c>
      <c r="B3445" t="s">
        <v>1860</v>
      </c>
      <c r="C3445">
        <v>7</v>
      </c>
      <c r="D3445" t="s">
        <v>1447</v>
      </c>
      <c r="E3445" t="s">
        <v>1861</v>
      </c>
      <c r="F3445" t="s">
        <v>1741</v>
      </c>
      <c r="G3445" t="str">
        <f>IF(ISBLANK('Q 5'!C1014),"",IF('Q 5'!C1014="&lt;please select&gt;","",'Q 5'!C1014))</f>
        <v>Zakupiona surówka do produkcji stali</v>
      </c>
    </row>
    <row r="3446" spans="1:7" x14ac:dyDescent="0.3">
      <c r="A3446" t="s">
        <v>1859</v>
      </c>
      <c r="B3446" t="s">
        <v>1860</v>
      </c>
      <c r="C3446">
        <v>8</v>
      </c>
      <c r="D3446" t="s">
        <v>1447</v>
      </c>
      <c r="E3446" t="s">
        <v>1861</v>
      </c>
      <c r="F3446" t="s">
        <v>1741</v>
      </c>
      <c r="G3446" t="str">
        <f>IF(ISBLANK('Q 5'!C1015),"",IF('Q 5'!C1015="&lt;please select&gt;","",'Q 5'!C1015))</f>
        <v>Mączka surowcowa do produkcji klinkieru cementowego</v>
      </c>
    </row>
    <row r="3447" spans="1:7" x14ac:dyDescent="0.3">
      <c r="A3447" t="s">
        <v>1859</v>
      </c>
      <c r="B3447" t="s">
        <v>1860</v>
      </c>
      <c r="C3447">
        <v>9</v>
      </c>
      <c r="D3447" t="s">
        <v>1447</v>
      </c>
      <c r="E3447" t="s">
        <v>1861</v>
      </c>
      <c r="F3447" t="s">
        <v>1741</v>
      </c>
      <c r="G3447" t="str">
        <f>IF(ISBLANK('Q 5'!C1016),"",IF('Q 5'!C1016="&lt;please select&gt;","",'Q 5'!C1016))</f>
        <v>Klinkier cementowy</v>
      </c>
    </row>
    <row r="3448" spans="1:7" x14ac:dyDescent="0.3">
      <c r="A3448" t="s">
        <v>1859</v>
      </c>
      <c r="B3448" t="s">
        <v>1860</v>
      </c>
      <c r="C3448">
        <v>10</v>
      </c>
      <c r="D3448" t="s">
        <v>1447</v>
      </c>
      <c r="E3448" t="s">
        <v>1861</v>
      </c>
      <c r="F3448" t="s">
        <v>1741</v>
      </c>
      <c r="G3448" t="str">
        <f>IF(ISBLANK('Q 5'!C1017),"",IF('Q 5'!C1017="&lt;please select&gt;","",'Q 5'!C1017))</f>
        <v>Gaz poreakcyjny</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1</v>
      </c>
    </row>
    <row r="3465" spans="1:8" x14ac:dyDescent="0.3">
      <c r="A3465" t="s">
        <v>1859</v>
      </c>
      <c r="B3465" t="s">
        <v>1860</v>
      </c>
      <c r="C3465">
        <v>2</v>
      </c>
      <c r="D3465" t="s">
        <v>1447</v>
      </c>
      <c r="E3465" t="s">
        <v>1862</v>
      </c>
      <c r="F3465" t="s">
        <v>1748</v>
      </c>
      <c r="H3465" s="165" t="str">
        <f>IF(ISBLANK('Q 5'!E1009),"",IF('Q 5'!E1009="&lt;please select&gt;","",'Q 5'!E1009))</f>
        <v>1</v>
      </c>
    </row>
    <row r="3466" spans="1:8" x14ac:dyDescent="0.3">
      <c r="A3466" t="s">
        <v>1859</v>
      </c>
      <c r="B3466" t="s">
        <v>1860</v>
      </c>
      <c r="C3466">
        <v>3</v>
      </c>
      <c r="D3466" t="s">
        <v>1447</v>
      </c>
      <c r="E3466" t="s">
        <v>1862</v>
      </c>
      <c r="F3466" t="s">
        <v>1748</v>
      </c>
      <c r="H3466" s="165" t="str">
        <f>IF(ISBLANK('Q 5'!E1010),"",IF('Q 5'!E1010="&lt;please select&gt;","",'Q 5'!E1010))</f>
        <v>1</v>
      </c>
    </row>
    <row r="3467" spans="1:8" x14ac:dyDescent="0.3">
      <c r="A3467" t="s">
        <v>1859</v>
      </c>
      <c r="B3467" t="s">
        <v>1860</v>
      </c>
      <c r="C3467">
        <v>4</v>
      </c>
      <c r="D3467" t="s">
        <v>1447</v>
      </c>
      <c r="E3467" t="s">
        <v>1862</v>
      </c>
      <c r="F3467" t="s">
        <v>1748</v>
      </c>
      <c r="H3467" s="165" t="str">
        <f>IF(ISBLANK('Q 5'!E1011),"",IF('Q 5'!E1011="&lt;please select&gt;","",'Q 5'!E1011))</f>
        <v>1</v>
      </c>
    </row>
    <row r="3468" spans="1:8" x14ac:dyDescent="0.3">
      <c r="A3468" t="s">
        <v>1859</v>
      </c>
      <c r="B3468" t="s">
        <v>1860</v>
      </c>
      <c r="C3468">
        <v>5</v>
      </c>
      <c r="D3468" t="s">
        <v>1447</v>
      </c>
      <c r="E3468" t="s">
        <v>1862</v>
      </c>
      <c r="F3468" t="s">
        <v>1748</v>
      </c>
      <c r="H3468" s="165" t="str">
        <f>IF(ISBLANK('Q 5'!E1012),"",IF('Q 5'!E1012="&lt;please select&gt;","",'Q 5'!E1012))</f>
        <v>1</v>
      </c>
    </row>
    <row r="3469" spans="1:8" x14ac:dyDescent="0.3">
      <c r="A3469" t="s">
        <v>1859</v>
      </c>
      <c r="B3469" t="s">
        <v>1860</v>
      </c>
      <c r="C3469">
        <v>6</v>
      </c>
      <c r="D3469" t="s">
        <v>1447</v>
      </c>
      <c r="E3469" t="s">
        <v>1862</v>
      </c>
      <c r="F3469" t="s">
        <v>1748</v>
      </c>
      <c r="H3469" s="165" t="str">
        <f>IF(ISBLANK('Q 5'!E1013),"",IF('Q 5'!E1013="&lt;please select&gt;","",'Q 5'!E1013))</f>
        <v>1</v>
      </c>
    </row>
    <row r="3470" spans="1:8" x14ac:dyDescent="0.3">
      <c r="A3470" t="s">
        <v>1859</v>
      </c>
      <c r="B3470" t="s">
        <v>1860</v>
      </c>
      <c r="C3470">
        <v>7</v>
      </c>
      <c r="D3470" t="s">
        <v>1447</v>
      </c>
      <c r="E3470" t="s">
        <v>1862</v>
      </c>
      <c r="F3470" t="s">
        <v>1748</v>
      </c>
      <c r="H3470" s="165" t="str">
        <f>IF(ISBLANK('Q 5'!E1014),"",IF('Q 5'!E1014="&lt;please select&gt;","",'Q 5'!E1014))</f>
        <v>1</v>
      </c>
    </row>
    <row r="3471" spans="1:8" x14ac:dyDescent="0.3">
      <c r="A3471" t="s">
        <v>1859</v>
      </c>
      <c r="B3471" t="s">
        <v>1860</v>
      </c>
      <c r="C3471">
        <v>8</v>
      </c>
      <c r="D3471" t="s">
        <v>1447</v>
      </c>
      <c r="E3471" t="s">
        <v>1862</v>
      </c>
      <c r="F3471" t="s">
        <v>1748</v>
      </c>
      <c r="H3471" s="165" t="str">
        <f>IF(ISBLANK('Q 5'!E1015),"",IF('Q 5'!E1015="&lt;please select&gt;","",'Q 5'!E1015))</f>
        <v>2</v>
      </c>
    </row>
    <row r="3472" spans="1:8" x14ac:dyDescent="0.3">
      <c r="A3472" t="s">
        <v>1859</v>
      </c>
      <c r="B3472" t="s">
        <v>1860</v>
      </c>
      <c r="C3472">
        <v>9</v>
      </c>
      <c r="D3472" t="s">
        <v>1447</v>
      </c>
      <c r="E3472" t="s">
        <v>1862</v>
      </c>
      <c r="F3472" t="s">
        <v>1748</v>
      </c>
      <c r="H3472" s="165" t="str">
        <f>IF(ISBLANK('Q 5'!E1016),"",IF('Q 5'!E1016="&lt;please select&gt;","",'Q 5'!E1016))</f>
        <v>1</v>
      </c>
    </row>
    <row r="3473" spans="1:8" x14ac:dyDescent="0.3">
      <c r="A3473" t="s">
        <v>1859</v>
      </c>
      <c r="B3473" t="s">
        <v>1860</v>
      </c>
      <c r="C3473">
        <v>10</v>
      </c>
      <c r="D3473" t="s">
        <v>1447</v>
      </c>
      <c r="E3473" t="s">
        <v>1862</v>
      </c>
      <c r="F3473" t="s">
        <v>1748</v>
      </c>
      <c r="H3473" s="165" t="str">
        <f>IF(ISBLANK('Q 5'!E1017),"",IF('Q 5'!E1017="&lt;please select&gt;","",'Q 5'!E1017))</f>
        <v>1</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0</v>
      </c>
    </row>
    <row r="3490" spans="1:8" x14ac:dyDescent="0.3">
      <c r="A3490" t="s">
        <v>1859</v>
      </c>
      <c r="B3490" t="s">
        <v>1860</v>
      </c>
      <c r="C3490">
        <v>2</v>
      </c>
      <c r="D3490" t="s">
        <v>1447</v>
      </c>
      <c r="E3490" t="s">
        <v>1863</v>
      </c>
      <c r="F3490" t="s">
        <v>1748</v>
      </c>
      <c r="H3490" s="165" t="str">
        <f>IF(ISBLANK('Q 5'!F1009),"",IF('Q 5'!F1009="&lt;please select&gt;","",'Q 5'!F1009))</f>
        <v>0</v>
      </c>
    </row>
    <row r="3491" spans="1:8" x14ac:dyDescent="0.3">
      <c r="A3491" t="s">
        <v>1859</v>
      </c>
      <c r="B3491" t="s">
        <v>1860</v>
      </c>
      <c r="C3491">
        <v>3</v>
      </c>
      <c r="D3491" t="s">
        <v>1447</v>
      </c>
      <c r="E3491" t="s">
        <v>1863</v>
      </c>
      <c r="F3491" t="s">
        <v>1748</v>
      </c>
      <c r="H3491" s="165" t="str">
        <f>IF(ISBLANK('Q 5'!F1010),"",IF('Q 5'!F1010="&lt;please select&gt;","",'Q 5'!F1010))</f>
        <v>0</v>
      </c>
    </row>
    <row r="3492" spans="1:8" x14ac:dyDescent="0.3">
      <c r="A3492" t="s">
        <v>1859</v>
      </c>
      <c r="B3492" t="s">
        <v>1860</v>
      </c>
      <c r="C3492">
        <v>4</v>
      </c>
      <c r="D3492" t="s">
        <v>1447</v>
      </c>
      <c r="E3492" t="s">
        <v>1863</v>
      </c>
      <c r="F3492" t="s">
        <v>1748</v>
      </c>
      <c r="H3492" s="165" t="str">
        <f>IF(ISBLANK('Q 5'!F1011),"",IF('Q 5'!F1011="&lt;please select&gt;","",'Q 5'!F1011))</f>
        <v>1</v>
      </c>
    </row>
    <row r="3493" spans="1:8" x14ac:dyDescent="0.3">
      <c r="A3493" t="s">
        <v>1859</v>
      </c>
      <c r="B3493" t="s">
        <v>1860</v>
      </c>
      <c r="C3493">
        <v>5</v>
      </c>
      <c r="D3493" t="s">
        <v>1447</v>
      </c>
      <c r="E3493" t="s">
        <v>1863</v>
      </c>
      <c r="F3493" t="s">
        <v>1748</v>
      </c>
      <c r="H3493" s="165" t="str">
        <f>IF(ISBLANK('Q 5'!F1012),"",IF('Q 5'!F1012="&lt;please select&gt;","",'Q 5'!F1012))</f>
        <v>0</v>
      </c>
    </row>
    <row r="3494" spans="1:8" x14ac:dyDescent="0.3">
      <c r="A3494" t="s">
        <v>1859</v>
      </c>
      <c r="B3494" t="s">
        <v>1860</v>
      </c>
      <c r="C3494">
        <v>6</v>
      </c>
      <c r="D3494" t="s">
        <v>1447</v>
      </c>
      <c r="E3494" t="s">
        <v>1863</v>
      </c>
      <c r="F3494" t="s">
        <v>1748</v>
      </c>
      <c r="H3494" s="165" t="str">
        <f>IF(ISBLANK('Q 5'!F1013),"",IF('Q 5'!F1013="&lt;please select&gt;","",'Q 5'!F1013))</f>
        <v>1</v>
      </c>
    </row>
    <row r="3495" spans="1:8" x14ac:dyDescent="0.3">
      <c r="A3495" t="s">
        <v>1859</v>
      </c>
      <c r="B3495" t="s">
        <v>1860</v>
      </c>
      <c r="C3495">
        <v>7</v>
      </c>
      <c r="D3495" t="s">
        <v>1447</v>
      </c>
      <c r="E3495" t="s">
        <v>1863</v>
      </c>
      <c r="F3495" t="s">
        <v>1748</v>
      </c>
      <c r="H3495" s="165" t="str">
        <f>IF(ISBLANK('Q 5'!F1014),"",IF('Q 5'!F1014="&lt;please select&gt;","",'Q 5'!F1014))</f>
        <v>0</v>
      </c>
    </row>
    <row r="3496" spans="1:8" x14ac:dyDescent="0.3">
      <c r="A3496" t="s">
        <v>1859</v>
      </c>
      <c r="B3496" t="s">
        <v>1860</v>
      </c>
      <c r="C3496">
        <v>8</v>
      </c>
      <c r="D3496" t="s">
        <v>1447</v>
      </c>
      <c r="E3496" t="s">
        <v>1863</v>
      </c>
      <c r="F3496" t="s">
        <v>1748</v>
      </c>
      <c r="H3496" s="165" t="str">
        <f>IF(ISBLANK('Q 5'!F1015),"",IF('Q 5'!F1015="&lt;please select&gt;","",'Q 5'!F1015))</f>
        <v>0</v>
      </c>
    </row>
    <row r="3497" spans="1:8" x14ac:dyDescent="0.3">
      <c r="A3497" t="s">
        <v>1859</v>
      </c>
      <c r="B3497" t="s">
        <v>1860</v>
      </c>
      <c r="C3497">
        <v>9</v>
      </c>
      <c r="D3497" t="s">
        <v>1447</v>
      </c>
      <c r="E3497" t="s">
        <v>1863</v>
      </c>
      <c r="F3497" t="s">
        <v>1748</v>
      </c>
      <c r="H3497" s="165" t="str">
        <f>IF(ISBLANK('Q 5'!F1016),"",IF('Q 5'!F1016="&lt;please select&gt;","",'Q 5'!F1016))</f>
        <v>1</v>
      </c>
    </row>
    <row r="3498" spans="1:8" x14ac:dyDescent="0.3">
      <c r="A3498" t="s">
        <v>1859</v>
      </c>
      <c r="B3498" t="s">
        <v>1860</v>
      </c>
      <c r="C3498">
        <v>10</v>
      </c>
      <c r="D3498" t="s">
        <v>1447</v>
      </c>
      <c r="E3498" t="s">
        <v>1863</v>
      </c>
      <c r="F3498" t="s">
        <v>1748</v>
      </c>
      <c r="H3498" s="165" t="str">
        <f>IF(ISBLANK('Q 5'!F1017),"",IF('Q 5'!F1017="&lt;please select&gt;","",'Q 5'!F1017))</f>
        <v>0</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Yes</v>
      </c>
    </row>
    <row r="3515" spans="1:11" x14ac:dyDescent="0.3">
      <c r="A3515" t="s">
        <v>1859</v>
      </c>
      <c r="B3515" t="s">
        <v>1860</v>
      </c>
      <c r="C3515">
        <v>2</v>
      </c>
      <c r="D3515" t="s">
        <v>1447</v>
      </c>
      <c r="E3515" t="s">
        <v>1864</v>
      </c>
      <c r="F3515" t="s">
        <v>1759</v>
      </c>
      <c r="K3515" t="str">
        <f>IF(ISBLANK('Q 5'!G1009),"",IF('Q 5'!G1009="&lt;please select&gt;","",'Q 5'!G1009))</f>
        <v>Yes</v>
      </c>
    </row>
    <row r="3516" spans="1:11" x14ac:dyDescent="0.3">
      <c r="A3516" t="s">
        <v>1859</v>
      </c>
      <c r="B3516" t="s">
        <v>1860</v>
      </c>
      <c r="C3516">
        <v>3</v>
      </c>
      <c r="D3516" t="s">
        <v>1447</v>
      </c>
      <c r="E3516" t="s">
        <v>1864</v>
      </c>
      <c r="F3516" t="s">
        <v>1759</v>
      </c>
      <c r="K3516" t="str">
        <f>IF(ISBLANK('Q 5'!G1010),"",IF('Q 5'!G1010="&lt;please select&gt;","",'Q 5'!G1010))</f>
        <v>Yes</v>
      </c>
    </row>
    <row r="3517" spans="1:11" x14ac:dyDescent="0.3">
      <c r="A3517" t="s">
        <v>1859</v>
      </c>
      <c r="B3517" t="s">
        <v>1860</v>
      </c>
      <c r="C3517">
        <v>4</v>
      </c>
      <c r="D3517" t="s">
        <v>1447</v>
      </c>
      <c r="E3517" t="s">
        <v>1864</v>
      </c>
      <c r="F3517" t="s">
        <v>1759</v>
      </c>
      <c r="K3517" t="str">
        <f>IF(ISBLANK('Q 5'!G1011),"",IF('Q 5'!G1011="&lt;please select&gt;","",'Q 5'!G1011))</f>
        <v>Yes</v>
      </c>
    </row>
    <row r="3518" spans="1:11" x14ac:dyDescent="0.3">
      <c r="A3518" t="s">
        <v>1859</v>
      </c>
      <c r="B3518" t="s">
        <v>1860</v>
      </c>
      <c r="C3518">
        <v>5</v>
      </c>
      <c r="D3518" t="s">
        <v>1447</v>
      </c>
      <c r="E3518" t="s">
        <v>1864</v>
      </c>
      <c r="F3518" t="s">
        <v>1759</v>
      </c>
      <c r="K3518" t="str">
        <f>IF(ISBLANK('Q 5'!G1012),"",IF('Q 5'!G1012="&lt;please select&gt;","",'Q 5'!G1012))</f>
        <v>Yes</v>
      </c>
    </row>
    <row r="3519" spans="1:11" x14ac:dyDescent="0.3">
      <c r="A3519" t="s">
        <v>1859</v>
      </c>
      <c r="B3519" t="s">
        <v>1860</v>
      </c>
      <c r="C3519">
        <v>6</v>
      </c>
      <c r="D3519" t="s">
        <v>1447</v>
      </c>
      <c r="E3519" t="s">
        <v>1864</v>
      </c>
      <c r="F3519" t="s">
        <v>1759</v>
      </c>
      <c r="K3519" t="str">
        <f>IF(ISBLANK('Q 5'!G1013),"",IF('Q 5'!G1013="&lt;please select&gt;","",'Q 5'!G1013))</f>
        <v>Yes</v>
      </c>
    </row>
    <row r="3520" spans="1:11" x14ac:dyDescent="0.3">
      <c r="A3520" t="s">
        <v>1859</v>
      </c>
      <c r="B3520" t="s">
        <v>1860</v>
      </c>
      <c r="C3520">
        <v>7</v>
      </c>
      <c r="D3520" t="s">
        <v>1447</v>
      </c>
      <c r="E3520" t="s">
        <v>1864</v>
      </c>
      <c r="F3520" t="s">
        <v>1759</v>
      </c>
      <c r="K3520" t="str">
        <f>IF(ISBLANK('Q 5'!G1014),"",IF('Q 5'!G1014="&lt;please select&gt;","",'Q 5'!G1014))</f>
        <v>Yes</v>
      </c>
    </row>
    <row r="3521" spans="1:11" x14ac:dyDescent="0.3">
      <c r="A3521" t="s">
        <v>1859</v>
      </c>
      <c r="B3521" t="s">
        <v>1860</v>
      </c>
      <c r="C3521">
        <v>8</v>
      </c>
      <c r="D3521" t="s">
        <v>1447</v>
      </c>
      <c r="E3521" t="s">
        <v>1864</v>
      </c>
      <c r="F3521" t="s">
        <v>1759</v>
      </c>
      <c r="K3521" t="str">
        <f>IF(ISBLANK('Q 5'!G1015),"",IF('Q 5'!G1015="&lt;please select&gt;","",'Q 5'!G1015))</f>
        <v>Yes</v>
      </c>
    </row>
    <row r="3522" spans="1:11" x14ac:dyDescent="0.3">
      <c r="A3522" t="s">
        <v>1859</v>
      </c>
      <c r="B3522" t="s">
        <v>1860</v>
      </c>
      <c r="C3522">
        <v>9</v>
      </c>
      <c r="D3522" t="s">
        <v>1447</v>
      </c>
      <c r="E3522" t="s">
        <v>1864</v>
      </c>
      <c r="F3522" t="s">
        <v>1759</v>
      </c>
      <c r="K3522" t="str">
        <f>IF(ISBLANK('Q 5'!G1016),"",IF('Q 5'!G1016="&lt;please select&gt;","",'Q 5'!G1016))</f>
        <v>Yes</v>
      </c>
    </row>
    <row r="3523" spans="1:11" x14ac:dyDescent="0.3">
      <c r="A3523" t="s">
        <v>1859</v>
      </c>
      <c r="B3523" t="s">
        <v>1860</v>
      </c>
      <c r="C3523">
        <v>10</v>
      </c>
      <c r="D3523" t="s">
        <v>1447</v>
      </c>
      <c r="E3523" t="s">
        <v>1864</v>
      </c>
      <c r="F3523" t="s">
        <v>1759</v>
      </c>
      <c r="K3523" t="str">
        <f>IF(ISBLANK('Q 5'!G1017),"",IF('Q 5'!G1017="&lt;please select&gt;","",'Q 5'!G1017))</f>
        <v>No</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Tak, na podstawie sprawozdania z weryfikacji rocznego raportu na temat wielkości emisji</v>
      </c>
    </row>
    <row r="3540" spans="1:11" x14ac:dyDescent="0.3">
      <c r="A3540" t="s">
        <v>1859</v>
      </c>
      <c r="B3540" t="s">
        <v>1860</v>
      </c>
      <c r="C3540">
        <v>2</v>
      </c>
      <c r="D3540" t="s">
        <v>1447</v>
      </c>
      <c r="E3540" t="s">
        <v>1865</v>
      </c>
      <c r="F3540" t="s">
        <v>1741</v>
      </c>
      <c r="G3540" t="str">
        <f>IF(ISBLANK('Q 5'!H1009),"",IF('Q 5'!H1009="&lt;please select&gt;","",'Q 5'!H1009))</f>
        <v>Tak, na podstawie sprawozdania z weryfikacji rocznego raportu na temat wielkości emisji</v>
      </c>
    </row>
    <row r="3541" spans="1:11" x14ac:dyDescent="0.3">
      <c r="A3541" t="s">
        <v>1859</v>
      </c>
      <c r="B3541" t="s">
        <v>1860</v>
      </c>
      <c r="C3541">
        <v>3</v>
      </c>
      <c r="D3541" t="s">
        <v>1447</v>
      </c>
      <c r="E3541" t="s">
        <v>1865</v>
      </c>
      <c r="F3541" t="s">
        <v>1741</v>
      </c>
      <c r="G3541" t="str">
        <f>IF(ISBLANK('Q 5'!H1010),"",IF('Q 5'!H1010="&lt;please select&gt;","",'Q 5'!H1010))</f>
        <v>Tak, na podstawie sprawozdania z weryfikacji rocznego raportu na temat wielkości emisji. Od dnia 01.01.2022 r., zgodnie z obowiązującym planem monitorowania wielkości emisji, analizy biogazu będą wykonywane przez prowadzącego instalację z częstotliwością zgodną z wymaganiami</v>
      </c>
    </row>
    <row r="3542" spans="1:11" x14ac:dyDescent="0.3">
      <c r="A3542" t="s">
        <v>1859</v>
      </c>
      <c r="B3542" t="s">
        <v>1860</v>
      </c>
      <c r="C3542">
        <v>4</v>
      </c>
      <c r="D3542" t="s">
        <v>1447</v>
      </c>
      <c r="E3542" t="s">
        <v>1865</v>
      </c>
      <c r="F3542" t="s">
        <v>1741</v>
      </c>
      <c r="G3542" t="str">
        <f>IF(ISBLANK('Q 5'!H1011),"",IF('Q 5'!H1011="&lt;please select&gt;","",'Q 5'!H1011))</f>
        <v>Tak, na podstawie sprawozdania z weryfikacji rocznego raportu na temat wielkości emisji</v>
      </c>
    </row>
    <row r="3543" spans="1:11" x14ac:dyDescent="0.3">
      <c r="A3543" t="s">
        <v>1859</v>
      </c>
      <c r="B3543" t="s">
        <v>1860</v>
      </c>
      <c r="C3543">
        <v>5</v>
      </c>
      <c r="D3543" t="s">
        <v>1447</v>
      </c>
      <c r="E3543" t="s">
        <v>1865</v>
      </c>
      <c r="F3543" t="s">
        <v>1741</v>
      </c>
      <c r="G3543" t="str">
        <f>IF(ISBLANK('Q 5'!H1012),"",IF('Q 5'!H1012="&lt;please select&gt;","",'Q 5'!H1012))</f>
        <v>Tak, na podstawie sprawozdania z weryfikacji rocznego raportu na temat wielkości emisji</v>
      </c>
    </row>
    <row r="3544" spans="1:11" x14ac:dyDescent="0.3">
      <c r="A3544" t="s">
        <v>1859</v>
      </c>
      <c r="B3544" t="s">
        <v>1860</v>
      </c>
      <c r="C3544">
        <v>6</v>
      </c>
      <c r="D3544" t="s">
        <v>1447</v>
      </c>
      <c r="E3544" t="s">
        <v>1865</v>
      </c>
      <c r="F3544" t="s">
        <v>1741</v>
      </c>
      <c r="G3544" t="str">
        <f>IF(ISBLANK('Q 5'!H1013),"",IF('Q 5'!H1013="&lt;please select&gt;","",'Q 5'!H1013))</f>
        <v>Tak, na podstawie sprawozdania z weryfikacji rocznego raportu na temat wielkości emisji</v>
      </c>
    </row>
    <row r="3545" spans="1:11" x14ac:dyDescent="0.3">
      <c r="A3545" t="s">
        <v>1859</v>
      </c>
      <c r="B3545" t="s">
        <v>1860</v>
      </c>
      <c r="C3545">
        <v>7</v>
      </c>
      <c r="D3545" t="s">
        <v>1447</v>
      </c>
      <c r="E3545" t="s">
        <v>1865</v>
      </c>
      <c r="F3545" t="s">
        <v>1741</v>
      </c>
      <c r="G3545" t="str">
        <f>IF(ISBLANK('Q 5'!H1014),"",IF('Q 5'!H1014="&lt;please select&gt;","",'Q 5'!H1014))</f>
        <v>Tak, na podstawie sprawozdania z weryfikacji rocznego raportu na temat wielkości emisji</v>
      </c>
    </row>
    <row r="3546" spans="1:11" x14ac:dyDescent="0.3">
      <c r="A3546" t="s">
        <v>1859</v>
      </c>
      <c r="B3546" t="s">
        <v>1860</v>
      </c>
      <c r="C3546">
        <v>8</v>
      </c>
      <c r="D3546" t="s">
        <v>1447</v>
      </c>
      <c r="E3546" t="s">
        <v>1865</v>
      </c>
      <c r="F3546" t="s">
        <v>1741</v>
      </c>
      <c r="G3546" t="str">
        <f>IF(ISBLANK('Q 5'!H1015),"",IF('Q 5'!H1015="&lt;please select&gt;","",'Q 5'!H1015))</f>
        <v>Tak, na podstawie sprawozdania z weryfikacji rocznego raportu na temat wielkości emisji</v>
      </c>
    </row>
    <row r="3547" spans="1:11" x14ac:dyDescent="0.3">
      <c r="A3547" t="s">
        <v>1859</v>
      </c>
      <c r="B3547" t="s">
        <v>1860</v>
      </c>
      <c r="C3547">
        <v>9</v>
      </c>
      <c r="D3547" t="s">
        <v>1447</v>
      </c>
      <c r="E3547" t="s">
        <v>1865</v>
      </c>
      <c r="F3547" t="s">
        <v>1741</v>
      </c>
      <c r="G3547" t="str">
        <f>IF(ISBLANK('Q 5'!H1016),"",IF('Q 5'!H1016="&lt;please select&gt;","",'Q 5'!H1016))</f>
        <v>Tak, na podstawie sprawozdania z weryfikacji rocznego raportu na temat wielkości emisji</v>
      </c>
    </row>
    <row r="3548" spans="1:11" x14ac:dyDescent="0.3">
      <c r="A3548" t="s">
        <v>1859</v>
      </c>
      <c r="B3548" t="s">
        <v>1860</v>
      </c>
      <c r="C3548">
        <v>10</v>
      </c>
      <c r="D3548" t="s">
        <v>1447</v>
      </c>
      <c r="E3548" t="s">
        <v>1865</v>
      </c>
      <c r="F3548" t="s">
        <v>1741</v>
      </c>
      <c r="G3548" t="str">
        <f>IF(ISBLANK('Q 5'!H1017),"",IF('Q 5'!H1017="&lt;please select&gt;","",'Q 5'!H1017))</f>
        <v>Pobór próbek jest realizowany zgodnie z wewnętrzną procedurą prowadzącego instalację zatwierdzoną przez właściwy organ w grudniu 2014 roku, która nie spełnia wymagań dotyczących planu poboru próbek</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PL000000000203087</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propylen</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Carbon content</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Tier 3</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Tier 1</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Calculation based methodology</v>
      </c>
    </row>
    <row r="3896" spans="1:11" x14ac:dyDescent="0.3">
      <c r="A3896" t="s">
        <v>1874</v>
      </c>
      <c r="B3896" t="s">
        <v>1875</v>
      </c>
      <c r="C3896">
        <v>3</v>
      </c>
      <c r="D3896" t="s">
        <v>1447</v>
      </c>
      <c r="E3896" t="s">
        <v>1876</v>
      </c>
      <c r="F3896" t="s">
        <v>1737</v>
      </c>
      <c r="K3896" t="str">
        <f>IF(ISBLANK('Q 5'!C1100),"",IF('Q 5'!C1100="&lt;please select&gt;","",'Q 5'!C1100))</f>
        <v>Calculation based methodology</v>
      </c>
    </row>
    <row r="3897" spans="1:11" x14ac:dyDescent="0.3">
      <c r="A3897" t="s">
        <v>1874</v>
      </c>
      <c r="B3897" t="s">
        <v>1875</v>
      </c>
      <c r="C3897">
        <v>4</v>
      </c>
      <c r="D3897" t="s">
        <v>1447</v>
      </c>
      <c r="E3897" t="s">
        <v>1876</v>
      </c>
      <c r="F3897" t="s">
        <v>1737</v>
      </c>
      <c r="K3897" t="str">
        <f>IF(ISBLANK('Q 5'!C1101),"",IF('Q 5'!C1101="&lt;please select&gt;","",'Q 5'!C1101))</f>
        <v>Calculation based methodology</v>
      </c>
    </row>
    <row r="3898" spans="1:11" x14ac:dyDescent="0.3">
      <c r="A3898" t="s">
        <v>1874</v>
      </c>
      <c r="B3898" t="s">
        <v>1875</v>
      </c>
      <c r="C3898">
        <v>5</v>
      </c>
      <c r="D3898" t="s">
        <v>1447</v>
      </c>
      <c r="E3898" t="s">
        <v>1876</v>
      </c>
      <c r="F3898" t="s">
        <v>1737</v>
      </c>
      <c r="K3898" t="str">
        <f>IF(ISBLANK('Q 5'!C1102),"",IF('Q 5'!C1102="&lt;please select&gt;","",'Q 5'!C1102))</f>
        <v>Calculation based methodology</v>
      </c>
    </row>
    <row r="3899" spans="1:11" x14ac:dyDescent="0.3">
      <c r="A3899" t="s">
        <v>1874</v>
      </c>
      <c r="B3899" t="s">
        <v>1875</v>
      </c>
      <c r="C3899">
        <v>6</v>
      </c>
      <c r="D3899" t="s">
        <v>1447</v>
      </c>
      <c r="E3899" t="s">
        <v>1876</v>
      </c>
      <c r="F3899" t="s">
        <v>1737</v>
      </c>
      <c r="K3899" t="str">
        <f>IF(ISBLANK('Q 5'!C1103),"",IF('Q 5'!C1103="&lt;please select&gt;","",'Q 5'!C1103))</f>
        <v>Calculation based methodology</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20 - Combustion of fuels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 xml:space="preserve">22 - Production of coke </v>
      </c>
    </row>
    <row r="3918" spans="1:11" x14ac:dyDescent="0.3">
      <c r="A3918" t="s">
        <v>1874</v>
      </c>
      <c r="B3918" t="s">
        <v>1875</v>
      </c>
      <c r="C3918">
        <v>3</v>
      </c>
      <c r="D3918" t="s">
        <v>1447</v>
      </c>
      <c r="E3918" t="s">
        <v>1877</v>
      </c>
      <c r="F3918" t="s">
        <v>1737</v>
      </c>
      <c r="K3918" t="str">
        <f>IF(ISBLANK('Q 5'!E1100),"",IF('Q 5'!E1100="&lt;please select&gt;","",'Q 5'!E1100))</f>
        <v>30 - Production of lime or calcination of dolomite or magnesite as specified in Annex I of Directive 2003/87/ EC</v>
      </c>
    </row>
    <row r="3919" spans="1:11" x14ac:dyDescent="0.3">
      <c r="A3919" t="s">
        <v>1874</v>
      </c>
      <c r="B3919" t="s">
        <v>1875</v>
      </c>
      <c r="C3919">
        <v>4</v>
      </c>
      <c r="D3919" t="s">
        <v>1447</v>
      </c>
      <c r="E3919" t="s">
        <v>1877</v>
      </c>
      <c r="F3919" t="s">
        <v>1737</v>
      </c>
      <c r="K3919" t="str">
        <f>IF(ISBLANK('Q 5'!E1101),"",IF('Q 5'!E1101="&lt;please select&gt;","",'Q 5'!E1101))</f>
        <v>31 - Manufacture of glass as specified in Annex I of Directive 2003/87/EC</v>
      </c>
    </row>
    <row r="3920" spans="1:11" x14ac:dyDescent="0.3">
      <c r="A3920" t="s">
        <v>1874</v>
      </c>
      <c r="B3920" t="s">
        <v>1875</v>
      </c>
      <c r="C3920">
        <v>5</v>
      </c>
      <c r="D3920" t="s">
        <v>1447</v>
      </c>
      <c r="E3920" t="s">
        <v>1877</v>
      </c>
      <c r="F3920" t="s">
        <v>1737</v>
      </c>
      <c r="K3920" t="str">
        <f>IF(ISBLANK('Q 5'!E1102),"",IF('Q 5'!E1102="&lt;please select&gt;","",'Q 5'!E1102))</f>
        <v>24 - Production of pig iron or steel as specified in Annex I of Directive 2003/87/EC</v>
      </c>
    </row>
    <row r="3921" spans="1:11" x14ac:dyDescent="0.3">
      <c r="A3921" t="s">
        <v>1874</v>
      </c>
      <c r="B3921" t="s">
        <v>1875</v>
      </c>
      <c r="C3921">
        <v>6</v>
      </c>
      <c r="D3921" t="s">
        <v>1447</v>
      </c>
      <c r="E3921" t="s">
        <v>1877</v>
      </c>
      <c r="F3921" t="s">
        <v>1737</v>
      </c>
      <c r="K3921" t="str">
        <f>IF(ISBLANK('Q 5'!E1103),"",IF('Q 5'!E1103="&lt;please select&gt;","",'Q 5'!E1103))</f>
        <v>28 - Production or processing of non-ferrous metals as specified in Annex I of Directive 2003/87/EC</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18</v>
      </c>
    </row>
    <row r="3939" spans="1:11" x14ac:dyDescent="0.3">
      <c r="A3939" t="s">
        <v>1874</v>
      </c>
      <c r="B3939" t="s">
        <v>1875</v>
      </c>
      <c r="C3939">
        <v>2</v>
      </c>
      <c r="D3939" t="s">
        <v>1447</v>
      </c>
      <c r="E3939" t="s">
        <v>1878</v>
      </c>
      <c r="F3939" t="s">
        <v>1748</v>
      </c>
      <c r="H3939" s="165" t="str">
        <f>IF(ISBLANK('Q 5'!H1099),"",IF('Q 5'!H1099="&lt;please select&gt;","",'Q 5'!H1099))</f>
        <v>2</v>
      </c>
    </row>
    <row r="3940" spans="1:11" x14ac:dyDescent="0.3">
      <c r="A3940" t="s">
        <v>1874</v>
      </c>
      <c r="B3940" t="s">
        <v>1875</v>
      </c>
      <c r="C3940">
        <v>3</v>
      </c>
      <c r="D3940" t="s">
        <v>1447</v>
      </c>
      <c r="E3940" t="s">
        <v>1878</v>
      </c>
      <c r="F3940" t="s">
        <v>1748</v>
      </c>
      <c r="H3940" s="165" t="str">
        <f>IF(ISBLANK('Q 5'!H1100),"",IF('Q 5'!H1100="&lt;please select&gt;","",'Q 5'!H1100))</f>
        <v>1</v>
      </c>
    </row>
    <row r="3941" spans="1:11" x14ac:dyDescent="0.3">
      <c r="A3941" t="s">
        <v>1874</v>
      </c>
      <c r="B3941" t="s">
        <v>1875</v>
      </c>
      <c r="C3941">
        <v>4</v>
      </c>
      <c r="D3941" t="s">
        <v>1447</v>
      </c>
      <c r="E3941" t="s">
        <v>1878</v>
      </c>
      <c r="F3941" t="s">
        <v>1748</v>
      </c>
      <c r="H3941" s="165" t="str">
        <f>IF(ISBLANK('Q 5'!H1101),"",IF('Q 5'!H1101="&lt;please select&gt;","",'Q 5'!H1101))</f>
        <v>3</v>
      </c>
    </row>
    <row r="3942" spans="1:11" x14ac:dyDescent="0.3">
      <c r="A3942" t="s">
        <v>1874</v>
      </c>
      <c r="B3942" t="s">
        <v>1875</v>
      </c>
      <c r="C3942">
        <v>5</v>
      </c>
      <c r="D3942" t="s">
        <v>1447</v>
      </c>
      <c r="E3942" t="s">
        <v>1878</v>
      </c>
      <c r="F3942" t="s">
        <v>1748</v>
      </c>
      <c r="H3942" s="165" t="str">
        <f>IF(ISBLANK('Q 5'!H1102),"",IF('Q 5'!H1102="&lt;please select&gt;","",'Q 5'!H1102))</f>
        <v>1</v>
      </c>
    </row>
    <row r="3943" spans="1:11" x14ac:dyDescent="0.3">
      <c r="A3943" t="s">
        <v>1874</v>
      </c>
      <c r="B3943" t="s">
        <v>1875</v>
      </c>
      <c r="C3943">
        <v>6</v>
      </c>
      <c r="D3943" t="s">
        <v>1447</v>
      </c>
      <c r="E3943" t="s">
        <v>1878</v>
      </c>
      <c r="F3943" t="s">
        <v>1748</v>
      </c>
      <c r="H3943" s="165" t="str">
        <f>IF(ISBLANK('Q 5'!H1103),"",IF('Q 5'!H1103="&lt;please select&gt;","",'Q 5'!H1103))</f>
        <v>1</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Yes</v>
      </c>
    </row>
    <row r="3961" spans="1:11" x14ac:dyDescent="0.3">
      <c r="A3961" t="s">
        <v>1879</v>
      </c>
      <c r="B3961" t="s">
        <v>1881</v>
      </c>
      <c r="C3961">
        <v>1</v>
      </c>
      <c r="D3961" t="s">
        <v>1447</v>
      </c>
      <c r="E3961" t="s">
        <v>1882</v>
      </c>
      <c r="F3961" t="s">
        <v>1741</v>
      </c>
      <c r="G3961" t="str">
        <f>IF(ISBLANK('Q 5'!C1127),"",IF('Q 5'!C1127="&lt;please select&gt;","",'Q 5'!C1127))</f>
        <v>PL000000000000371</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Applying tier 1 is technically infeasible or leads to unreasonable costs for one minor source stream</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Quantity of material</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1596.8</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A</v>
      </c>
    </row>
    <row r="4002" spans="1:11" x14ac:dyDescent="0.3">
      <c r="A4002" t="s">
        <v>1886</v>
      </c>
      <c r="B4002" t="s">
        <v>1887</v>
      </c>
      <c r="C4002">
        <v>2</v>
      </c>
      <c r="D4002" t="s">
        <v>1447</v>
      </c>
      <c r="E4002" t="s">
        <v>1856</v>
      </c>
      <c r="F4002" t="s">
        <v>1737</v>
      </c>
      <c r="K4002" t="str">
        <f>IF(ISBLANK('Q 5'!C1145),"",IF('Q 5'!C1145="&lt;please select&gt;","",'Q 5'!C1145))</f>
        <v>Category A</v>
      </c>
    </row>
    <row r="4003" spans="1:11" x14ac:dyDescent="0.3">
      <c r="A4003" t="s">
        <v>1886</v>
      </c>
      <c r="B4003" t="s">
        <v>1887</v>
      </c>
      <c r="C4003">
        <v>3</v>
      </c>
      <c r="D4003" t="s">
        <v>1447</v>
      </c>
      <c r="E4003" t="s">
        <v>1856</v>
      </c>
      <c r="F4003" t="s">
        <v>1737</v>
      </c>
      <c r="K4003" t="str">
        <f>IF(ISBLANK('Q 5'!C1146),"",IF('Q 5'!C1146="&lt;please select&gt;","",'Q 5'!C1146))</f>
        <v>Category A</v>
      </c>
    </row>
    <row r="4004" spans="1:11" x14ac:dyDescent="0.3">
      <c r="A4004" t="s">
        <v>1886</v>
      </c>
      <c r="B4004" t="s">
        <v>1887</v>
      </c>
      <c r="C4004">
        <v>4</v>
      </c>
      <c r="D4004" t="s">
        <v>1447</v>
      </c>
      <c r="E4004" t="s">
        <v>1856</v>
      </c>
      <c r="F4004" t="s">
        <v>1737</v>
      </c>
      <c r="K4004" t="str">
        <f>IF(ISBLANK('Q 5'!C1147),"",IF('Q 5'!C1147="&lt;please select&gt;","",'Q 5'!C1147))</f>
        <v>Category A</v>
      </c>
    </row>
    <row r="4005" spans="1:11" x14ac:dyDescent="0.3">
      <c r="A4005" t="s">
        <v>1886</v>
      </c>
      <c r="B4005" t="s">
        <v>1887</v>
      </c>
      <c r="C4005">
        <v>5</v>
      </c>
      <c r="D4005" t="s">
        <v>1447</v>
      </c>
      <c r="E4005" t="s">
        <v>1856</v>
      </c>
      <c r="F4005" t="s">
        <v>1737</v>
      </c>
      <c r="K4005" t="str">
        <f>IF(ISBLANK('Q 5'!C1148),"",IF('Q 5'!C1148="&lt;please select&gt;","",'Q 5'!C1148))</f>
        <v>Category A</v>
      </c>
    </row>
    <row r="4006" spans="1:11" x14ac:dyDescent="0.3">
      <c r="A4006" t="s">
        <v>1886</v>
      </c>
      <c r="B4006" t="s">
        <v>1887</v>
      </c>
      <c r="C4006">
        <v>6</v>
      </c>
      <c r="D4006" t="s">
        <v>1447</v>
      </c>
      <c r="E4006" t="s">
        <v>1856</v>
      </c>
      <c r="F4006" t="s">
        <v>1737</v>
      </c>
      <c r="K4006" t="str">
        <f>IF(ISBLANK('Q 5'!C1149),"",IF('Q 5'!C1149="&lt;please select&gt;","",'Q 5'!C1149))</f>
        <v>Category A</v>
      </c>
    </row>
    <row r="4007" spans="1:11" x14ac:dyDescent="0.3">
      <c r="A4007" t="s">
        <v>1886</v>
      </c>
      <c r="B4007" t="s">
        <v>1887</v>
      </c>
      <c r="C4007">
        <v>7</v>
      </c>
      <c r="D4007" t="s">
        <v>1447</v>
      </c>
      <c r="E4007" t="s">
        <v>1856</v>
      </c>
      <c r="F4007" t="s">
        <v>1737</v>
      </c>
      <c r="K4007" t="str">
        <f>IF(ISBLANK('Q 5'!C1150),"",IF('Q 5'!C1150="&lt;please select&gt;","",'Q 5'!C1150))</f>
        <v>Category A</v>
      </c>
    </row>
    <row r="4008" spans="1:11" x14ac:dyDescent="0.3">
      <c r="A4008" t="s">
        <v>1886</v>
      </c>
      <c r="B4008" t="s">
        <v>1887</v>
      </c>
      <c r="C4008">
        <v>8</v>
      </c>
      <c r="D4008" t="s">
        <v>1447</v>
      </c>
      <c r="E4008" t="s">
        <v>1856</v>
      </c>
      <c r="F4008" t="s">
        <v>1737</v>
      </c>
      <c r="K4008" t="str">
        <f>IF(ISBLANK('Q 5'!C1151),"",IF('Q 5'!C1151="&lt;please select&gt;","",'Q 5'!C1151))</f>
        <v>Category A</v>
      </c>
    </row>
    <row r="4009" spans="1:11" x14ac:dyDescent="0.3">
      <c r="A4009" t="s">
        <v>1886</v>
      </c>
      <c r="B4009" t="s">
        <v>1887</v>
      </c>
      <c r="C4009">
        <v>9</v>
      </c>
      <c r="D4009" t="s">
        <v>1447</v>
      </c>
      <c r="E4009" t="s">
        <v>1856</v>
      </c>
      <c r="F4009" t="s">
        <v>1737</v>
      </c>
      <c r="K4009" t="str">
        <f>IF(ISBLANK('Q 5'!C1152),"",IF('Q 5'!C1152="&lt;please select&gt;","",'Q 5'!C1152))</f>
        <v>Category B</v>
      </c>
    </row>
    <row r="4010" spans="1:11" x14ac:dyDescent="0.3">
      <c r="A4010" t="s">
        <v>1886</v>
      </c>
      <c r="B4010" t="s">
        <v>1887</v>
      </c>
      <c r="C4010">
        <v>10</v>
      </c>
      <c r="D4010" t="s">
        <v>1447</v>
      </c>
      <c r="E4010" t="s">
        <v>1856</v>
      </c>
      <c r="F4010" t="s">
        <v>1737</v>
      </c>
      <c r="K4010" t="str">
        <f>IF(ISBLANK('Q 5'!C1153),"",IF('Q 5'!C1153="&lt;please select&gt;","",'Q 5'!C1153))</f>
        <v>Category B</v>
      </c>
    </row>
    <row r="4011" spans="1:11" x14ac:dyDescent="0.3">
      <c r="A4011" t="s">
        <v>1886</v>
      </c>
      <c r="B4011" t="s">
        <v>1887</v>
      </c>
      <c r="C4011">
        <v>11</v>
      </c>
      <c r="D4011" t="s">
        <v>1447</v>
      </c>
      <c r="E4011" t="s">
        <v>1856</v>
      </c>
      <c r="F4011" t="s">
        <v>1737</v>
      </c>
      <c r="K4011" t="str">
        <f>IF(ISBLANK('Q 5'!C1154),"",IF('Q 5'!C1154="&lt;please select&gt;","",'Q 5'!C1154))</f>
        <v>Category B</v>
      </c>
    </row>
    <row r="4012" spans="1:11" x14ac:dyDescent="0.3">
      <c r="A4012" t="s">
        <v>1886</v>
      </c>
      <c r="B4012" t="s">
        <v>1887</v>
      </c>
      <c r="C4012">
        <v>12</v>
      </c>
      <c r="D4012" t="s">
        <v>1447</v>
      </c>
      <c r="E4012" t="s">
        <v>1856</v>
      </c>
      <c r="F4012" t="s">
        <v>1737</v>
      </c>
      <c r="K4012" t="str">
        <f>IF(ISBLANK('Q 5'!C1155),"",IF('Q 5'!C1155="&lt;please select&gt;","",'Q 5'!C1155))</f>
        <v>Category B</v>
      </c>
    </row>
    <row r="4013" spans="1:11" x14ac:dyDescent="0.3">
      <c r="A4013" t="s">
        <v>1886</v>
      </c>
      <c r="B4013" t="s">
        <v>1887</v>
      </c>
      <c r="C4013">
        <v>13</v>
      </c>
      <c r="D4013" t="s">
        <v>1447</v>
      </c>
      <c r="E4013" t="s">
        <v>1856</v>
      </c>
      <c r="F4013" t="s">
        <v>1737</v>
      </c>
      <c r="K4013" t="str">
        <f>IF(ISBLANK('Q 5'!C1156),"",IF('Q 5'!C1156="&lt;please select&gt;","",'Q 5'!C1156))</f>
        <v>Category B</v>
      </c>
    </row>
    <row r="4014" spans="1:11" x14ac:dyDescent="0.3">
      <c r="A4014" t="s">
        <v>1886</v>
      </c>
      <c r="B4014" t="s">
        <v>1887</v>
      </c>
      <c r="C4014">
        <v>14</v>
      </c>
      <c r="D4014" t="s">
        <v>1447</v>
      </c>
      <c r="E4014" t="s">
        <v>1856</v>
      </c>
      <c r="F4014" t="s">
        <v>1737</v>
      </c>
      <c r="K4014" t="str">
        <f>IF(ISBLANK('Q 5'!C1157),"",IF('Q 5'!C1157="&lt;please select&gt;","",'Q 5'!C1157))</f>
        <v>Category B</v>
      </c>
    </row>
    <row r="4015" spans="1:11" x14ac:dyDescent="0.3">
      <c r="A4015" t="s">
        <v>1886</v>
      </c>
      <c r="B4015" t="s">
        <v>1887</v>
      </c>
      <c r="C4015">
        <v>15</v>
      </c>
      <c r="D4015" t="s">
        <v>1447</v>
      </c>
      <c r="E4015" t="s">
        <v>1856</v>
      </c>
      <c r="F4015" t="s">
        <v>1737</v>
      </c>
      <c r="K4015" t="str">
        <f>IF(ISBLANK('Q 5'!C1158),"",IF('Q 5'!C1158="&lt;please select&gt;","",'Q 5'!C1158))</f>
        <v>Category B</v>
      </c>
    </row>
    <row r="4016" spans="1:11" x14ac:dyDescent="0.3">
      <c r="A4016" t="s">
        <v>1886</v>
      </c>
      <c r="B4016" t="s">
        <v>1887</v>
      </c>
      <c r="C4016">
        <v>16</v>
      </c>
      <c r="D4016" t="s">
        <v>1447</v>
      </c>
      <c r="E4016" t="s">
        <v>1856</v>
      </c>
      <c r="F4016" t="s">
        <v>1737</v>
      </c>
      <c r="K4016" t="str">
        <f>IF(ISBLANK('Q 5'!C1159),"",IF('Q 5'!C1159="&lt;please select&gt;","",'Q 5'!C1159))</f>
        <v>Category B</v>
      </c>
    </row>
    <row r="4017" spans="1:11" x14ac:dyDescent="0.3">
      <c r="A4017" t="s">
        <v>1886</v>
      </c>
      <c r="B4017" t="s">
        <v>1887</v>
      </c>
      <c r="C4017">
        <v>17</v>
      </c>
      <c r="D4017" t="s">
        <v>1447</v>
      </c>
      <c r="E4017" t="s">
        <v>1856</v>
      </c>
      <c r="F4017" t="s">
        <v>1737</v>
      </c>
      <c r="K4017" t="str">
        <f>IF(ISBLANK('Q 5'!C1160),"",IF('Q 5'!C1160="&lt;please select&gt;","",'Q 5'!C1160))</f>
        <v>Category B</v>
      </c>
    </row>
    <row r="4018" spans="1:11" x14ac:dyDescent="0.3">
      <c r="A4018" t="s">
        <v>1886</v>
      </c>
      <c r="B4018" t="s">
        <v>1887</v>
      </c>
      <c r="C4018">
        <v>18</v>
      </c>
      <c r="D4018" t="s">
        <v>1447</v>
      </c>
      <c r="E4018" t="s">
        <v>1856</v>
      </c>
      <c r="F4018" t="s">
        <v>1737</v>
      </c>
      <c r="K4018" t="str">
        <f>IF(ISBLANK('Q 5'!C1161),"",IF('Q 5'!C1161="&lt;please select&gt;","",'Q 5'!C1161))</f>
        <v>Category B</v>
      </c>
    </row>
    <row r="4019" spans="1:11" x14ac:dyDescent="0.3">
      <c r="A4019" t="s">
        <v>1886</v>
      </c>
      <c r="B4019" t="s">
        <v>1887</v>
      </c>
      <c r="C4019">
        <v>19</v>
      </c>
      <c r="D4019" t="s">
        <v>1447</v>
      </c>
      <c r="E4019" t="s">
        <v>1856</v>
      </c>
      <c r="F4019" t="s">
        <v>1737</v>
      </c>
      <c r="K4019" t="str">
        <f>IF(ISBLANK('Q 5'!C1162),"",IF('Q 5'!C1162="&lt;please select&gt;","",'Q 5'!C1162))</f>
        <v>Category B</v>
      </c>
    </row>
    <row r="4020" spans="1:11" x14ac:dyDescent="0.3">
      <c r="A4020" t="s">
        <v>1886</v>
      </c>
      <c r="B4020" t="s">
        <v>1887</v>
      </c>
      <c r="C4020">
        <v>20</v>
      </c>
      <c r="D4020" t="s">
        <v>1447</v>
      </c>
      <c r="E4020" t="s">
        <v>1856</v>
      </c>
      <c r="F4020" t="s">
        <v>1737</v>
      </c>
      <c r="K4020" t="str">
        <f>IF(ISBLANK('Q 5'!C1163),"",IF('Q 5'!C1163="&lt;please select&gt;","",'Q 5'!C1163))</f>
        <v>Category B</v>
      </c>
    </row>
    <row r="4021" spans="1:11" x14ac:dyDescent="0.3">
      <c r="A4021" t="s">
        <v>1886</v>
      </c>
      <c r="B4021" t="s">
        <v>1887</v>
      </c>
      <c r="C4021">
        <v>21</v>
      </c>
      <c r="D4021" t="s">
        <v>1447</v>
      </c>
      <c r="E4021" t="s">
        <v>1856</v>
      </c>
      <c r="F4021" t="s">
        <v>1737</v>
      </c>
      <c r="K4021" t="str">
        <f>IF(ISBLANK('Q 5'!C1164),"",IF('Q 5'!C1164="&lt;please select&gt;","",'Q 5'!C1164))</f>
        <v>Category B</v>
      </c>
    </row>
    <row r="4022" spans="1:11" x14ac:dyDescent="0.3">
      <c r="A4022" t="s">
        <v>1886</v>
      </c>
      <c r="B4022" t="s">
        <v>1887</v>
      </c>
      <c r="C4022">
        <v>22</v>
      </c>
      <c r="D4022" t="s">
        <v>1447</v>
      </c>
      <c r="E4022" t="s">
        <v>1856</v>
      </c>
      <c r="F4022" t="s">
        <v>1737</v>
      </c>
      <c r="K4022" t="str">
        <f>IF(ISBLANK('Q 5'!C1165),"",IF('Q 5'!C1165="&lt;please select&gt;","",'Q 5'!C1165))</f>
        <v>Category B</v>
      </c>
    </row>
    <row r="4023" spans="1:11" x14ac:dyDescent="0.3">
      <c r="A4023" t="s">
        <v>1886</v>
      </c>
      <c r="B4023" t="s">
        <v>1887</v>
      </c>
      <c r="C4023">
        <v>23</v>
      </c>
      <c r="D4023" t="s">
        <v>1447</v>
      </c>
      <c r="E4023" t="s">
        <v>1856</v>
      </c>
      <c r="F4023" t="s">
        <v>1737</v>
      </c>
      <c r="K4023" t="str">
        <f>IF(ISBLANK('Q 5'!C1166),"",IF('Q 5'!C1166="&lt;please select&gt;","",'Q 5'!C1166))</f>
        <v>Category C</v>
      </c>
    </row>
    <row r="4024" spans="1:11" x14ac:dyDescent="0.3">
      <c r="A4024" t="s">
        <v>1886</v>
      </c>
      <c r="B4024" t="s">
        <v>1887</v>
      </c>
      <c r="C4024">
        <v>24</v>
      </c>
      <c r="D4024" t="s">
        <v>1447</v>
      </c>
      <c r="E4024" t="s">
        <v>1856</v>
      </c>
      <c r="F4024" t="s">
        <v>1737</v>
      </c>
      <c r="K4024" t="str">
        <f>IF(ISBLANK('Q 5'!C1167),"",IF('Q 5'!C1167="&lt;please select&gt;","",'Q 5'!C1167))</f>
        <v>Category C</v>
      </c>
    </row>
    <row r="4025" spans="1:11" x14ac:dyDescent="0.3">
      <c r="A4025" t="s">
        <v>1886</v>
      </c>
      <c r="B4025" t="s">
        <v>1887</v>
      </c>
      <c r="C4025">
        <v>25</v>
      </c>
      <c r="D4025" t="s">
        <v>1447</v>
      </c>
      <c r="E4025" t="s">
        <v>1856</v>
      </c>
      <c r="F4025" t="s">
        <v>1737</v>
      </c>
      <c r="K4025" t="str">
        <f>IF(ISBLANK('Q 5'!C1168),"",IF('Q 5'!C1168="&lt;please select&gt;","",'Q 5'!C1168))</f>
        <v>Category C</v>
      </c>
    </row>
    <row r="4026" spans="1:11" x14ac:dyDescent="0.3">
      <c r="A4026" t="s">
        <v>1886</v>
      </c>
      <c r="B4026" t="s">
        <v>1887</v>
      </c>
      <c r="C4026">
        <v>26</v>
      </c>
      <c r="D4026" t="s">
        <v>1447</v>
      </c>
      <c r="E4026" t="s">
        <v>1856</v>
      </c>
      <c r="F4026" t="s">
        <v>1737</v>
      </c>
      <c r="K4026" t="str">
        <f>IF(ISBLANK('Q 5'!C1169),"",IF('Q 5'!C1169="&lt;please select&gt;","",'Q 5'!C1169))</f>
        <v>Category C</v>
      </c>
    </row>
    <row r="4027" spans="1:11" x14ac:dyDescent="0.3">
      <c r="A4027" t="s">
        <v>1886</v>
      </c>
      <c r="B4027" t="s">
        <v>1887</v>
      </c>
      <c r="C4027">
        <v>27</v>
      </c>
      <c r="D4027" t="s">
        <v>1447</v>
      </c>
      <c r="E4027" t="s">
        <v>1856</v>
      </c>
      <c r="F4027" t="s">
        <v>1737</v>
      </c>
      <c r="K4027" t="str">
        <f>IF(ISBLANK('Q 5'!C1170),"",IF('Q 5'!C1170="&lt;please select&gt;","",'Q 5'!C1170))</f>
        <v>Category C</v>
      </c>
    </row>
    <row r="4028" spans="1:11" x14ac:dyDescent="0.3">
      <c r="A4028" t="s">
        <v>1886</v>
      </c>
      <c r="B4028" t="s">
        <v>1887</v>
      </c>
      <c r="C4028">
        <v>28</v>
      </c>
      <c r="D4028" t="s">
        <v>1447</v>
      </c>
      <c r="E4028" t="s">
        <v>1856</v>
      </c>
      <c r="F4028" t="s">
        <v>1737</v>
      </c>
      <c r="K4028" t="str">
        <f>IF(ISBLANK('Q 5'!C1171),"",IF('Q 5'!C1171="&lt;please select&gt;","",'Q 5'!C1171))</f>
        <v>Category C</v>
      </c>
    </row>
    <row r="4029" spans="1:11" x14ac:dyDescent="0.3">
      <c r="A4029" t="s">
        <v>1886</v>
      </c>
      <c r="B4029" t="s">
        <v>1887</v>
      </c>
      <c r="C4029">
        <v>29</v>
      </c>
      <c r="D4029" t="s">
        <v>1447</v>
      </c>
      <c r="E4029" t="s">
        <v>1856</v>
      </c>
      <c r="F4029" t="s">
        <v>1737</v>
      </c>
      <c r="K4029" t="str">
        <f>IF(ISBLANK('Q 5'!C1172),"",IF('Q 5'!C1172="&lt;please select&gt;","",'Q 5'!C1172))</f>
        <v>Category C</v>
      </c>
    </row>
    <row r="4030" spans="1:11" x14ac:dyDescent="0.3">
      <c r="A4030" t="s">
        <v>1886</v>
      </c>
      <c r="B4030" t="s">
        <v>1887</v>
      </c>
      <c r="C4030">
        <v>30</v>
      </c>
      <c r="D4030" t="s">
        <v>1447</v>
      </c>
      <c r="E4030" t="s">
        <v>1856</v>
      </c>
      <c r="F4030" t="s">
        <v>1737</v>
      </c>
      <c r="K4030" t="str">
        <f>IF(ISBLANK('Q 5'!C1173),"",IF('Q 5'!C1173="&lt;please select&gt;","",'Q 5'!C1173))</f>
        <v>Category C</v>
      </c>
    </row>
    <row r="4031" spans="1:11" x14ac:dyDescent="0.3">
      <c r="A4031" t="s">
        <v>1886</v>
      </c>
      <c r="B4031" t="s">
        <v>1887</v>
      </c>
      <c r="C4031">
        <v>31</v>
      </c>
      <c r="D4031" t="s">
        <v>1447</v>
      </c>
      <c r="E4031" t="s">
        <v>1856</v>
      </c>
      <c r="F4031" t="s">
        <v>1737</v>
      </c>
      <c r="K4031" t="str">
        <f>IF(ISBLANK('Q 5'!C1174),"",IF('Q 5'!C1174="&lt;please select&gt;","",'Q 5'!C1174))</f>
        <v>Category C</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20 - Combustion of fuels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20 - Combustion of fuels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25 - Production or processing of ferrous metals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28 - Production or processing of non-ferrous metals as specified in Annex I of Directive 2003/87/EC</v>
      </c>
    </row>
    <row r="4075" spans="1:11" x14ac:dyDescent="0.3">
      <c r="A4075" t="s">
        <v>1886</v>
      </c>
      <c r="B4075" t="s">
        <v>1887</v>
      </c>
      <c r="C4075">
        <v>5</v>
      </c>
      <c r="D4075" t="s">
        <v>1447</v>
      </c>
      <c r="E4075" t="s">
        <v>1888</v>
      </c>
      <c r="F4075" t="s">
        <v>1737</v>
      </c>
      <c r="K4075" t="str">
        <f>IF(ISBLANK('Q 5'!D1148),"",IF('Q 5'!D1148="&lt;please select&gt;","",'Q 5'!D1148))</f>
        <v>31 - Manufacture of glass as specified in Annex I of Directive 2003/87/EC</v>
      </c>
    </row>
    <row r="4076" spans="1:11" x14ac:dyDescent="0.3">
      <c r="A4076" t="s">
        <v>1886</v>
      </c>
      <c r="B4076" t="s">
        <v>1887</v>
      </c>
      <c r="C4076">
        <v>6</v>
      </c>
      <c r="D4076" t="s">
        <v>1447</v>
      </c>
      <c r="E4076" t="s">
        <v>1888</v>
      </c>
      <c r="F4076" t="s">
        <v>1737</v>
      </c>
      <c r="K4076" t="str">
        <f>IF(ISBLANK('Q 5'!D1149),"",IF('Q 5'!D1149="&lt;please select&gt;","",'Q 5'!D1149))</f>
        <v>32 - Manufacture of ceramic products as specified in Annex I of Directive 2003/87/EC</v>
      </c>
    </row>
    <row r="4077" spans="1:11" x14ac:dyDescent="0.3">
      <c r="A4077" t="s">
        <v>1886</v>
      </c>
      <c r="B4077" t="s">
        <v>1887</v>
      </c>
      <c r="C4077">
        <v>7</v>
      </c>
      <c r="D4077" t="s">
        <v>1447</v>
      </c>
      <c r="E4077" t="s">
        <v>1888</v>
      </c>
      <c r="F4077" t="s">
        <v>1737</v>
      </c>
      <c r="K4077" t="str">
        <f>IF(ISBLANK('Q 5'!D1150),"",IF('Q 5'!D1150="&lt;please select&gt;","",'Q 5'!D1150))</f>
        <v>33 - Manufacture of mineral wool insulation material using glass, rock or slag as specified in Annex I of Directive 2003/87/EC</v>
      </c>
    </row>
    <row r="4078" spans="1:11" x14ac:dyDescent="0.3">
      <c r="A4078" t="s">
        <v>1886</v>
      </c>
      <c r="B4078" t="s">
        <v>1887</v>
      </c>
      <c r="C4078">
        <v>8</v>
      </c>
      <c r="D4078" t="s">
        <v>1447</v>
      </c>
      <c r="E4078" t="s">
        <v>1888</v>
      </c>
      <c r="F4078" t="s">
        <v>1737</v>
      </c>
      <c r="K4078" t="str">
        <f>IF(ISBLANK('Q 5'!D1151),"",IF('Q 5'!D1151="&lt;please select&gt;","",'Q 5'!D1151))</f>
        <v xml:space="preserve">36 - Production of paper or cardboard as specified in Annex I of Directive 2003/87/EC </v>
      </c>
    </row>
    <row r="4079" spans="1:11" x14ac:dyDescent="0.3">
      <c r="A4079" t="s">
        <v>1886</v>
      </c>
      <c r="B4079" t="s">
        <v>1887</v>
      </c>
      <c r="C4079">
        <v>9</v>
      </c>
      <c r="D4079" t="s">
        <v>1447</v>
      </c>
      <c r="E4079" t="s">
        <v>1888</v>
      </c>
      <c r="F4079" t="s">
        <v>1737</v>
      </c>
      <c r="K4079" t="str">
        <f>IF(ISBLANK('Q 5'!D1152),"",IF('Q 5'!D1152="&lt;please select&gt;","",'Q 5'!D1152))</f>
        <v>20 - Combustion of fuels as specified in Annex I of Directive 2003/87/EC</v>
      </c>
    </row>
    <row r="4080" spans="1:11" x14ac:dyDescent="0.3">
      <c r="A4080" t="s">
        <v>1886</v>
      </c>
      <c r="B4080" t="s">
        <v>1887</v>
      </c>
      <c r="C4080">
        <v>10</v>
      </c>
      <c r="D4080" t="s">
        <v>1447</v>
      </c>
      <c r="E4080" t="s">
        <v>1888</v>
      </c>
      <c r="F4080" t="s">
        <v>1737</v>
      </c>
      <c r="K4080" t="str">
        <f>IF(ISBLANK('Q 5'!D1153),"",IF('Q 5'!D1153="&lt;please select&gt;","",'Q 5'!D1153))</f>
        <v>20 - Combustion of fuels as specified in Annex I of Directive 2003/87/EC</v>
      </c>
    </row>
    <row r="4081" spans="1:11" x14ac:dyDescent="0.3">
      <c r="A4081" t="s">
        <v>1886</v>
      </c>
      <c r="B4081" t="s">
        <v>1887</v>
      </c>
      <c r="C4081">
        <v>11</v>
      </c>
      <c r="D4081" t="s">
        <v>1447</v>
      </c>
      <c r="E4081" t="s">
        <v>1888</v>
      </c>
      <c r="F4081" t="s">
        <v>1737</v>
      </c>
      <c r="K4081" t="str">
        <f>IF(ISBLANK('Q 5'!D1154),"",IF('Q 5'!D1154="&lt;please select&gt;","",'Q 5'!D1154))</f>
        <v xml:space="preserve">22 - Production of coke </v>
      </c>
    </row>
    <row r="4082" spans="1:11" x14ac:dyDescent="0.3">
      <c r="A4082" t="s">
        <v>1886</v>
      </c>
      <c r="B4082" t="s">
        <v>1887</v>
      </c>
      <c r="C4082">
        <v>12</v>
      </c>
      <c r="D4082" t="s">
        <v>1447</v>
      </c>
      <c r="E4082" t="s">
        <v>1888</v>
      </c>
      <c r="F4082" t="s">
        <v>1737</v>
      </c>
      <c r="K4082" t="str">
        <f>IF(ISBLANK('Q 5'!D1155),"",IF('Q 5'!D1155="&lt;please select&gt;","",'Q 5'!D1155))</f>
        <v>24 - Production of pig iron or steel as specified in Annex I of Directive 2003/87/EC</v>
      </c>
    </row>
    <row r="4083" spans="1:11" x14ac:dyDescent="0.3">
      <c r="A4083" t="s">
        <v>1886</v>
      </c>
      <c r="B4083" t="s">
        <v>1887</v>
      </c>
      <c r="C4083">
        <v>13</v>
      </c>
      <c r="D4083" t="s">
        <v>1447</v>
      </c>
      <c r="E4083" t="s">
        <v>1888</v>
      </c>
      <c r="F4083" t="s">
        <v>1737</v>
      </c>
      <c r="K4083" t="str">
        <f>IF(ISBLANK('Q 5'!D1156),"",IF('Q 5'!D1156="&lt;please select&gt;","",'Q 5'!D1156))</f>
        <v>24 - Production of pig iron or steel as specified in Annex I of Directive 2003/87/EC</v>
      </c>
    </row>
    <row r="4084" spans="1:11" x14ac:dyDescent="0.3">
      <c r="A4084" t="s">
        <v>1886</v>
      </c>
      <c r="B4084" t="s">
        <v>1887</v>
      </c>
      <c r="C4084">
        <v>14</v>
      </c>
      <c r="D4084" t="s">
        <v>1447</v>
      </c>
      <c r="E4084" t="s">
        <v>1888</v>
      </c>
      <c r="F4084" t="s">
        <v>1737</v>
      </c>
      <c r="K4084" t="str">
        <f>IF(ISBLANK('Q 5'!D1157),"",IF('Q 5'!D1157="&lt;please select&gt;","",'Q 5'!D1157))</f>
        <v>24 - Production of pig iron or steel as specified in Annex I of Directive 2003/87/EC</v>
      </c>
    </row>
    <row r="4085" spans="1:11" x14ac:dyDescent="0.3">
      <c r="A4085" t="s">
        <v>1886</v>
      </c>
      <c r="B4085" t="s">
        <v>1887</v>
      </c>
      <c r="C4085">
        <v>15</v>
      </c>
      <c r="D4085" t="s">
        <v>1447</v>
      </c>
      <c r="E4085" t="s">
        <v>1888</v>
      </c>
      <c r="F4085" t="s">
        <v>1737</v>
      </c>
      <c r="K4085" t="str">
        <f>IF(ISBLANK('Q 5'!D1158),"",IF('Q 5'!D1158="&lt;please select&gt;","",'Q 5'!D1158))</f>
        <v>28 - Production or processing of non-ferrous metals as specified in Annex I of Directive 2003/87/EC</v>
      </c>
    </row>
    <row r="4086" spans="1:11" x14ac:dyDescent="0.3">
      <c r="A4086" t="s">
        <v>1886</v>
      </c>
      <c r="B4086" t="s">
        <v>1887</v>
      </c>
      <c r="C4086">
        <v>16</v>
      </c>
      <c r="D4086" t="s">
        <v>1447</v>
      </c>
      <c r="E4086" t="s">
        <v>1888</v>
      </c>
      <c r="F4086" t="s">
        <v>1737</v>
      </c>
      <c r="K4086" t="str">
        <f>IF(ISBLANK('Q 5'!D1159),"",IF('Q 5'!D1159="&lt;please select&gt;","",'Q 5'!D1159))</f>
        <v>29 - Production of cement clinker in rotary kilns as specified in Annex I of Directive 2003/87/ EC</v>
      </c>
    </row>
    <row r="4087" spans="1:11" x14ac:dyDescent="0.3">
      <c r="A4087" t="s">
        <v>1886</v>
      </c>
      <c r="B4087" t="s">
        <v>1887</v>
      </c>
      <c r="C4087">
        <v>17</v>
      </c>
      <c r="D4087" t="s">
        <v>1447</v>
      </c>
      <c r="E4087" t="s">
        <v>1888</v>
      </c>
      <c r="F4087" t="s">
        <v>1737</v>
      </c>
      <c r="K4087" t="str">
        <f>IF(ISBLANK('Q 5'!D1160),"",IF('Q 5'!D1160="&lt;please select&gt;","",'Q 5'!D1160))</f>
        <v>30 - Production of lime or calcination of dolomite or magnesite as specified in Annex I of Directive 2003/87/ EC</v>
      </c>
    </row>
    <row r="4088" spans="1:11" x14ac:dyDescent="0.3">
      <c r="A4088" t="s">
        <v>1886</v>
      </c>
      <c r="B4088" t="s">
        <v>1887</v>
      </c>
      <c r="C4088">
        <v>18</v>
      </c>
      <c r="D4088" t="s">
        <v>1447</v>
      </c>
      <c r="E4088" t="s">
        <v>1888</v>
      </c>
      <c r="F4088" t="s">
        <v>1737</v>
      </c>
      <c r="K4088" t="str">
        <f>IF(ISBLANK('Q 5'!D1161),"",IF('Q 5'!D1161="&lt;please select&gt;","",'Q 5'!D1161))</f>
        <v>31 - Manufacture of glass as specified in Annex I of Directive 2003/87/EC</v>
      </c>
    </row>
    <row r="4089" spans="1:11" x14ac:dyDescent="0.3">
      <c r="A4089" t="s">
        <v>1886</v>
      </c>
      <c r="B4089" t="s">
        <v>1887</v>
      </c>
      <c r="C4089">
        <v>19</v>
      </c>
      <c r="D4089" t="s">
        <v>1447</v>
      </c>
      <c r="E4089" t="s">
        <v>1888</v>
      </c>
      <c r="F4089" t="s">
        <v>1737</v>
      </c>
      <c r="K4089" t="str">
        <f>IF(ISBLANK('Q 5'!D1162),"",IF('Q 5'!D1162="&lt;please select&gt;","",'Q 5'!D1162))</f>
        <v>31 - Manufacture of glass as specified in Annex I of Directive 2003/87/EC</v>
      </c>
    </row>
    <row r="4090" spans="1:11" x14ac:dyDescent="0.3">
      <c r="A4090" t="s">
        <v>1886</v>
      </c>
      <c r="B4090" t="s">
        <v>1887</v>
      </c>
      <c r="C4090">
        <v>20</v>
      </c>
      <c r="D4090" t="s">
        <v>1447</v>
      </c>
      <c r="E4090" t="s">
        <v>1888</v>
      </c>
      <c r="F4090" t="s">
        <v>1737</v>
      </c>
      <c r="K4090" t="str">
        <f>IF(ISBLANK('Q 5'!D1163),"",IF('Q 5'!D1163="&lt;please select&gt;","",'Q 5'!D1163))</f>
        <v>33 - Manufacture of mineral wool insulation material using glass, rock or slag as specified in Annex I of Directive 2003/87/EC</v>
      </c>
    </row>
    <row r="4091" spans="1:11" x14ac:dyDescent="0.3">
      <c r="A4091" t="s">
        <v>1886</v>
      </c>
      <c r="B4091" t="s">
        <v>1887</v>
      </c>
      <c r="C4091">
        <v>21</v>
      </c>
      <c r="D4091" t="s">
        <v>1447</v>
      </c>
      <c r="E4091" t="s">
        <v>1888</v>
      </c>
      <c r="F4091" t="s">
        <v>1737</v>
      </c>
      <c r="K4091" t="str">
        <f>IF(ISBLANK('Q 5'!D1164),"",IF('Q 5'!D1164="&lt;please select&gt;","",'Q 5'!D1164))</f>
        <v xml:space="preserve">36 - Production of paper or cardboard as specified in Annex I of Directive 2003/87/EC </v>
      </c>
    </row>
    <row r="4092" spans="1:11" x14ac:dyDescent="0.3">
      <c r="A4092" t="s">
        <v>1886</v>
      </c>
      <c r="B4092" t="s">
        <v>1887</v>
      </c>
      <c r="C4092">
        <v>22</v>
      </c>
      <c r="D4092" t="s">
        <v>1447</v>
      </c>
      <c r="E4092" t="s">
        <v>1888</v>
      </c>
      <c r="F4092" t="s">
        <v>1737</v>
      </c>
      <c r="K4092" t="str">
        <f>IF(ISBLANK('Q 5'!D1165),"",IF('Q 5'!D1165="&lt;please select&gt;","",'Q 5'!D1165))</f>
        <v xml:space="preserve">42 - Production of bulk organic chemicals as specified in Annex I of Directive 2003/87/EC </v>
      </c>
    </row>
    <row r="4093" spans="1:11" x14ac:dyDescent="0.3">
      <c r="A4093" t="s">
        <v>1886</v>
      </c>
      <c r="B4093" t="s">
        <v>1887</v>
      </c>
      <c r="C4093">
        <v>23</v>
      </c>
      <c r="D4093" t="s">
        <v>1447</v>
      </c>
      <c r="E4093" t="s">
        <v>1888</v>
      </c>
      <c r="F4093" t="s">
        <v>1737</v>
      </c>
      <c r="K4093" t="str">
        <f>IF(ISBLANK('Q 5'!D1166),"",IF('Q 5'!D1166="&lt;please select&gt;","",'Q 5'!D1166))</f>
        <v>20 - Combustion of fuels as specified in Annex I of Directive 2003/87/EC</v>
      </c>
    </row>
    <row r="4094" spans="1:11" x14ac:dyDescent="0.3">
      <c r="A4094" t="s">
        <v>1886</v>
      </c>
      <c r="B4094" t="s">
        <v>1887</v>
      </c>
      <c r="C4094">
        <v>24</v>
      </c>
      <c r="D4094" t="s">
        <v>1447</v>
      </c>
      <c r="E4094" t="s">
        <v>1888</v>
      </c>
      <c r="F4094" t="s">
        <v>1737</v>
      </c>
      <c r="K4094" t="str">
        <f>IF(ISBLANK('Q 5'!D1167),"",IF('Q 5'!D1167="&lt;please select&gt;","",'Q 5'!D1167))</f>
        <v>20 - Combustion of fuels as specified in Annex I of Directive 2003/87/EC</v>
      </c>
    </row>
    <row r="4095" spans="1:11" x14ac:dyDescent="0.3">
      <c r="A4095" t="s">
        <v>1886</v>
      </c>
      <c r="B4095" t="s">
        <v>1887</v>
      </c>
      <c r="C4095">
        <v>25</v>
      </c>
      <c r="D4095" t="s">
        <v>1447</v>
      </c>
      <c r="E4095" t="s">
        <v>1888</v>
      </c>
      <c r="F4095" t="s">
        <v>1737</v>
      </c>
      <c r="K4095" t="str">
        <f>IF(ISBLANK('Q 5'!D1168),"",IF('Q 5'!D1168="&lt;please select&gt;","",'Q 5'!D1168))</f>
        <v>21 - Refining of mineral oil</v>
      </c>
    </row>
    <row r="4096" spans="1:11" x14ac:dyDescent="0.3">
      <c r="A4096" t="s">
        <v>1886</v>
      </c>
      <c r="B4096" t="s">
        <v>1887</v>
      </c>
      <c r="C4096">
        <v>26</v>
      </c>
      <c r="D4096" t="s">
        <v>1447</v>
      </c>
      <c r="E4096" t="s">
        <v>1888</v>
      </c>
      <c r="F4096" t="s">
        <v>1737</v>
      </c>
      <c r="K4096" t="str">
        <f>IF(ISBLANK('Q 5'!D1169),"",IF('Q 5'!D1169="&lt;please select&gt;","",'Q 5'!D1169))</f>
        <v>21 - Refining of mineral oil</v>
      </c>
    </row>
    <row r="4097" spans="1:11" x14ac:dyDescent="0.3">
      <c r="A4097" t="s">
        <v>1886</v>
      </c>
      <c r="B4097" t="s">
        <v>1887</v>
      </c>
      <c r="C4097">
        <v>27</v>
      </c>
      <c r="D4097" t="s">
        <v>1447</v>
      </c>
      <c r="E4097" t="s">
        <v>1888</v>
      </c>
      <c r="F4097" t="s">
        <v>1737</v>
      </c>
      <c r="K4097" t="str">
        <f>IF(ISBLANK('Q 5'!D1170),"",IF('Q 5'!D1170="&lt;please select&gt;","",'Q 5'!D1170))</f>
        <v>24 - Production of pig iron or steel as specified in Annex I of Directive 2003/87/EC</v>
      </c>
    </row>
    <row r="4098" spans="1:11" x14ac:dyDescent="0.3">
      <c r="A4098" t="s">
        <v>1886</v>
      </c>
      <c r="B4098" t="s">
        <v>1887</v>
      </c>
      <c r="C4098">
        <v>28</v>
      </c>
      <c r="D4098" t="s">
        <v>1447</v>
      </c>
      <c r="E4098" t="s">
        <v>1888</v>
      </c>
      <c r="F4098" t="s">
        <v>1737</v>
      </c>
      <c r="K4098" t="str">
        <f>IF(ISBLANK('Q 5'!D1171),"",IF('Q 5'!D1171="&lt;please select&gt;","",'Q 5'!D1171))</f>
        <v>29 - Production of cement clinker in rotary kilns as specified in Annex I of Directive 2003/87/ EC</v>
      </c>
    </row>
    <row r="4099" spans="1:11" x14ac:dyDescent="0.3">
      <c r="A4099" t="s">
        <v>1886</v>
      </c>
      <c r="B4099" t="s">
        <v>1887</v>
      </c>
      <c r="C4099">
        <v>29</v>
      </c>
      <c r="D4099" t="s">
        <v>1447</v>
      </c>
      <c r="E4099" t="s">
        <v>1888</v>
      </c>
      <c r="F4099" t="s">
        <v>1737</v>
      </c>
      <c r="K4099" t="str">
        <f>IF(ISBLANK('Q 5'!D1172),"",IF('Q 5'!D1172="&lt;please select&gt;","",'Q 5'!D1172))</f>
        <v>29 - Production of cement clinker in rotary kilns as specified in Annex I of Directive 2003/87/ EC</v>
      </c>
    </row>
    <row r="4100" spans="1:11" x14ac:dyDescent="0.3">
      <c r="A4100" t="s">
        <v>1886</v>
      </c>
      <c r="B4100" t="s">
        <v>1887</v>
      </c>
      <c r="C4100">
        <v>30</v>
      </c>
      <c r="D4100" t="s">
        <v>1447</v>
      </c>
      <c r="E4100" t="s">
        <v>1888</v>
      </c>
      <c r="F4100" t="s">
        <v>1737</v>
      </c>
      <c r="K4100" t="str">
        <f>IF(ISBLANK('Q 5'!D1173),"",IF('Q 5'!D1173="&lt;please select&gt;","",'Q 5'!D1173))</f>
        <v xml:space="preserve">38 - Production of nitric acid </v>
      </c>
    </row>
    <row r="4101" spans="1:11" x14ac:dyDescent="0.3">
      <c r="A4101" t="s">
        <v>1886</v>
      </c>
      <c r="B4101" t="s">
        <v>1887</v>
      </c>
      <c r="C4101">
        <v>31</v>
      </c>
      <c r="D4101" t="s">
        <v>1447</v>
      </c>
      <c r="E4101" t="s">
        <v>1888</v>
      </c>
      <c r="F4101" t="s">
        <v>1737</v>
      </c>
      <c r="K4101" t="str">
        <f>IF(ISBLANK('Q 5'!D1174),"",IF('Q 5'!D1174="&lt;please select&gt;","",'Q 5'!D1174))</f>
        <v xml:space="preserve">42 - Production of bulk organic chemicals as specified in Annex I of Directive 2003/87/EC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in accordance with Article 69(1)</v>
      </c>
    </row>
    <row r="4142" spans="1:11" x14ac:dyDescent="0.3">
      <c r="A4142" t="s">
        <v>1886</v>
      </c>
      <c r="B4142" t="s">
        <v>1887</v>
      </c>
      <c r="C4142">
        <v>2</v>
      </c>
      <c r="D4142" t="s">
        <v>1447</v>
      </c>
      <c r="E4142" t="s">
        <v>1889</v>
      </c>
      <c r="F4142" t="s">
        <v>1737</v>
      </c>
      <c r="K4142" t="str">
        <f>IF(ISBLANK('Q 5'!F1145),"",IF('Q 5'!F1145="&lt;please select&gt;","",'Q 5'!F1145))</f>
        <v>Improvement report according to Article 69(4)</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Improvement report according to Article 69(4)</v>
      </c>
    </row>
    <row r="4145" spans="1:11" x14ac:dyDescent="0.3">
      <c r="A4145" t="s">
        <v>1886</v>
      </c>
      <c r="B4145" t="s">
        <v>1887</v>
      </c>
      <c r="C4145">
        <v>5</v>
      </c>
      <c r="D4145" t="s">
        <v>1447</v>
      </c>
      <c r="E4145" t="s">
        <v>1889</v>
      </c>
      <c r="F4145" t="s">
        <v>1737</v>
      </c>
      <c r="K4145" t="str">
        <f>IF(ISBLANK('Q 5'!F1148),"",IF('Q 5'!F1148="&lt;please select&gt;","",'Q 5'!F1148))</f>
        <v>Improvement report according to Article 69(4)</v>
      </c>
    </row>
    <row r="4146" spans="1:11" x14ac:dyDescent="0.3">
      <c r="A4146" t="s">
        <v>1886</v>
      </c>
      <c r="B4146" t="s">
        <v>1887</v>
      </c>
      <c r="C4146">
        <v>6</v>
      </c>
      <c r="D4146" t="s">
        <v>1447</v>
      </c>
      <c r="E4146" t="s">
        <v>1889</v>
      </c>
      <c r="F4146" t="s">
        <v>1737</v>
      </c>
      <c r="K4146" t="str">
        <f>IF(ISBLANK('Q 5'!F1149),"",IF('Q 5'!F1149="&lt;please select&gt;","",'Q 5'!F1149))</f>
        <v>Improvement report according to Article 69(4)</v>
      </c>
    </row>
    <row r="4147" spans="1:11" x14ac:dyDescent="0.3">
      <c r="A4147" t="s">
        <v>1886</v>
      </c>
      <c r="B4147" t="s">
        <v>1887</v>
      </c>
      <c r="C4147">
        <v>7</v>
      </c>
      <c r="D4147" t="s">
        <v>1447</v>
      </c>
      <c r="E4147" t="s">
        <v>1889</v>
      </c>
      <c r="F4147" t="s">
        <v>1737</v>
      </c>
      <c r="K4147" t="str">
        <f>IF(ISBLANK('Q 5'!F1150),"",IF('Q 5'!F1150="&lt;please select&gt;","",'Q 5'!F1150))</f>
        <v>Improvement report according to Article 69(4)</v>
      </c>
    </row>
    <row r="4148" spans="1:11" x14ac:dyDescent="0.3">
      <c r="A4148" t="s">
        <v>1886</v>
      </c>
      <c r="B4148" t="s">
        <v>1887</v>
      </c>
      <c r="C4148">
        <v>8</v>
      </c>
      <c r="D4148" t="s">
        <v>1447</v>
      </c>
      <c r="E4148" t="s">
        <v>1889</v>
      </c>
      <c r="F4148" t="s">
        <v>1737</v>
      </c>
      <c r="K4148" t="str">
        <f>IF(ISBLANK('Q 5'!F1151),"",IF('Q 5'!F1151="&lt;please select&gt;","",'Q 5'!F1151))</f>
        <v>Improvement report according to Article 69(4)</v>
      </c>
    </row>
    <row r="4149" spans="1:11" x14ac:dyDescent="0.3">
      <c r="A4149" t="s">
        <v>1886</v>
      </c>
      <c r="B4149" t="s">
        <v>1887</v>
      </c>
      <c r="C4149">
        <v>9</v>
      </c>
      <c r="D4149" t="s">
        <v>1447</v>
      </c>
      <c r="E4149" t="s">
        <v>1889</v>
      </c>
      <c r="F4149" t="s">
        <v>1737</v>
      </c>
      <c r="K4149" t="str">
        <f>IF(ISBLANK('Q 5'!F1152),"",IF('Q 5'!F1152="&lt;please select&gt;","",'Q 5'!F1152))</f>
        <v>Improvement report in accordance with Article 69(1)</v>
      </c>
    </row>
    <row r="4150" spans="1:11" x14ac:dyDescent="0.3">
      <c r="A4150" t="s">
        <v>1886</v>
      </c>
      <c r="B4150" t="s">
        <v>1887</v>
      </c>
      <c r="C4150">
        <v>10</v>
      </c>
      <c r="D4150" t="s">
        <v>1447</v>
      </c>
      <c r="E4150" t="s">
        <v>1889</v>
      </c>
      <c r="F4150" t="s">
        <v>1737</v>
      </c>
      <c r="K4150" t="str">
        <f>IF(ISBLANK('Q 5'!F1153),"",IF('Q 5'!F1153="&lt;please select&gt;","",'Q 5'!F1153))</f>
        <v>Improvement report according to Article 69(4)</v>
      </c>
    </row>
    <row r="4151" spans="1:11" x14ac:dyDescent="0.3">
      <c r="A4151" t="s">
        <v>1886</v>
      </c>
      <c r="B4151" t="s">
        <v>1887</v>
      </c>
      <c r="C4151">
        <v>11</v>
      </c>
      <c r="D4151" t="s">
        <v>1447</v>
      </c>
      <c r="E4151" t="s">
        <v>1889</v>
      </c>
      <c r="F4151" t="s">
        <v>1737</v>
      </c>
      <c r="K4151" t="str">
        <f>IF(ISBLANK('Q 5'!F1154),"",IF('Q 5'!F1154="&lt;please select&gt;","",'Q 5'!F1154))</f>
        <v>Improvement report in accordance with Article 69(1)</v>
      </c>
    </row>
    <row r="4152" spans="1:11" x14ac:dyDescent="0.3">
      <c r="A4152" t="s">
        <v>1886</v>
      </c>
      <c r="B4152" t="s">
        <v>1887</v>
      </c>
      <c r="C4152">
        <v>12</v>
      </c>
      <c r="D4152" t="s">
        <v>1447</v>
      </c>
      <c r="E4152" t="s">
        <v>1889</v>
      </c>
      <c r="F4152" t="s">
        <v>1737</v>
      </c>
      <c r="K4152" t="str">
        <f>IF(ISBLANK('Q 5'!F1155),"",IF('Q 5'!F1155="&lt;please select&gt;","",'Q 5'!F1155))</f>
        <v>Improvement report in accordance with Article 69(1)</v>
      </c>
    </row>
    <row r="4153" spans="1:11" x14ac:dyDescent="0.3">
      <c r="A4153" t="s">
        <v>1886</v>
      </c>
      <c r="B4153" t="s">
        <v>1887</v>
      </c>
      <c r="C4153">
        <v>13</v>
      </c>
      <c r="D4153" t="s">
        <v>1447</v>
      </c>
      <c r="E4153" t="s">
        <v>1889</v>
      </c>
      <c r="F4153" t="s">
        <v>1737</v>
      </c>
      <c r="K4153" t="str">
        <f>IF(ISBLANK('Q 5'!F1156),"",IF('Q 5'!F1156="&lt;please select&gt;","",'Q 5'!F1156))</f>
        <v>Improvement report in accordance with Article 69(3)</v>
      </c>
    </row>
    <row r="4154" spans="1:11" x14ac:dyDescent="0.3">
      <c r="A4154" t="s">
        <v>1886</v>
      </c>
      <c r="B4154" t="s">
        <v>1887</v>
      </c>
      <c r="C4154">
        <v>14</v>
      </c>
      <c r="D4154" t="s">
        <v>1447</v>
      </c>
      <c r="E4154" t="s">
        <v>1889</v>
      </c>
      <c r="F4154" t="s">
        <v>1737</v>
      </c>
      <c r="K4154" t="str">
        <f>IF(ISBLANK('Q 5'!F1157),"",IF('Q 5'!F1157="&lt;please select&gt;","",'Q 5'!F1157))</f>
        <v>Improvement report according to Article 69(4)</v>
      </c>
    </row>
    <row r="4155" spans="1:11" x14ac:dyDescent="0.3">
      <c r="A4155" t="s">
        <v>1886</v>
      </c>
      <c r="B4155" t="s">
        <v>1887</v>
      </c>
      <c r="C4155">
        <v>15</v>
      </c>
      <c r="D4155" t="s">
        <v>1447</v>
      </c>
      <c r="E4155" t="s">
        <v>1889</v>
      </c>
      <c r="F4155" t="s">
        <v>1737</v>
      </c>
      <c r="K4155" t="str">
        <f>IF(ISBLANK('Q 5'!F1158),"",IF('Q 5'!F1158="&lt;please select&gt;","",'Q 5'!F1158))</f>
        <v>Improvement report according to Article 69(4)</v>
      </c>
    </row>
    <row r="4156" spans="1:11" x14ac:dyDescent="0.3">
      <c r="A4156" t="s">
        <v>1886</v>
      </c>
      <c r="B4156" t="s">
        <v>1887</v>
      </c>
      <c r="C4156">
        <v>16</v>
      </c>
      <c r="D4156" t="s">
        <v>1447</v>
      </c>
      <c r="E4156" t="s">
        <v>1889</v>
      </c>
      <c r="F4156" t="s">
        <v>1737</v>
      </c>
      <c r="K4156" t="str">
        <f>IF(ISBLANK('Q 5'!F1159),"",IF('Q 5'!F1159="&lt;please select&gt;","",'Q 5'!F1159))</f>
        <v>Improvement report according to Article 69(4)</v>
      </c>
    </row>
    <row r="4157" spans="1:11" x14ac:dyDescent="0.3">
      <c r="A4157" t="s">
        <v>1886</v>
      </c>
      <c r="B4157" t="s">
        <v>1887</v>
      </c>
      <c r="C4157">
        <v>17</v>
      </c>
      <c r="D4157" t="s">
        <v>1447</v>
      </c>
      <c r="E4157" t="s">
        <v>1889</v>
      </c>
      <c r="F4157" t="s">
        <v>1737</v>
      </c>
      <c r="K4157" t="str">
        <f>IF(ISBLANK('Q 5'!F1160),"",IF('Q 5'!F1160="&lt;please select&gt;","",'Q 5'!F1160))</f>
        <v>Improvement report in accordance with Article 69(1)</v>
      </c>
    </row>
    <row r="4158" spans="1:11" x14ac:dyDescent="0.3">
      <c r="A4158" t="s">
        <v>1886</v>
      </c>
      <c r="B4158" t="s">
        <v>1887</v>
      </c>
      <c r="C4158">
        <v>18</v>
      </c>
      <c r="D4158" t="s">
        <v>1447</v>
      </c>
      <c r="E4158" t="s">
        <v>1889</v>
      </c>
      <c r="F4158" t="s">
        <v>1737</v>
      </c>
      <c r="K4158" t="str">
        <f>IF(ISBLANK('Q 5'!F1161),"",IF('Q 5'!F1161="&lt;please select&gt;","",'Q 5'!F1161))</f>
        <v>Improvement report in accordance with Article 69(1)</v>
      </c>
    </row>
    <row r="4159" spans="1:11" x14ac:dyDescent="0.3">
      <c r="A4159" t="s">
        <v>1886</v>
      </c>
      <c r="B4159" t="s">
        <v>1887</v>
      </c>
      <c r="C4159">
        <v>19</v>
      </c>
      <c r="D4159" t="s">
        <v>1447</v>
      </c>
      <c r="E4159" t="s">
        <v>1889</v>
      </c>
      <c r="F4159" t="s">
        <v>1737</v>
      </c>
      <c r="K4159" t="str">
        <f>IF(ISBLANK('Q 5'!F1162),"",IF('Q 5'!F1162="&lt;please select&gt;","",'Q 5'!F1162))</f>
        <v>Improvement report according to Article 69(4)</v>
      </c>
    </row>
    <row r="4160" spans="1:11" x14ac:dyDescent="0.3">
      <c r="A4160" t="s">
        <v>1886</v>
      </c>
      <c r="B4160" t="s">
        <v>1887</v>
      </c>
      <c r="C4160">
        <v>20</v>
      </c>
      <c r="D4160" t="s">
        <v>1447</v>
      </c>
      <c r="E4160" t="s">
        <v>1889</v>
      </c>
      <c r="F4160" t="s">
        <v>1737</v>
      </c>
      <c r="K4160" t="str">
        <f>IF(ISBLANK('Q 5'!F1163),"",IF('Q 5'!F1163="&lt;please select&gt;","",'Q 5'!F1163))</f>
        <v>Improvement report according to Article 69(4)</v>
      </c>
    </row>
    <row r="4161" spans="1:11" x14ac:dyDescent="0.3">
      <c r="A4161" t="s">
        <v>1886</v>
      </c>
      <c r="B4161" t="s">
        <v>1887</v>
      </c>
      <c r="C4161">
        <v>21</v>
      </c>
      <c r="D4161" t="s">
        <v>1447</v>
      </c>
      <c r="E4161" t="s">
        <v>1889</v>
      </c>
      <c r="F4161" t="s">
        <v>1737</v>
      </c>
      <c r="K4161" t="str">
        <f>IF(ISBLANK('Q 5'!F1164),"",IF('Q 5'!F1164="&lt;please select&gt;","",'Q 5'!F1164))</f>
        <v>Improvement report according to Article 69(4)</v>
      </c>
    </row>
    <row r="4162" spans="1:11" x14ac:dyDescent="0.3">
      <c r="A4162" t="s">
        <v>1886</v>
      </c>
      <c r="B4162" t="s">
        <v>1887</v>
      </c>
      <c r="C4162">
        <v>22</v>
      </c>
      <c r="D4162" t="s">
        <v>1447</v>
      </c>
      <c r="E4162" t="s">
        <v>1889</v>
      </c>
      <c r="F4162" t="s">
        <v>1737</v>
      </c>
      <c r="K4162" t="str">
        <f>IF(ISBLANK('Q 5'!F1165),"",IF('Q 5'!F1165="&lt;please select&gt;","",'Q 5'!F1165))</f>
        <v>Improvement report in accordance with Article 69(1)</v>
      </c>
    </row>
    <row r="4163" spans="1:11" x14ac:dyDescent="0.3">
      <c r="A4163" t="s">
        <v>1886</v>
      </c>
      <c r="B4163" t="s">
        <v>1887</v>
      </c>
      <c r="C4163">
        <v>23</v>
      </c>
      <c r="D4163" t="s">
        <v>1447</v>
      </c>
      <c r="E4163" t="s">
        <v>1889</v>
      </c>
      <c r="F4163" t="s">
        <v>1737</v>
      </c>
      <c r="K4163" t="str">
        <f>IF(ISBLANK('Q 5'!F1166),"",IF('Q 5'!F1166="&lt;please select&gt;","",'Q 5'!F1166))</f>
        <v>Improvement report in accordance with Article 69(1)</v>
      </c>
    </row>
    <row r="4164" spans="1:11" x14ac:dyDescent="0.3">
      <c r="A4164" t="s">
        <v>1886</v>
      </c>
      <c r="B4164" t="s">
        <v>1887</v>
      </c>
      <c r="C4164">
        <v>24</v>
      </c>
      <c r="D4164" t="s">
        <v>1447</v>
      </c>
      <c r="E4164" t="s">
        <v>1889</v>
      </c>
      <c r="F4164" t="s">
        <v>1737</v>
      </c>
      <c r="K4164" t="str">
        <f>IF(ISBLANK('Q 5'!F1167),"",IF('Q 5'!F1167="&lt;please select&gt;","",'Q 5'!F1167))</f>
        <v>Improvement report according to Article 69(4)</v>
      </c>
    </row>
    <row r="4165" spans="1:11" x14ac:dyDescent="0.3">
      <c r="A4165" t="s">
        <v>1886</v>
      </c>
      <c r="B4165" t="s">
        <v>1887</v>
      </c>
      <c r="C4165">
        <v>25</v>
      </c>
      <c r="D4165" t="s">
        <v>1447</v>
      </c>
      <c r="E4165" t="s">
        <v>1889</v>
      </c>
      <c r="F4165" t="s">
        <v>1737</v>
      </c>
      <c r="K4165" t="str">
        <f>IF(ISBLANK('Q 5'!F1168),"",IF('Q 5'!F1168="&lt;please select&gt;","",'Q 5'!F1168))</f>
        <v>Improvement report in accordance with Article 69(1)</v>
      </c>
    </row>
    <row r="4166" spans="1:11" x14ac:dyDescent="0.3">
      <c r="A4166" t="s">
        <v>1886</v>
      </c>
      <c r="B4166" t="s">
        <v>1887</v>
      </c>
      <c r="C4166">
        <v>26</v>
      </c>
      <c r="D4166" t="s">
        <v>1447</v>
      </c>
      <c r="E4166" t="s">
        <v>1889</v>
      </c>
      <c r="F4166" t="s">
        <v>1737</v>
      </c>
      <c r="K4166" t="str">
        <f>IF(ISBLANK('Q 5'!F1169),"",IF('Q 5'!F1169="&lt;please select&gt;","",'Q 5'!F1169))</f>
        <v>Improvement report in accordance with Article 69(3)</v>
      </c>
    </row>
    <row r="4167" spans="1:11" x14ac:dyDescent="0.3">
      <c r="A4167" t="s">
        <v>1886</v>
      </c>
      <c r="B4167" t="s">
        <v>1887</v>
      </c>
      <c r="C4167">
        <v>27</v>
      </c>
      <c r="D4167" t="s">
        <v>1447</v>
      </c>
      <c r="E4167" t="s">
        <v>1889</v>
      </c>
      <c r="F4167" t="s">
        <v>1737</v>
      </c>
      <c r="K4167" t="str">
        <f>IF(ISBLANK('Q 5'!F1170),"",IF('Q 5'!F1170="&lt;please select&gt;","",'Q 5'!F1170))</f>
        <v>Improvement report according to Article 69(4)</v>
      </c>
    </row>
    <row r="4168" spans="1:11" x14ac:dyDescent="0.3">
      <c r="A4168" t="s">
        <v>1886</v>
      </c>
      <c r="B4168" t="s">
        <v>1887</v>
      </c>
      <c r="C4168">
        <v>28</v>
      </c>
      <c r="D4168" t="s">
        <v>1447</v>
      </c>
      <c r="E4168" t="s">
        <v>1889</v>
      </c>
      <c r="F4168" t="s">
        <v>1737</v>
      </c>
      <c r="K4168" t="str">
        <f>IF(ISBLANK('Q 5'!F1171),"",IF('Q 5'!F1171="&lt;please select&gt;","",'Q 5'!F1171))</f>
        <v>Improvement report in accordance with Article 69(1)</v>
      </c>
    </row>
    <row r="4169" spans="1:11" x14ac:dyDescent="0.3">
      <c r="A4169" t="s">
        <v>1886</v>
      </c>
      <c r="B4169" t="s">
        <v>1887</v>
      </c>
      <c r="C4169">
        <v>29</v>
      </c>
      <c r="D4169" t="s">
        <v>1447</v>
      </c>
      <c r="E4169" t="s">
        <v>1889</v>
      </c>
      <c r="F4169" t="s">
        <v>1737</v>
      </c>
      <c r="K4169" t="str">
        <f>IF(ISBLANK('Q 5'!F1172),"",IF('Q 5'!F1172="&lt;please select&gt;","",'Q 5'!F1172))</f>
        <v>Improvement report according to Article 69(4)</v>
      </c>
    </row>
    <row r="4170" spans="1:11" x14ac:dyDescent="0.3">
      <c r="A4170" t="s">
        <v>1886</v>
      </c>
      <c r="B4170" t="s">
        <v>1887</v>
      </c>
      <c r="C4170">
        <v>30</v>
      </c>
      <c r="D4170" t="s">
        <v>1447</v>
      </c>
      <c r="E4170" t="s">
        <v>1889</v>
      </c>
      <c r="F4170" t="s">
        <v>1737</v>
      </c>
      <c r="K4170" t="str">
        <f>IF(ISBLANK('Q 5'!F1173),"",IF('Q 5'!F1173="&lt;please select&gt;","",'Q 5'!F1173))</f>
        <v>Improvement report according to Article 69(4)</v>
      </c>
    </row>
    <row r="4171" spans="1:11" x14ac:dyDescent="0.3">
      <c r="A4171" t="s">
        <v>1886</v>
      </c>
      <c r="B4171" t="s">
        <v>1887</v>
      </c>
      <c r="C4171">
        <v>31</v>
      </c>
      <c r="D4171" t="s">
        <v>1447</v>
      </c>
      <c r="E4171" t="s">
        <v>1889</v>
      </c>
      <c r="F4171" t="s">
        <v>1737</v>
      </c>
      <c r="K4171" t="str">
        <f>IF(ISBLANK('Q 5'!F1174),"",IF('Q 5'!F1174="&lt;please select&gt;","",'Q 5'!F1174))</f>
        <v>Improvement report in accordance with Article 69(1)</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14</v>
      </c>
    </row>
    <row r="4212" spans="1:11" x14ac:dyDescent="0.3">
      <c r="A4212" t="s">
        <v>1886</v>
      </c>
      <c r="B4212" t="s">
        <v>1887</v>
      </c>
      <c r="C4212">
        <v>2</v>
      </c>
      <c r="D4212" t="s">
        <v>1447</v>
      </c>
      <c r="E4212" t="s">
        <v>1890</v>
      </c>
      <c r="F4212" t="s">
        <v>1748</v>
      </c>
      <c r="H4212" t="str">
        <f>IF(ISBLANK('Q 5'!H1145),"",IF('Q 5'!H1145="&lt;please select&gt;","",'Q 5'!H1145))</f>
        <v>40</v>
      </c>
    </row>
    <row r="4213" spans="1:11" x14ac:dyDescent="0.3">
      <c r="A4213" t="s">
        <v>1886</v>
      </c>
      <c r="B4213" t="s">
        <v>1887</v>
      </c>
      <c r="C4213">
        <v>3</v>
      </c>
      <c r="D4213" t="s">
        <v>1447</v>
      </c>
      <c r="E4213" t="s">
        <v>1890</v>
      </c>
      <c r="F4213" t="s">
        <v>1748</v>
      </c>
      <c r="H4213" t="str">
        <f>IF(ISBLANK('Q 5'!H1146),"",IF('Q 5'!H1146="&lt;please select&gt;","",'Q 5'!H1146))</f>
        <v>4</v>
      </c>
    </row>
    <row r="4214" spans="1:11" x14ac:dyDescent="0.3">
      <c r="A4214" t="s">
        <v>1886</v>
      </c>
      <c r="B4214" t="s">
        <v>1887</v>
      </c>
      <c r="C4214">
        <v>4</v>
      </c>
      <c r="D4214" t="s">
        <v>1447</v>
      </c>
      <c r="E4214" t="s">
        <v>1890</v>
      </c>
      <c r="F4214" t="s">
        <v>1748</v>
      </c>
      <c r="H4214" t="str">
        <f>IF(ISBLANK('Q 5'!H1147),"",IF('Q 5'!H1147="&lt;please select&gt;","",'Q 5'!H1147))</f>
        <v>1</v>
      </c>
    </row>
    <row r="4215" spans="1:11" x14ac:dyDescent="0.3">
      <c r="A4215" t="s">
        <v>1886</v>
      </c>
      <c r="B4215" t="s">
        <v>1887</v>
      </c>
      <c r="C4215">
        <v>5</v>
      </c>
      <c r="D4215" t="s">
        <v>1447</v>
      </c>
      <c r="E4215" t="s">
        <v>1890</v>
      </c>
      <c r="F4215" t="s">
        <v>1748</v>
      </c>
      <c r="H4215" t="str">
        <f>IF(ISBLANK('Q 5'!H1148),"",IF('Q 5'!H1148="&lt;please select&gt;","",'Q 5'!H1148))</f>
        <v>4</v>
      </c>
    </row>
    <row r="4216" spans="1:11" x14ac:dyDescent="0.3">
      <c r="A4216" t="s">
        <v>1886</v>
      </c>
      <c r="B4216" t="s">
        <v>1887</v>
      </c>
      <c r="C4216">
        <v>6</v>
      </c>
      <c r="D4216" t="s">
        <v>1447</v>
      </c>
      <c r="E4216" t="s">
        <v>1890</v>
      </c>
      <c r="F4216" t="s">
        <v>1748</v>
      </c>
      <c r="H4216" t="str">
        <f>IF(ISBLANK('Q 5'!H1149),"",IF('Q 5'!H1149="&lt;please select&gt;","",'Q 5'!H1149))</f>
        <v>2</v>
      </c>
    </row>
    <row r="4217" spans="1:11" x14ac:dyDescent="0.3">
      <c r="A4217" t="s">
        <v>1886</v>
      </c>
      <c r="B4217" t="s">
        <v>1887</v>
      </c>
      <c r="C4217">
        <v>7</v>
      </c>
      <c r="D4217" t="s">
        <v>1447</v>
      </c>
      <c r="E4217" t="s">
        <v>1890</v>
      </c>
      <c r="F4217" t="s">
        <v>1748</v>
      </c>
      <c r="H4217" t="str">
        <f>IF(ISBLANK('Q 5'!H1150),"",IF('Q 5'!H1150="&lt;please select&gt;","",'Q 5'!H1150))</f>
        <v>1</v>
      </c>
    </row>
    <row r="4218" spans="1:11" x14ac:dyDescent="0.3">
      <c r="A4218" t="s">
        <v>1886</v>
      </c>
      <c r="B4218" t="s">
        <v>1887</v>
      </c>
      <c r="C4218">
        <v>8</v>
      </c>
      <c r="D4218" t="s">
        <v>1447</v>
      </c>
      <c r="E4218" t="s">
        <v>1890</v>
      </c>
      <c r="F4218" t="s">
        <v>1748</v>
      </c>
      <c r="H4218" t="str">
        <f>IF(ISBLANK('Q 5'!H1151),"",IF('Q 5'!H1151="&lt;please select&gt;","",'Q 5'!H1151))</f>
        <v>1</v>
      </c>
    </row>
    <row r="4219" spans="1:11" x14ac:dyDescent="0.3">
      <c r="A4219" t="s">
        <v>1886</v>
      </c>
      <c r="B4219" t="s">
        <v>1887</v>
      </c>
      <c r="C4219">
        <v>9</v>
      </c>
      <c r="D4219" t="s">
        <v>1447</v>
      </c>
      <c r="E4219" t="s">
        <v>1890</v>
      </c>
      <c r="F4219" t="s">
        <v>1748</v>
      </c>
      <c r="H4219" t="str">
        <f>IF(ISBLANK('Q 5'!H1152),"",IF('Q 5'!H1152="&lt;please select&gt;","",'Q 5'!H1152))</f>
        <v>8</v>
      </c>
    </row>
    <row r="4220" spans="1:11" x14ac:dyDescent="0.3">
      <c r="A4220" t="s">
        <v>1886</v>
      </c>
      <c r="B4220" t="s">
        <v>1887</v>
      </c>
      <c r="C4220">
        <v>10</v>
      </c>
      <c r="D4220" t="s">
        <v>1447</v>
      </c>
      <c r="E4220" t="s">
        <v>1890</v>
      </c>
      <c r="F4220" t="s">
        <v>1748</v>
      </c>
      <c r="H4220" t="str">
        <f>IF(ISBLANK('Q 5'!H1153),"",IF('Q 5'!H1153="&lt;please select&gt;","",'Q 5'!H1153))</f>
        <v>32</v>
      </c>
    </row>
    <row r="4221" spans="1:11" x14ac:dyDescent="0.3">
      <c r="A4221" t="s">
        <v>1886</v>
      </c>
      <c r="B4221" t="s">
        <v>1887</v>
      </c>
      <c r="C4221">
        <v>11</v>
      </c>
      <c r="D4221" t="s">
        <v>1447</v>
      </c>
      <c r="E4221" t="s">
        <v>1890</v>
      </c>
      <c r="F4221" t="s">
        <v>1748</v>
      </c>
      <c r="H4221" t="str">
        <f>IF(ISBLANK('Q 5'!H1154),"",IF('Q 5'!H1154="&lt;please select&gt;","",'Q 5'!H1154))</f>
        <v>1</v>
      </c>
    </row>
    <row r="4222" spans="1:11" x14ac:dyDescent="0.3">
      <c r="A4222" t="s">
        <v>1886</v>
      </c>
      <c r="B4222" t="s">
        <v>1887</v>
      </c>
      <c r="C4222">
        <v>12</v>
      </c>
      <c r="D4222" t="s">
        <v>1447</v>
      </c>
      <c r="E4222" t="s">
        <v>1890</v>
      </c>
      <c r="F4222" t="s">
        <v>1748</v>
      </c>
      <c r="H4222" t="str">
        <f>IF(ISBLANK('Q 5'!H1155),"",IF('Q 5'!H1155="&lt;please select&gt;","",'Q 5'!H1155))</f>
        <v>2</v>
      </c>
    </row>
    <row r="4223" spans="1:11" x14ac:dyDescent="0.3">
      <c r="A4223" t="s">
        <v>1886</v>
      </c>
      <c r="B4223" t="s">
        <v>1887</v>
      </c>
      <c r="C4223">
        <v>13</v>
      </c>
      <c r="D4223" t="s">
        <v>1447</v>
      </c>
      <c r="E4223" t="s">
        <v>1890</v>
      </c>
      <c r="F4223" t="s">
        <v>1748</v>
      </c>
      <c r="H4223" t="str">
        <f>IF(ISBLANK('Q 5'!H1156),"",IF('Q 5'!H1156="&lt;please select&gt;","",'Q 5'!H1156))</f>
        <v>1</v>
      </c>
    </row>
    <row r="4224" spans="1:11" x14ac:dyDescent="0.3">
      <c r="A4224" t="s">
        <v>1886</v>
      </c>
      <c r="B4224" t="s">
        <v>1887</v>
      </c>
      <c r="C4224">
        <v>14</v>
      </c>
      <c r="D4224" t="s">
        <v>1447</v>
      </c>
      <c r="E4224" t="s">
        <v>1890</v>
      </c>
      <c r="F4224" t="s">
        <v>1748</v>
      </c>
      <c r="H4224" t="str">
        <f>IF(ISBLANK('Q 5'!H1157),"",IF('Q 5'!H1157="&lt;please select&gt;","",'Q 5'!H1157))</f>
        <v>1</v>
      </c>
    </row>
    <row r="4225" spans="1:8" x14ac:dyDescent="0.3">
      <c r="A4225" t="s">
        <v>1886</v>
      </c>
      <c r="B4225" t="s">
        <v>1887</v>
      </c>
      <c r="C4225">
        <v>15</v>
      </c>
      <c r="D4225" t="s">
        <v>1447</v>
      </c>
      <c r="E4225" t="s">
        <v>1890</v>
      </c>
      <c r="F4225" t="s">
        <v>1748</v>
      </c>
      <c r="H4225" t="str">
        <f>IF(ISBLANK('Q 5'!H1158),"",IF('Q 5'!H1158="&lt;please select&gt;","",'Q 5'!H1158))</f>
        <v>1</v>
      </c>
    </row>
    <row r="4226" spans="1:8" x14ac:dyDescent="0.3">
      <c r="A4226" t="s">
        <v>1886</v>
      </c>
      <c r="B4226" t="s">
        <v>1887</v>
      </c>
      <c r="C4226">
        <v>16</v>
      </c>
      <c r="D4226" t="s">
        <v>1447</v>
      </c>
      <c r="E4226" t="s">
        <v>1890</v>
      </c>
      <c r="F4226" t="s">
        <v>1748</v>
      </c>
      <c r="H4226" t="str">
        <f>IF(ISBLANK('Q 5'!H1159),"",IF('Q 5'!H1159="&lt;please select&gt;","",'Q 5'!H1159))</f>
        <v>1</v>
      </c>
    </row>
    <row r="4227" spans="1:8" x14ac:dyDescent="0.3">
      <c r="A4227" t="s">
        <v>1886</v>
      </c>
      <c r="B4227" t="s">
        <v>1887</v>
      </c>
      <c r="C4227">
        <v>17</v>
      </c>
      <c r="D4227" t="s">
        <v>1447</v>
      </c>
      <c r="E4227" t="s">
        <v>1890</v>
      </c>
      <c r="F4227" t="s">
        <v>1748</v>
      </c>
      <c r="H4227" t="str">
        <f>IF(ISBLANK('Q 5'!H1160),"",IF('Q 5'!H1160="&lt;please select&gt;","",'Q 5'!H1160))</f>
        <v>2</v>
      </c>
    </row>
    <row r="4228" spans="1:8" x14ac:dyDescent="0.3">
      <c r="A4228" t="s">
        <v>1886</v>
      </c>
      <c r="B4228" t="s">
        <v>1887</v>
      </c>
      <c r="C4228">
        <v>18</v>
      </c>
      <c r="D4228" t="s">
        <v>1447</v>
      </c>
      <c r="E4228" t="s">
        <v>1890</v>
      </c>
      <c r="F4228" t="s">
        <v>1748</v>
      </c>
      <c r="H4228" t="str">
        <f>IF(ISBLANK('Q 5'!H1161),"",IF('Q 5'!H1161="&lt;please select&gt;","",'Q 5'!H1161))</f>
        <v>3</v>
      </c>
    </row>
    <row r="4229" spans="1:8" x14ac:dyDescent="0.3">
      <c r="A4229" t="s">
        <v>1886</v>
      </c>
      <c r="B4229" t="s">
        <v>1887</v>
      </c>
      <c r="C4229">
        <v>19</v>
      </c>
      <c r="D4229" t="s">
        <v>1447</v>
      </c>
      <c r="E4229" t="s">
        <v>1890</v>
      </c>
      <c r="F4229" t="s">
        <v>1748</v>
      </c>
      <c r="H4229" t="str">
        <f>IF(ISBLANK('Q 5'!H1162),"",IF('Q 5'!H1162="&lt;please select&gt;","",'Q 5'!H1162))</f>
        <v>7</v>
      </c>
    </row>
    <row r="4230" spans="1:8" x14ac:dyDescent="0.3">
      <c r="A4230" t="s">
        <v>1886</v>
      </c>
      <c r="B4230" t="s">
        <v>1887</v>
      </c>
      <c r="C4230">
        <v>20</v>
      </c>
      <c r="D4230" t="s">
        <v>1447</v>
      </c>
      <c r="E4230" t="s">
        <v>1890</v>
      </c>
      <c r="F4230" t="s">
        <v>1748</v>
      </c>
      <c r="H4230" t="str">
        <f>IF(ISBLANK('Q 5'!H1163),"",IF('Q 5'!H1163="&lt;please select&gt;","",'Q 5'!H1163))</f>
        <v>1</v>
      </c>
    </row>
    <row r="4231" spans="1:8" x14ac:dyDescent="0.3">
      <c r="A4231" t="s">
        <v>1886</v>
      </c>
      <c r="B4231" t="s">
        <v>1887</v>
      </c>
      <c r="C4231">
        <v>21</v>
      </c>
      <c r="D4231" t="s">
        <v>1447</v>
      </c>
      <c r="E4231" t="s">
        <v>1890</v>
      </c>
      <c r="F4231" t="s">
        <v>1748</v>
      </c>
      <c r="H4231" t="str">
        <f>IF(ISBLANK('Q 5'!H1164),"",IF('Q 5'!H1164="&lt;please select&gt;","",'Q 5'!H1164))</f>
        <v>1</v>
      </c>
    </row>
    <row r="4232" spans="1:8" x14ac:dyDescent="0.3">
      <c r="A4232" t="s">
        <v>1886</v>
      </c>
      <c r="B4232" t="s">
        <v>1887</v>
      </c>
      <c r="C4232">
        <v>22</v>
      </c>
      <c r="D4232" t="s">
        <v>1447</v>
      </c>
      <c r="E4232" t="s">
        <v>1890</v>
      </c>
      <c r="F4232" t="s">
        <v>1748</v>
      </c>
      <c r="H4232" t="str">
        <f>IF(ISBLANK('Q 5'!H1165),"",IF('Q 5'!H1165="&lt;please select&gt;","",'Q 5'!H1165))</f>
        <v>1</v>
      </c>
    </row>
    <row r="4233" spans="1:8" x14ac:dyDescent="0.3">
      <c r="A4233" t="s">
        <v>1886</v>
      </c>
      <c r="B4233" t="s">
        <v>1887</v>
      </c>
      <c r="C4233">
        <v>23</v>
      </c>
      <c r="D4233" t="s">
        <v>1447</v>
      </c>
      <c r="E4233" t="s">
        <v>1890</v>
      </c>
      <c r="F4233" t="s">
        <v>1748</v>
      </c>
      <c r="H4233" t="str">
        <f>IF(ISBLANK('Q 5'!H1166),"",IF('Q 5'!H1166="&lt;please select&gt;","",'Q 5'!H1166))</f>
        <v>3</v>
      </c>
    </row>
    <row r="4234" spans="1:8" x14ac:dyDescent="0.3">
      <c r="A4234" t="s">
        <v>1886</v>
      </c>
      <c r="B4234" t="s">
        <v>1887</v>
      </c>
      <c r="C4234">
        <v>24</v>
      </c>
      <c r="D4234" t="s">
        <v>1447</v>
      </c>
      <c r="E4234" t="s">
        <v>1890</v>
      </c>
      <c r="F4234" t="s">
        <v>1748</v>
      </c>
      <c r="H4234" t="str">
        <f>IF(ISBLANK('Q 5'!H1167),"",IF('Q 5'!H1167="&lt;please select&gt;","",'Q 5'!H1167))</f>
        <v>17</v>
      </c>
    </row>
    <row r="4235" spans="1:8" x14ac:dyDescent="0.3">
      <c r="A4235" t="s">
        <v>1886</v>
      </c>
      <c r="B4235" t="s">
        <v>1887</v>
      </c>
      <c r="C4235">
        <v>25</v>
      </c>
      <c r="D4235" t="s">
        <v>1447</v>
      </c>
      <c r="E4235" t="s">
        <v>1890</v>
      </c>
      <c r="F4235" t="s">
        <v>1748</v>
      </c>
      <c r="H4235" t="str">
        <f>IF(ISBLANK('Q 5'!H1168),"",IF('Q 5'!H1168="&lt;please select&gt;","",'Q 5'!H1168))</f>
        <v>1</v>
      </c>
    </row>
    <row r="4236" spans="1:8" x14ac:dyDescent="0.3">
      <c r="A4236" t="s">
        <v>1886</v>
      </c>
      <c r="B4236" t="s">
        <v>1887</v>
      </c>
      <c r="C4236">
        <v>26</v>
      </c>
      <c r="D4236" t="s">
        <v>1447</v>
      </c>
      <c r="E4236" t="s">
        <v>1890</v>
      </c>
      <c r="F4236" t="s">
        <v>1748</v>
      </c>
      <c r="H4236" t="str">
        <f>IF(ISBLANK('Q 5'!H1169),"",IF('Q 5'!H1169="&lt;please select&gt;","",'Q 5'!H1169))</f>
        <v>1</v>
      </c>
    </row>
    <row r="4237" spans="1:8" x14ac:dyDescent="0.3">
      <c r="A4237" t="s">
        <v>1886</v>
      </c>
      <c r="B4237" t="s">
        <v>1887</v>
      </c>
      <c r="C4237">
        <v>27</v>
      </c>
      <c r="D4237" t="s">
        <v>1447</v>
      </c>
      <c r="E4237" t="s">
        <v>1890</v>
      </c>
      <c r="F4237" t="s">
        <v>1748</v>
      </c>
      <c r="H4237" t="str">
        <f>IF(ISBLANK('Q 5'!H1170),"",IF('Q 5'!H1170="&lt;please select&gt;","",'Q 5'!H1170))</f>
        <v>1</v>
      </c>
    </row>
    <row r="4238" spans="1:8" x14ac:dyDescent="0.3">
      <c r="A4238" t="s">
        <v>1886</v>
      </c>
      <c r="B4238" t="s">
        <v>1887</v>
      </c>
      <c r="C4238">
        <v>28</v>
      </c>
      <c r="D4238" t="s">
        <v>1447</v>
      </c>
      <c r="E4238" t="s">
        <v>1890</v>
      </c>
      <c r="F4238" t="s">
        <v>1748</v>
      </c>
      <c r="H4238" t="str">
        <f>IF(ISBLANK('Q 5'!H1171),"",IF('Q 5'!H1171="&lt;please select&gt;","",'Q 5'!H1171))</f>
        <v>2</v>
      </c>
    </row>
    <row r="4239" spans="1:8" x14ac:dyDescent="0.3">
      <c r="A4239" t="s">
        <v>1886</v>
      </c>
      <c r="B4239" t="s">
        <v>1887</v>
      </c>
      <c r="C4239">
        <v>29</v>
      </c>
      <c r="D4239" t="s">
        <v>1447</v>
      </c>
      <c r="E4239" t="s">
        <v>1890</v>
      </c>
      <c r="F4239" t="s">
        <v>1748</v>
      </c>
      <c r="H4239" t="str">
        <f>IF(ISBLANK('Q 5'!H1172),"",IF('Q 5'!H1172="&lt;please select&gt;","",'Q 5'!H1172))</f>
        <v>5</v>
      </c>
    </row>
    <row r="4240" spans="1:8" x14ac:dyDescent="0.3">
      <c r="A4240" t="s">
        <v>1886</v>
      </c>
      <c r="B4240" t="s">
        <v>1887</v>
      </c>
      <c r="C4240">
        <v>30</v>
      </c>
      <c r="D4240" t="s">
        <v>1447</v>
      </c>
      <c r="E4240" t="s">
        <v>1890</v>
      </c>
      <c r="F4240" t="s">
        <v>1748</v>
      </c>
      <c r="H4240" t="str">
        <f>IF(ISBLANK('Q 5'!H1173),"",IF('Q 5'!H1173="&lt;please select&gt;","",'Q 5'!H1173))</f>
        <v>1</v>
      </c>
    </row>
    <row r="4241" spans="1:8" x14ac:dyDescent="0.3">
      <c r="A4241" t="s">
        <v>1886</v>
      </c>
      <c r="B4241" t="s">
        <v>1887</v>
      </c>
      <c r="C4241">
        <v>31</v>
      </c>
      <c r="D4241" t="s">
        <v>1447</v>
      </c>
      <c r="E4241" t="s">
        <v>1890</v>
      </c>
      <c r="F4241" t="s">
        <v>1748</v>
      </c>
      <c r="H4241" t="str">
        <f>IF(ISBLANK('Q 5'!H1174),"",IF('Q 5'!H1174="&lt;please select&gt;","",'Q 5'!H1174))</f>
        <v>1</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0</v>
      </c>
    </row>
    <row r="4282" spans="1:8" x14ac:dyDescent="0.3">
      <c r="A4282" t="s">
        <v>1886</v>
      </c>
      <c r="B4282" t="s">
        <v>1887</v>
      </c>
      <c r="C4282">
        <v>2</v>
      </c>
      <c r="D4282" t="s">
        <v>1447</v>
      </c>
      <c r="E4282" t="s">
        <v>1891</v>
      </c>
      <c r="F4282" t="s">
        <v>1748</v>
      </c>
      <c r="H4282" t="str">
        <f>IF(ISBLANK('Q 5'!I1145),"",IF('Q 5'!I1145="&lt;please select&gt;","",'Q 5'!I1145))</f>
        <v>19</v>
      </c>
    </row>
    <row r="4283" spans="1:8" x14ac:dyDescent="0.3">
      <c r="A4283" t="s">
        <v>1886</v>
      </c>
      <c r="B4283" t="s">
        <v>1887</v>
      </c>
      <c r="C4283">
        <v>3</v>
      </c>
      <c r="D4283" t="s">
        <v>1447</v>
      </c>
      <c r="E4283" t="s">
        <v>1891</v>
      </c>
      <c r="F4283" t="s">
        <v>1748</v>
      </c>
      <c r="H4283" t="str">
        <f>IF(ISBLANK('Q 5'!I1146),"",IF('Q 5'!I1146="&lt;please select&gt;","",'Q 5'!I1146))</f>
        <v>1</v>
      </c>
    </row>
    <row r="4284" spans="1:8" x14ac:dyDescent="0.3">
      <c r="A4284" t="s">
        <v>1886</v>
      </c>
      <c r="B4284" t="s">
        <v>1887</v>
      </c>
      <c r="C4284">
        <v>4</v>
      </c>
      <c r="D4284" t="s">
        <v>1447</v>
      </c>
      <c r="E4284" t="s">
        <v>1891</v>
      </c>
      <c r="F4284" t="s">
        <v>1748</v>
      </c>
      <c r="H4284" t="str">
        <f>IF(ISBLANK('Q 5'!I1147),"",IF('Q 5'!I1147="&lt;please select&gt;","",'Q 5'!I1147))</f>
        <v>0</v>
      </c>
    </row>
    <row r="4285" spans="1:8" x14ac:dyDescent="0.3">
      <c r="A4285" t="s">
        <v>1886</v>
      </c>
      <c r="B4285" t="s">
        <v>1887</v>
      </c>
      <c r="C4285">
        <v>5</v>
      </c>
      <c r="D4285" t="s">
        <v>1447</v>
      </c>
      <c r="E4285" t="s">
        <v>1891</v>
      </c>
      <c r="F4285" t="s">
        <v>1748</v>
      </c>
      <c r="H4285" t="str">
        <f>IF(ISBLANK('Q 5'!I1148),"",IF('Q 5'!I1148="&lt;please select&gt;","",'Q 5'!I1148))</f>
        <v>0</v>
      </c>
    </row>
    <row r="4286" spans="1:8" x14ac:dyDescent="0.3">
      <c r="A4286" t="s">
        <v>1886</v>
      </c>
      <c r="B4286" t="s">
        <v>1887</v>
      </c>
      <c r="C4286">
        <v>6</v>
      </c>
      <c r="D4286" t="s">
        <v>1447</v>
      </c>
      <c r="E4286" t="s">
        <v>1891</v>
      </c>
      <c r="F4286" t="s">
        <v>1748</v>
      </c>
      <c r="H4286" t="str">
        <f>IF(ISBLANK('Q 5'!I1149),"",IF('Q 5'!I1149="&lt;please select&gt;","",'Q 5'!I1149))</f>
        <v>0</v>
      </c>
    </row>
    <row r="4287" spans="1:8" x14ac:dyDescent="0.3">
      <c r="A4287" t="s">
        <v>1886</v>
      </c>
      <c r="B4287" t="s">
        <v>1887</v>
      </c>
      <c r="C4287">
        <v>7</v>
      </c>
      <c r="D4287" t="s">
        <v>1447</v>
      </c>
      <c r="E4287" t="s">
        <v>1891</v>
      </c>
      <c r="F4287" t="s">
        <v>1748</v>
      </c>
      <c r="H4287" t="str">
        <f>IF(ISBLANK('Q 5'!I1150),"",IF('Q 5'!I1150="&lt;please select&gt;","",'Q 5'!I1150))</f>
        <v>0</v>
      </c>
    </row>
    <row r="4288" spans="1:8" x14ac:dyDescent="0.3">
      <c r="A4288" t="s">
        <v>1886</v>
      </c>
      <c r="B4288" t="s">
        <v>1887</v>
      </c>
      <c r="C4288">
        <v>8</v>
      </c>
      <c r="D4288" t="s">
        <v>1447</v>
      </c>
      <c r="E4288" t="s">
        <v>1891</v>
      </c>
      <c r="F4288" t="s">
        <v>1748</v>
      </c>
      <c r="H4288" t="str">
        <f>IF(ISBLANK('Q 5'!I1151),"",IF('Q 5'!I1151="&lt;please select&gt;","",'Q 5'!I1151))</f>
        <v>1</v>
      </c>
    </row>
    <row r="4289" spans="1:8" x14ac:dyDescent="0.3">
      <c r="A4289" t="s">
        <v>1886</v>
      </c>
      <c r="B4289" t="s">
        <v>1887</v>
      </c>
      <c r="C4289">
        <v>9</v>
      </c>
      <c r="D4289" t="s">
        <v>1447</v>
      </c>
      <c r="E4289" t="s">
        <v>1891</v>
      </c>
      <c r="F4289" t="s">
        <v>1748</v>
      </c>
      <c r="H4289" t="str">
        <f>IF(ISBLANK('Q 5'!I1152),"",IF('Q 5'!I1152="&lt;please select&gt;","",'Q 5'!I1152))</f>
        <v>0</v>
      </c>
    </row>
    <row r="4290" spans="1:8" x14ac:dyDescent="0.3">
      <c r="A4290" t="s">
        <v>1886</v>
      </c>
      <c r="B4290" t="s">
        <v>1887</v>
      </c>
      <c r="C4290">
        <v>10</v>
      </c>
      <c r="D4290" t="s">
        <v>1447</v>
      </c>
      <c r="E4290" t="s">
        <v>1891</v>
      </c>
      <c r="F4290" t="s">
        <v>1748</v>
      </c>
      <c r="H4290" t="str">
        <f>IF(ISBLANK('Q 5'!I1153),"",IF('Q 5'!I1153="&lt;please select&gt;","",'Q 5'!I1153))</f>
        <v>19</v>
      </c>
    </row>
    <row r="4291" spans="1:8" x14ac:dyDescent="0.3">
      <c r="A4291" t="s">
        <v>1886</v>
      </c>
      <c r="B4291" t="s">
        <v>1887</v>
      </c>
      <c r="C4291">
        <v>11</v>
      </c>
      <c r="D4291" t="s">
        <v>1447</v>
      </c>
      <c r="E4291" t="s">
        <v>1891</v>
      </c>
      <c r="F4291" t="s">
        <v>1748</v>
      </c>
      <c r="H4291" t="str">
        <f>IF(ISBLANK('Q 5'!I1154),"",IF('Q 5'!I1154="&lt;please select&gt;","",'Q 5'!I1154))</f>
        <v>0</v>
      </c>
    </row>
    <row r="4292" spans="1:8" x14ac:dyDescent="0.3">
      <c r="A4292" t="s">
        <v>1886</v>
      </c>
      <c r="B4292" t="s">
        <v>1887</v>
      </c>
      <c r="C4292">
        <v>12</v>
      </c>
      <c r="D4292" t="s">
        <v>1447</v>
      </c>
      <c r="E4292" t="s">
        <v>1891</v>
      </c>
      <c r="F4292" t="s">
        <v>1748</v>
      </c>
      <c r="H4292" t="str">
        <f>IF(ISBLANK('Q 5'!I1155),"",IF('Q 5'!I1155="&lt;please select&gt;","",'Q 5'!I1155))</f>
        <v>1</v>
      </c>
    </row>
    <row r="4293" spans="1:8" x14ac:dyDescent="0.3">
      <c r="A4293" t="s">
        <v>1886</v>
      </c>
      <c r="B4293" t="s">
        <v>1887</v>
      </c>
      <c r="C4293">
        <v>13</v>
      </c>
      <c r="D4293" t="s">
        <v>1447</v>
      </c>
      <c r="E4293" t="s">
        <v>1891</v>
      </c>
      <c r="F4293" t="s">
        <v>1748</v>
      </c>
      <c r="H4293" t="str">
        <f>IF(ISBLANK('Q 5'!I1156),"",IF('Q 5'!I1156="&lt;please select&gt;","",'Q 5'!I1156))</f>
        <v>0</v>
      </c>
    </row>
    <row r="4294" spans="1:8" x14ac:dyDescent="0.3">
      <c r="A4294" t="s">
        <v>1886</v>
      </c>
      <c r="B4294" t="s">
        <v>1887</v>
      </c>
      <c r="C4294">
        <v>14</v>
      </c>
      <c r="D4294" t="s">
        <v>1447</v>
      </c>
      <c r="E4294" t="s">
        <v>1891</v>
      </c>
      <c r="F4294" t="s">
        <v>1748</v>
      </c>
      <c r="H4294" t="str">
        <f>IF(ISBLANK('Q 5'!I1157),"",IF('Q 5'!I1157="&lt;please select&gt;","",'Q 5'!I1157))</f>
        <v>0</v>
      </c>
    </row>
    <row r="4295" spans="1:8" x14ac:dyDescent="0.3">
      <c r="A4295" t="s">
        <v>1886</v>
      </c>
      <c r="B4295" t="s">
        <v>1887</v>
      </c>
      <c r="C4295">
        <v>15</v>
      </c>
      <c r="D4295" t="s">
        <v>1447</v>
      </c>
      <c r="E4295" t="s">
        <v>1891</v>
      </c>
      <c r="F4295" t="s">
        <v>1748</v>
      </c>
      <c r="H4295" t="str">
        <f>IF(ISBLANK('Q 5'!I1158),"",IF('Q 5'!I1158="&lt;please select&gt;","",'Q 5'!I1158))</f>
        <v>1</v>
      </c>
    </row>
    <row r="4296" spans="1:8" x14ac:dyDescent="0.3">
      <c r="A4296" t="s">
        <v>1886</v>
      </c>
      <c r="B4296" t="s">
        <v>1887</v>
      </c>
      <c r="C4296">
        <v>16</v>
      </c>
      <c r="D4296" t="s">
        <v>1447</v>
      </c>
      <c r="E4296" t="s">
        <v>1891</v>
      </c>
      <c r="F4296" t="s">
        <v>1748</v>
      </c>
      <c r="H4296" t="str">
        <f>IF(ISBLANK('Q 5'!I1159),"",IF('Q 5'!I1159="&lt;please select&gt;","",'Q 5'!I1159))</f>
        <v>0</v>
      </c>
    </row>
    <row r="4297" spans="1:8" x14ac:dyDescent="0.3">
      <c r="A4297" t="s">
        <v>1886</v>
      </c>
      <c r="B4297" t="s">
        <v>1887</v>
      </c>
      <c r="C4297">
        <v>17</v>
      </c>
      <c r="D4297" t="s">
        <v>1447</v>
      </c>
      <c r="E4297" t="s">
        <v>1891</v>
      </c>
      <c r="F4297" t="s">
        <v>1748</v>
      </c>
      <c r="H4297" t="str">
        <f>IF(ISBLANK('Q 5'!I1160),"",IF('Q 5'!I1160="&lt;please select&gt;","",'Q 5'!I1160))</f>
        <v>0</v>
      </c>
    </row>
    <row r="4298" spans="1:8" x14ac:dyDescent="0.3">
      <c r="A4298" t="s">
        <v>1886</v>
      </c>
      <c r="B4298" t="s">
        <v>1887</v>
      </c>
      <c r="C4298">
        <v>18</v>
      </c>
      <c r="D4298" t="s">
        <v>1447</v>
      </c>
      <c r="E4298" t="s">
        <v>1891</v>
      </c>
      <c r="F4298" t="s">
        <v>1748</v>
      </c>
      <c r="H4298" t="str">
        <f>IF(ISBLANK('Q 5'!I1161),"",IF('Q 5'!I1161="&lt;please select&gt;","",'Q 5'!I1161))</f>
        <v>0</v>
      </c>
    </row>
    <row r="4299" spans="1:8" x14ac:dyDescent="0.3">
      <c r="A4299" t="s">
        <v>1886</v>
      </c>
      <c r="B4299" t="s">
        <v>1887</v>
      </c>
      <c r="C4299">
        <v>19</v>
      </c>
      <c r="D4299" t="s">
        <v>1447</v>
      </c>
      <c r="E4299" t="s">
        <v>1891</v>
      </c>
      <c r="F4299" t="s">
        <v>1748</v>
      </c>
      <c r="H4299" t="str">
        <f>IF(ISBLANK('Q 5'!I1162),"",IF('Q 5'!I1162="&lt;please select&gt;","",'Q 5'!I1162))</f>
        <v>2</v>
      </c>
    </row>
    <row r="4300" spans="1:8" x14ac:dyDescent="0.3">
      <c r="A4300" t="s">
        <v>1886</v>
      </c>
      <c r="B4300" t="s">
        <v>1887</v>
      </c>
      <c r="C4300">
        <v>20</v>
      </c>
      <c r="D4300" t="s">
        <v>1447</v>
      </c>
      <c r="E4300" t="s">
        <v>1891</v>
      </c>
      <c r="F4300" t="s">
        <v>1748</v>
      </c>
      <c r="H4300" t="str">
        <f>IF(ISBLANK('Q 5'!I1163),"",IF('Q 5'!I1163="&lt;please select&gt;","",'Q 5'!I1163))</f>
        <v>1</v>
      </c>
    </row>
    <row r="4301" spans="1:8" x14ac:dyDescent="0.3">
      <c r="A4301" t="s">
        <v>1886</v>
      </c>
      <c r="B4301" t="s">
        <v>1887</v>
      </c>
      <c r="C4301">
        <v>21</v>
      </c>
      <c r="D4301" t="s">
        <v>1447</v>
      </c>
      <c r="E4301" t="s">
        <v>1891</v>
      </c>
      <c r="F4301" t="s">
        <v>1748</v>
      </c>
      <c r="H4301" t="str">
        <f>IF(ISBLANK('Q 5'!I1164),"",IF('Q 5'!I1164="&lt;please select&gt;","",'Q 5'!I1164))</f>
        <v>0</v>
      </c>
    </row>
    <row r="4302" spans="1:8" x14ac:dyDescent="0.3">
      <c r="A4302" t="s">
        <v>1886</v>
      </c>
      <c r="B4302" t="s">
        <v>1887</v>
      </c>
      <c r="C4302">
        <v>22</v>
      </c>
      <c r="D4302" t="s">
        <v>1447</v>
      </c>
      <c r="E4302" t="s">
        <v>1891</v>
      </c>
      <c r="F4302" t="s">
        <v>1748</v>
      </c>
      <c r="H4302" t="str">
        <f>IF(ISBLANK('Q 5'!I1165),"",IF('Q 5'!I1165="&lt;please select&gt;","",'Q 5'!I1165))</f>
        <v>1</v>
      </c>
    </row>
    <row r="4303" spans="1:8" x14ac:dyDescent="0.3">
      <c r="A4303" t="s">
        <v>1886</v>
      </c>
      <c r="B4303" t="s">
        <v>1887</v>
      </c>
      <c r="C4303">
        <v>23</v>
      </c>
      <c r="D4303" t="s">
        <v>1447</v>
      </c>
      <c r="E4303" t="s">
        <v>1891</v>
      </c>
      <c r="F4303" t="s">
        <v>1748</v>
      </c>
      <c r="H4303" t="str">
        <f>IF(ISBLANK('Q 5'!I1166),"",IF('Q 5'!I1166="&lt;please select&gt;","",'Q 5'!I1166))</f>
        <v>1</v>
      </c>
    </row>
    <row r="4304" spans="1:8" x14ac:dyDescent="0.3">
      <c r="A4304" t="s">
        <v>1886</v>
      </c>
      <c r="B4304" t="s">
        <v>1887</v>
      </c>
      <c r="C4304">
        <v>24</v>
      </c>
      <c r="D4304" t="s">
        <v>1447</v>
      </c>
      <c r="E4304" t="s">
        <v>1891</v>
      </c>
      <c r="F4304" t="s">
        <v>1748</v>
      </c>
      <c r="H4304" t="str">
        <f>IF(ISBLANK('Q 5'!I1167),"",IF('Q 5'!I1167="&lt;please select&gt;","",'Q 5'!I1167))</f>
        <v>14</v>
      </c>
    </row>
    <row r="4305" spans="1:8" x14ac:dyDescent="0.3">
      <c r="A4305" t="s">
        <v>1886</v>
      </c>
      <c r="B4305" t="s">
        <v>1887</v>
      </c>
      <c r="C4305">
        <v>25</v>
      </c>
      <c r="D4305" t="s">
        <v>1447</v>
      </c>
      <c r="E4305" t="s">
        <v>1891</v>
      </c>
      <c r="F4305" t="s">
        <v>1748</v>
      </c>
      <c r="H4305" t="str">
        <f>IF(ISBLANK('Q 5'!I1168),"",IF('Q 5'!I1168="&lt;please select&gt;","",'Q 5'!I1168))</f>
        <v>1</v>
      </c>
    </row>
    <row r="4306" spans="1:8" x14ac:dyDescent="0.3">
      <c r="A4306" t="s">
        <v>1886</v>
      </c>
      <c r="B4306" t="s">
        <v>1887</v>
      </c>
      <c r="C4306">
        <v>26</v>
      </c>
      <c r="D4306" t="s">
        <v>1447</v>
      </c>
      <c r="E4306" t="s">
        <v>1891</v>
      </c>
      <c r="F4306" t="s">
        <v>1748</v>
      </c>
      <c r="H4306" t="str">
        <f>IF(ISBLANK('Q 5'!I1169),"",IF('Q 5'!I1169="&lt;please select&gt;","",'Q 5'!I1169))</f>
        <v>1</v>
      </c>
    </row>
    <row r="4307" spans="1:8" x14ac:dyDescent="0.3">
      <c r="A4307" t="s">
        <v>1886</v>
      </c>
      <c r="B4307" t="s">
        <v>1887</v>
      </c>
      <c r="C4307">
        <v>27</v>
      </c>
      <c r="D4307" t="s">
        <v>1447</v>
      </c>
      <c r="E4307" t="s">
        <v>1891</v>
      </c>
      <c r="F4307" t="s">
        <v>1748</v>
      </c>
      <c r="H4307" t="str">
        <f>IF(ISBLANK('Q 5'!I1170),"",IF('Q 5'!I1170="&lt;please select&gt;","",'Q 5'!I1170))</f>
        <v>1</v>
      </c>
    </row>
    <row r="4308" spans="1:8" x14ac:dyDescent="0.3">
      <c r="A4308" t="s">
        <v>1886</v>
      </c>
      <c r="B4308" t="s">
        <v>1887</v>
      </c>
      <c r="C4308">
        <v>28</v>
      </c>
      <c r="D4308" t="s">
        <v>1447</v>
      </c>
      <c r="E4308" t="s">
        <v>1891</v>
      </c>
      <c r="F4308" t="s">
        <v>1748</v>
      </c>
      <c r="H4308" t="str">
        <f>IF(ISBLANK('Q 5'!I1171),"",IF('Q 5'!I1171="&lt;please select&gt;","",'Q 5'!I1171))</f>
        <v>0</v>
      </c>
    </row>
    <row r="4309" spans="1:8" x14ac:dyDescent="0.3">
      <c r="A4309" t="s">
        <v>1886</v>
      </c>
      <c r="B4309" t="s">
        <v>1887</v>
      </c>
      <c r="C4309">
        <v>29</v>
      </c>
      <c r="D4309" t="s">
        <v>1447</v>
      </c>
      <c r="E4309" t="s">
        <v>1891</v>
      </c>
      <c r="F4309" t="s">
        <v>1748</v>
      </c>
      <c r="H4309" t="str">
        <f>IF(ISBLANK('Q 5'!I1172),"",IF('Q 5'!I1172="&lt;please select&gt;","",'Q 5'!I1172))</f>
        <v>0</v>
      </c>
    </row>
    <row r="4310" spans="1:8" x14ac:dyDescent="0.3">
      <c r="A4310" t="s">
        <v>1886</v>
      </c>
      <c r="B4310" t="s">
        <v>1887</v>
      </c>
      <c r="C4310">
        <v>30</v>
      </c>
      <c r="D4310" t="s">
        <v>1447</v>
      </c>
      <c r="E4310" t="s">
        <v>1891</v>
      </c>
      <c r="F4310" t="s">
        <v>1748</v>
      </c>
      <c r="H4310" t="str">
        <f>IF(ISBLANK('Q 5'!I1173),"",IF('Q 5'!I1173="&lt;please select&gt;","",'Q 5'!I1173))</f>
        <v>1</v>
      </c>
    </row>
    <row r="4311" spans="1:8" x14ac:dyDescent="0.3">
      <c r="A4311" t="s">
        <v>1886</v>
      </c>
      <c r="B4311" t="s">
        <v>1887</v>
      </c>
      <c r="C4311">
        <v>31</v>
      </c>
      <c r="D4311" t="s">
        <v>1447</v>
      </c>
      <c r="E4311" t="s">
        <v>1891</v>
      </c>
      <c r="F4311" t="s">
        <v>1748</v>
      </c>
      <c r="H4311" t="str">
        <f>IF(ISBLANK('Q 5'!I1174),"",IF('Q 5'!I1174="&lt;please select&gt;","",'Q 5'!I1174))</f>
        <v>0</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Yes</v>
      </c>
    </row>
    <row r="4352" spans="1:11" x14ac:dyDescent="0.3">
      <c r="A4352" t="s">
        <v>1892</v>
      </c>
      <c r="B4352" t="s">
        <v>1894</v>
      </c>
      <c r="C4352">
        <v>1</v>
      </c>
      <c r="D4352" t="s">
        <v>1447</v>
      </c>
      <c r="E4352" t="s">
        <v>1895</v>
      </c>
      <c r="F4352" t="s">
        <v>1737</v>
      </c>
      <c r="K4352" t="str">
        <f>IF(ISBLANK('Q 5'!C1220),"",IF('Q 5'!C1220="&lt;please select&gt;","",'Q 5'!C1220))</f>
        <v>Transfer of inherent CO2 (Article 48)</v>
      </c>
    </row>
    <row r="4353" spans="1:11" x14ac:dyDescent="0.3">
      <c r="A4353" t="s">
        <v>1892</v>
      </c>
      <c r="B4353" t="s">
        <v>1894</v>
      </c>
      <c r="C4353">
        <v>2</v>
      </c>
      <c r="D4353" t="s">
        <v>1447</v>
      </c>
      <c r="E4353" t="s">
        <v>1895</v>
      </c>
      <c r="F4353" t="s">
        <v>1737</v>
      </c>
      <c r="K4353" t="str">
        <f>IF(ISBLANK('Q 5'!C1221),"",IF('Q 5'!C1221="&lt;please select&gt;","",'Q 5'!C1221))</f>
        <v>Transfer of inherent CO2 (Article 48)</v>
      </c>
    </row>
    <row r="4354" spans="1:11" x14ac:dyDescent="0.3">
      <c r="A4354" t="s">
        <v>1892</v>
      </c>
      <c r="B4354" t="s">
        <v>1894</v>
      </c>
      <c r="C4354">
        <v>3</v>
      </c>
      <c r="D4354" t="s">
        <v>1447</v>
      </c>
      <c r="E4354" t="s">
        <v>1895</v>
      </c>
      <c r="F4354" t="s">
        <v>1737</v>
      </c>
      <c r="K4354" t="str">
        <f>IF(ISBLANK('Q 5'!C1222),"",IF('Q 5'!C1222="&lt;please select&gt;","",'Q 5'!C1222))</f>
        <v>Transfer of inherent CO2 (Article 48)</v>
      </c>
    </row>
    <row r="4355" spans="1:11" x14ac:dyDescent="0.3">
      <c r="A4355" t="s">
        <v>1892</v>
      </c>
      <c r="B4355" t="s">
        <v>1894</v>
      </c>
      <c r="C4355">
        <v>4</v>
      </c>
      <c r="D4355" t="s">
        <v>1447</v>
      </c>
      <c r="E4355" t="s">
        <v>1895</v>
      </c>
      <c r="F4355" t="s">
        <v>1737</v>
      </c>
      <c r="K4355" t="str">
        <f>IF(ISBLANK('Q 5'!C1223),"",IF('Q 5'!C1223="&lt;please select&gt;","",'Q 5'!C1223))</f>
        <v>Transfer of inherent CO2 (Article 48)</v>
      </c>
    </row>
    <row r="4356" spans="1:11" x14ac:dyDescent="0.3">
      <c r="A4356" t="s">
        <v>1892</v>
      </c>
      <c r="B4356" t="s">
        <v>1894</v>
      </c>
      <c r="C4356">
        <v>5</v>
      </c>
      <c r="D4356" t="s">
        <v>1447</v>
      </c>
      <c r="E4356" t="s">
        <v>1895</v>
      </c>
      <c r="F4356" t="s">
        <v>1737</v>
      </c>
      <c r="K4356" t="str">
        <f>IF(ISBLANK('Q 5'!C1224),"",IF('Q 5'!C1224="&lt;please select&gt;","",'Q 5'!C1224))</f>
        <v>Transfer of inherent CO2 (Article 48)</v>
      </c>
    </row>
    <row r="4357" spans="1:11" x14ac:dyDescent="0.3">
      <c r="A4357" t="s">
        <v>1892</v>
      </c>
      <c r="B4357" t="s">
        <v>1894</v>
      </c>
      <c r="C4357">
        <v>6</v>
      </c>
      <c r="D4357" t="s">
        <v>1447</v>
      </c>
      <c r="E4357" t="s">
        <v>1895</v>
      </c>
      <c r="F4357" t="s">
        <v>1737</v>
      </c>
      <c r="K4357" t="str">
        <f>IF(ISBLANK('Q 5'!C1225),"",IF('Q 5'!C1225="&lt;please select&gt;","",'Q 5'!C1225))</f>
        <v>Transfer of inherent CO2 (Article 48)</v>
      </c>
    </row>
    <row r="4358" spans="1:11" x14ac:dyDescent="0.3">
      <c r="A4358" t="s">
        <v>1892</v>
      </c>
      <c r="B4358" t="s">
        <v>1894</v>
      </c>
      <c r="C4358">
        <v>7</v>
      </c>
      <c r="D4358" t="s">
        <v>1447</v>
      </c>
      <c r="E4358" t="s">
        <v>1895</v>
      </c>
      <c r="F4358" t="s">
        <v>1737</v>
      </c>
      <c r="K4358" t="str">
        <f>IF(ISBLANK('Q 5'!C1226),"",IF('Q 5'!C1226="&lt;please select&gt;","",'Q 5'!C1226))</f>
        <v>Transfer of inherent CO2 (Article 48)</v>
      </c>
    </row>
    <row r="4359" spans="1:11" x14ac:dyDescent="0.3">
      <c r="A4359" t="s">
        <v>1892</v>
      </c>
      <c r="B4359" t="s">
        <v>1894</v>
      </c>
      <c r="C4359">
        <v>8</v>
      </c>
      <c r="D4359" t="s">
        <v>1447</v>
      </c>
      <c r="E4359" t="s">
        <v>1895</v>
      </c>
      <c r="F4359" t="s">
        <v>1737</v>
      </c>
      <c r="K4359" t="str">
        <f>IF(ISBLANK('Q 5'!C1227),"",IF('Q 5'!C1227="&lt;please select&gt;","",'Q 5'!C1227))</f>
        <v>Transfer of inherent CO2 (Article 48)</v>
      </c>
    </row>
    <row r="4360" spans="1:11" x14ac:dyDescent="0.3">
      <c r="A4360" t="s">
        <v>1892</v>
      </c>
      <c r="B4360" t="s">
        <v>1894</v>
      </c>
      <c r="C4360">
        <v>9</v>
      </c>
      <c r="D4360" t="s">
        <v>1447</v>
      </c>
      <c r="E4360" t="s">
        <v>1895</v>
      </c>
      <c r="F4360" t="s">
        <v>1737</v>
      </c>
      <c r="K4360" t="str">
        <f>IF(ISBLANK('Q 5'!C1228),"",IF('Q 5'!C1228="&lt;please select&gt;","",'Q 5'!C1228))</f>
        <v>Transfer of inherent CO2 (Article 48)</v>
      </c>
    </row>
    <row r="4361" spans="1:11" x14ac:dyDescent="0.3">
      <c r="A4361" t="s">
        <v>1892</v>
      </c>
      <c r="B4361" t="s">
        <v>1894</v>
      </c>
      <c r="C4361">
        <v>10</v>
      </c>
      <c r="D4361" t="s">
        <v>1447</v>
      </c>
      <c r="E4361" t="s">
        <v>1895</v>
      </c>
      <c r="F4361" t="s">
        <v>1737</v>
      </c>
      <c r="K4361" t="str">
        <f>IF(ISBLANK('Q 5'!C1229),"",IF('Q 5'!C1229="&lt;please select&gt;","",'Q 5'!C1229))</f>
        <v>Transfer of inherent CO2 (Article 48)</v>
      </c>
    </row>
    <row r="4362" spans="1:11" x14ac:dyDescent="0.3">
      <c r="A4362" t="s">
        <v>1892</v>
      </c>
      <c r="B4362" t="s">
        <v>1894</v>
      </c>
      <c r="C4362">
        <v>11</v>
      </c>
      <c r="D4362" t="s">
        <v>1447</v>
      </c>
      <c r="E4362" t="s">
        <v>1895</v>
      </c>
      <c r="F4362" t="s">
        <v>1737</v>
      </c>
      <c r="K4362" t="str">
        <f>IF(ISBLANK('Q 5'!C1230),"",IF('Q 5'!C1230="&lt;please select&gt;","",'Q 5'!C1230))</f>
        <v>Transfer of inherent CO2 (Article 48)</v>
      </c>
    </row>
    <row r="4363" spans="1:11" x14ac:dyDescent="0.3">
      <c r="A4363" t="s">
        <v>1892</v>
      </c>
      <c r="B4363" t="s">
        <v>1894</v>
      </c>
      <c r="C4363">
        <v>12</v>
      </c>
      <c r="D4363" t="s">
        <v>1447</v>
      </c>
      <c r="E4363" t="s">
        <v>1895</v>
      </c>
      <c r="F4363" t="s">
        <v>1737</v>
      </c>
      <c r="K4363" t="str">
        <f>IF(ISBLANK('Q 5'!C1231),"",IF('Q 5'!C1231="&lt;please select&gt;","",'Q 5'!C1231))</f>
        <v>Transfer of inherent CO2 (Article 48)</v>
      </c>
    </row>
    <row r="4364" spans="1:11" x14ac:dyDescent="0.3">
      <c r="A4364" t="s">
        <v>1892</v>
      </c>
      <c r="B4364" t="s">
        <v>1894</v>
      </c>
      <c r="C4364">
        <v>13</v>
      </c>
      <c r="D4364" t="s">
        <v>1447</v>
      </c>
      <c r="E4364" t="s">
        <v>1895</v>
      </c>
      <c r="F4364" t="s">
        <v>1737</v>
      </c>
      <c r="K4364" t="str">
        <f>IF(ISBLANK('Q 5'!C1232),"",IF('Q 5'!C1232="&lt;please select&gt;","",'Q 5'!C1232))</f>
        <v>Transfer of inherent CO2 (Article 48)</v>
      </c>
    </row>
    <row r="4365" spans="1:11" x14ac:dyDescent="0.3">
      <c r="A4365" t="s">
        <v>1892</v>
      </c>
      <c r="B4365" t="s">
        <v>1894</v>
      </c>
      <c r="C4365">
        <v>14</v>
      </c>
      <c r="D4365" t="s">
        <v>1447</v>
      </c>
      <c r="E4365" t="s">
        <v>1895</v>
      </c>
      <c r="F4365" t="s">
        <v>1737</v>
      </c>
      <c r="K4365" t="str">
        <f>IF(ISBLANK('Q 5'!C1233),"",IF('Q 5'!C1233="&lt;please select&gt;","",'Q 5'!C1233))</f>
        <v>Transfer of inherent CO2 (Article 48)</v>
      </c>
    </row>
    <row r="4366" spans="1:11" x14ac:dyDescent="0.3">
      <c r="A4366" t="s">
        <v>1892</v>
      </c>
      <c r="B4366" t="s">
        <v>1894</v>
      </c>
      <c r="C4366">
        <v>15</v>
      </c>
      <c r="D4366" t="s">
        <v>1447</v>
      </c>
      <c r="E4366" t="s">
        <v>1895</v>
      </c>
      <c r="F4366" t="s">
        <v>1737</v>
      </c>
      <c r="K4366" t="str">
        <f>IF(ISBLANK('Q 5'!C1234),"",IF('Q 5'!C1234="&lt;please select&gt;","",'Q 5'!C1234))</f>
        <v>Transfer of inherent CO2 (Article 48)</v>
      </c>
    </row>
    <row r="4367" spans="1:11" x14ac:dyDescent="0.3">
      <c r="A4367" t="s">
        <v>1892</v>
      </c>
      <c r="B4367" t="s">
        <v>1894</v>
      </c>
      <c r="C4367">
        <v>16</v>
      </c>
      <c r="D4367" t="s">
        <v>1447</v>
      </c>
      <c r="E4367" t="s">
        <v>1895</v>
      </c>
      <c r="F4367" t="s">
        <v>1737</v>
      </c>
      <c r="K4367" t="str">
        <f>IF(ISBLANK('Q 5'!C1235),"",IF('Q 5'!C1235="&lt;please select&gt;","",'Q 5'!C1235))</f>
        <v>Transfer of inherent CO2 (Article 48)</v>
      </c>
    </row>
    <row r="4368" spans="1:11" x14ac:dyDescent="0.3">
      <c r="A4368" t="s">
        <v>1892</v>
      </c>
      <c r="B4368" t="s">
        <v>1894</v>
      </c>
      <c r="C4368">
        <v>17</v>
      </c>
      <c r="D4368" t="s">
        <v>1447</v>
      </c>
      <c r="E4368" t="s">
        <v>1895</v>
      </c>
      <c r="F4368" t="s">
        <v>1737</v>
      </c>
      <c r="K4368" t="str">
        <f>IF(ISBLANK('Q 5'!C1236),"",IF('Q 5'!C1236="&lt;please select&gt;","",'Q 5'!C1236))</f>
        <v>Transfer of inherent CO2 (Article 48)</v>
      </c>
    </row>
    <row r="4369" spans="1:11" x14ac:dyDescent="0.3">
      <c r="A4369" t="s">
        <v>1892</v>
      </c>
      <c r="B4369" t="s">
        <v>1894</v>
      </c>
      <c r="C4369">
        <v>18</v>
      </c>
      <c r="D4369" t="s">
        <v>1447</v>
      </c>
      <c r="E4369" t="s">
        <v>1895</v>
      </c>
      <c r="F4369" t="s">
        <v>1737</v>
      </c>
      <c r="K4369" t="str">
        <f>IF(ISBLANK('Q 5'!C1237),"",IF('Q 5'!C1237="&lt;please select&gt;","",'Q 5'!C1237))</f>
        <v>Transfer of inherent CO2 (Article 48)</v>
      </c>
    </row>
    <row r="4370" spans="1:11" x14ac:dyDescent="0.3">
      <c r="A4370" t="s">
        <v>1892</v>
      </c>
      <c r="B4370" t="s">
        <v>1894</v>
      </c>
      <c r="C4370">
        <v>19</v>
      </c>
      <c r="D4370" t="s">
        <v>1447</v>
      </c>
      <c r="E4370" t="s">
        <v>1895</v>
      </c>
      <c r="F4370" t="s">
        <v>1737</v>
      </c>
      <c r="K4370" t="str">
        <f>IF(ISBLANK('Q 5'!C1238),"",IF('Q 5'!C1238="&lt;please select&gt;","",'Q 5'!C1238))</f>
        <v>Transfer of inherent CO2 (Article 48)</v>
      </c>
    </row>
    <row r="4371" spans="1:11" x14ac:dyDescent="0.3">
      <c r="A4371" t="s">
        <v>1892</v>
      </c>
      <c r="B4371" t="s">
        <v>1894</v>
      </c>
      <c r="C4371">
        <v>20</v>
      </c>
      <c r="D4371" t="s">
        <v>1447</v>
      </c>
      <c r="E4371" t="s">
        <v>1895</v>
      </c>
      <c r="F4371" t="s">
        <v>1737</v>
      </c>
      <c r="K4371" t="str">
        <f>IF(ISBLANK('Q 5'!C1239),"",IF('Q 5'!C1239="&lt;please select&gt;","",'Q 5'!C1239))</f>
        <v>Transfer of inherent CO2 (Article 48)</v>
      </c>
    </row>
    <row r="4372" spans="1:11" x14ac:dyDescent="0.3">
      <c r="A4372" t="s">
        <v>1892</v>
      </c>
      <c r="B4372" t="s">
        <v>1894</v>
      </c>
      <c r="C4372">
        <v>21</v>
      </c>
      <c r="D4372" t="s">
        <v>1447</v>
      </c>
      <c r="E4372" t="s">
        <v>1895</v>
      </c>
      <c r="F4372" t="s">
        <v>1737</v>
      </c>
      <c r="K4372" t="str">
        <f>IF(ISBLANK('Q 5'!C1240),"",IF('Q 5'!C1240="&lt;please select&gt;","",'Q 5'!C1240))</f>
        <v>Transfer of inherent CO2 (Article 48)</v>
      </c>
    </row>
    <row r="4373" spans="1:11" x14ac:dyDescent="0.3">
      <c r="A4373" t="s">
        <v>1892</v>
      </c>
      <c r="B4373" t="s">
        <v>1894</v>
      </c>
      <c r="C4373">
        <v>22</v>
      </c>
      <c r="D4373" t="s">
        <v>1447</v>
      </c>
      <c r="E4373" t="s">
        <v>1895</v>
      </c>
      <c r="F4373" t="s">
        <v>1737</v>
      </c>
      <c r="K4373" t="str">
        <f>IF(ISBLANK('Q 5'!C1241),"",IF('Q 5'!C1241="&lt;please select&gt;","",'Q 5'!C1241))</f>
        <v>Transfer of inherent CO2 (Article 48)</v>
      </c>
    </row>
    <row r="4374" spans="1:11" x14ac:dyDescent="0.3">
      <c r="A4374" t="s">
        <v>1892</v>
      </c>
      <c r="B4374" t="s">
        <v>1894</v>
      </c>
      <c r="C4374">
        <v>23</v>
      </c>
      <c r="D4374" t="s">
        <v>1447</v>
      </c>
      <c r="E4374" t="s">
        <v>1895</v>
      </c>
      <c r="F4374" t="s">
        <v>1737</v>
      </c>
      <c r="K4374" t="str">
        <f>IF(ISBLANK('Q 5'!C1242),"",IF('Q 5'!C1242="&lt;please select&gt;","",'Q 5'!C1242))</f>
        <v>Transfer of inherent CO2 (Article 48)</v>
      </c>
    </row>
    <row r="4375" spans="1:11" x14ac:dyDescent="0.3">
      <c r="A4375" t="s">
        <v>1892</v>
      </c>
      <c r="B4375" t="s">
        <v>1894</v>
      </c>
      <c r="C4375">
        <v>24</v>
      </c>
      <c r="D4375" t="s">
        <v>1447</v>
      </c>
      <c r="E4375" t="s">
        <v>1895</v>
      </c>
      <c r="F4375" t="s">
        <v>1737</v>
      </c>
      <c r="K4375" t="str">
        <f>IF(ISBLANK('Q 5'!C1243),"",IF('Q 5'!C1243="&lt;please select&gt;","",'Q 5'!C1243))</f>
        <v>Transfer of inherent CO2 (Article 48)</v>
      </c>
    </row>
    <row r="4376" spans="1:11" x14ac:dyDescent="0.3">
      <c r="A4376" t="s">
        <v>1892</v>
      </c>
      <c r="B4376" t="s">
        <v>1894</v>
      </c>
      <c r="C4376">
        <v>25</v>
      </c>
      <c r="D4376" t="s">
        <v>1447</v>
      </c>
      <c r="E4376" t="s">
        <v>1895</v>
      </c>
      <c r="F4376" t="s">
        <v>1737</v>
      </c>
      <c r="K4376" t="str">
        <f>IF(ISBLANK('Q 5'!C1244),"",IF('Q 5'!C1244="&lt;please select&gt;","",'Q 5'!C1244))</f>
        <v>Transfer of inherent CO2 (Article 48)</v>
      </c>
    </row>
    <row r="4377" spans="1:11" x14ac:dyDescent="0.3">
      <c r="A4377" t="s">
        <v>1892</v>
      </c>
      <c r="B4377" t="s">
        <v>1894</v>
      </c>
      <c r="C4377">
        <v>26</v>
      </c>
      <c r="D4377" t="s">
        <v>1447</v>
      </c>
      <c r="E4377" t="s">
        <v>1895</v>
      </c>
      <c r="F4377" t="s">
        <v>1737</v>
      </c>
      <c r="K4377" t="str">
        <f>IF(ISBLANK('Q 5'!C1245),"",IF('Q 5'!C1245="&lt;please select&gt;","",'Q 5'!C1245))</f>
        <v>Transfer of inherent CO2 (Article 48)</v>
      </c>
    </row>
    <row r="4378" spans="1:11" x14ac:dyDescent="0.3">
      <c r="A4378" t="s">
        <v>1892</v>
      </c>
      <c r="B4378" t="s">
        <v>1894</v>
      </c>
      <c r="C4378">
        <v>27</v>
      </c>
      <c r="D4378" t="s">
        <v>1447</v>
      </c>
      <c r="E4378" t="s">
        <v>1895</v>
      </c>
      <c r="F4378" t="s">
        <v>1737</v>
      </c>
      <c r="K4378" t="str">
        <f>IF(ISBLANK('Q 5'!C1246),"",IF('Q 5'!C1246="&lt;please select&gt;","",'Q 5'!C1246))</f>
        <v>Transfer of inherent CO2 (Article 48)</v>
      </c>
    </row>
    <row r="4379" spans="1:11" x14ac:dyDescent="0.3">
      <c r="A4379" t="s">
        <v>1892</v>
      </c>
      <c r="B4379" t="s">
        <v>1894</v>
      </c>
      <c r="C4379">
        <v>28</v>
      </c>
      <c r="D4379" t="s">
        <v>1447</v>
      </c>
      <c r="E4379" t="s">
        <v>1895</v>
      </c>
      <c r="F4379" t="s">
        <v>1737</v>
      </c>
      <c r="K4379" t="str">
        <f>IF(ISBLANK('Q 5'!C1247),"",IF('Q 5'!C1247="&lt;please select&gt;","",'Q 5'!C1247))</f>
        <v>Transfer of inherent CO2 (Article 48)</v>
      </c>
    </row>
    <row r="4380" spans="1:11" x14ac:dyDescent="0.3">
      <c r="A4380" t="s">
        <v>1892</v>
      </c>
      <c r="B4380" t="s">
        <v>1894</v>
      </c>
      <c r="C4380">
        <v>29</v>
      </c>
      <c r="D4380" t="s">
        <v>1447</v>
      </c>
      <c r="E4380" t="s">
        <v>1895</v>
      </c>
      <c r="F4380" t="s">
        <v>1737</v>
      </c>
      <c r="K4380" t="str">
        <f>IF(ISBLANK('Q 5'!C1248),"",IF('Q 5'!C1248="&lt;please select&gt;","",'Q 5'!C1248))</f>
        <v>Transfer of inherent CO2 (Article 48)</v>
      </c>
    </row>
    <row r="4381" spans="1:11" x14ac:dyDescent="0.3">
      <c r="A4381" t="s">
        <v>1892</v>
      </c>
      <c r="B4381" t="s">
        <v>1894</v>
      </c>
      <c r="C4381">
        <v>30</v>
      </c>
      <c r="D4381" t="s">
        <v>1447</v>
      </c>
      <c r="E4381" t="s">
        <v>1895</v>
      </c>
      <c r="F4381" t="s">
        <v>1737</v>
      </c>
      <c r="K4381" t="str">
        <f>IF(ISBLANK('Q 5'!C1249),"",IF('Q 5'!C1249="&lt;please select&gt;","",'Q 5'!C1249))</f>
        <v>Transfer of inherent CO2 (Article 48)</v>
      </c>
    </row>
    <row r="4382" spans="1:11" x14ac:dyDescent="0.3">
      <c r="A4382" t="s">
        <v>1892</v>
      </c>
      <c r="B4382" t="s">
        <v>1894</v>
      </c>
      <c r="C4382">
        <v>31</v>
      </c>
      <c r="D4382" t="s">
        <v>1447</v>
      </c>
      <c r="E4382" t="s">
        <v>1895</v>
      </c>
      <c r="F4382" t="s">
        <v>1737</v>
      </c>
      <c r="K4382" t="str">
        <f>IF(ISBLANK('Q 5'!C1250),"",IF('Q 5'!C1250="&lt;please select&gt;","",'Q 5'!C1250))</f>
        <v>Transfer of inherent CO2 (Article 48)</v>
      </c>
    </row>
    <row r="4383" spans="1:11" x14ac:dyDescent="0.3">
      <c r="A4383" t="s">
        <v>1892</v>
      </c>
      <c r="B4383" t="s">
        <v>1894</v>
      </c>
      <c r="C4383">
        <v>32</v>
      </c>
      <c r="D4383" t="s">
        <v>1447</v>
      </c>
      <c r="E4383" t="s">
        <v>1895</v>
      </c>
      <c r="F4383" t="s">
        <v>1737</v>
      </c>
      <c r="K4383" t="str">
        <f>IF(ISBLANK('Q 5'!C1251),"",IF('Q 5'!C1251="&lt;please select&gt;","",'Q 5'!C1251))</f>
        <v>Transfer of inherent CO2 (Article 48)</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PL000000000000363</v>
      </c>
    </row>
    <row r="4450" spans="1:7" x14ac:dyDescent="0.3">
      <c r="A4450" t="s">
        <v>1892</v>
      </c>
      <c r="B4450" t="s">
        <v>1894</v>
      </c>
      <c r="C4450">
        <v>2</v>
      </c>
      <c r="D4450" t="s">
        <v>1447</v>
      </c>
      <c r="E4450" t="s">
        <v>1896</v>
      </c>
      <c r="F4450" t="s">
        <v>1741</v>
      </c>
      <c r="G4450" t="str">
        <f>IF(ISBLANK('Q 5'!D1221),"",IF('Q 5'!D1221="&lt;please select&gt;","",'Q 5'!D1221))</f>
        <v>PL000000000000363</v>
      </c>
    </row>
    <row r="4451" spans="1:7" x14ac:dyDescent="0.3">
      <c r="A4451" t="s">
        <v>1892</v>
      </c>
      <c r="B4451" t="s">
        <v>1894</v>
      </c>
      <c r="C4451">
        <v>3</v>
      </c>
      <c r="D4451" t="s">
        <v>1447</v>
      </c>
      <c r="E4451" t="s">
        <v>1896</v>
      </c>
      <c r="F4451" t="s">
        <v>1741</v>
      </c>
      <c r="G4451" t="str">
        <f>IF(ISBLANK('Q 5'!D1222),"",IF('Q 5'!D1222="&lt;please select&gt;","",'Q 5'!D1222))</f>
        <v>PL000000000000365</v>
      </c>
    </row>
    <row r="4452" spans="1:7" x14ac:dyDescent="0.3">
      <c r="A4452" t="s">
        <v>1892</v>
      </c>
      <c r="B4452" t="s">
        <v>1894</v>
      </c>
      <c r="C4452">
        <v>4</v>
      </c>
      <c r="D4452" t="s">
        <v>1447</v>
      </c>
      <c r="E4452" t="s">
        <v>1896</v>
      </c>
      <c r="F4452" t="s">
        <v>1741</v>
      </c>
      <c r="G4452" t="str">
        <f>IF(ISBLANK('Q 5'!D1223),"",IF('Q 5'!D1223="&lt;please select&gt;","",'Q 5'!D1223))</f>
        <v>PL000000000000366</v>
      </c>
    </row>
    <row r="4453" spans="1:7" x14ac:dyDescent="0.3">
      <c r="A4453" t="s">
        <v>1892</v>
      </c>
      <c r="B4453" t="s">
        <v>1894</v>
      </c>
      <c r="C4453">
        <v>5</v>
      </c>
      <c r="D4453" t="s">
        <v>1447</v>
      </c>
      <c r="E4453" t="s">
        <v>1896</v>
      </c>
      <c r="F4453" t="s">
        <v>1741</v>
      </c>
      <c r="G4453" t="str">
        <f>IF(ISBLANK('Q 5'!D1224),"",IF('Q 5'!D1224="&lt;please select&gt;","",'Q 5'!D1224))</f>
        <v>PL000000000000367</v>
      </c>
    </row>
    <row r="4454" spans="1:7" x14ac:dyDescent="0.3">
      <c r="A4454" t="s">
        <v>1892</v>
      </c>
      <c r="B4454" t="s">
        <v>1894</v>
      </c>
      <c r="C4454">
        <v>6</v>
      </c>
      <c r="D4454" t="s">
        <v>1447</v>
      </c>
      <c r="E4454" t="s">
        <v>1896</v>
      </c>
      <c r="F4454" t="s">
        <v>1741</v>
      </c>
      <c r="G4454" t="str">
        <f>IF(ISBLANK('Q 5'!D1225),"",IF('Q 5'!D1225="&lt;please select&gt;","",'Q 5'!D1225))</f>
        <v>PL000000000000367</v>
      </c>
    </row>
    <row r="4455" spans="1:7" x14ac:dyDescent="0.3">
      <c r="A4455" t="s">
        <v>1892</v>
      </c>
      <c r="B4455" t="s">
        <v>1894</v>
      </c>
      <c r="C4455">
        <v>7</v>
      </c>
      <c r="D4455" t="s">
        <v>1447</v>
      </c>
      <c r="E4455" t="s">
        <v>1896</v>
      </c>
      <c r="F4455" t="s">
        <v>1741</v>
      </c>
      <c r="G4455" t="str">
        <f>IF(ISBLANK('Q 5'!D1226),"",IF('Q 5'!D1226="&lt;please select&gt;","",'Q 5'!D1226))</f>
        <v>PL000000000000367</v>
      </c>
    </row>
    <row r="4456" spans="1:7" x14ac:dyDescent="0.3">
      <c r="A4456" t="s">
        <v>1892</v>
      </c>
      <c r="B4456" t="s">
        <v>1894</v>
      </c>
      <c r="C4456">
        <v>8</v>
      </c>
      <c r="D4456" t="s">
        <v>1447</v>
      </c>
      <c r="E4456" t="s">
        <v>1896</v>
      </c>
      <c r="F4456" t="s">
        <v>1741</v>
      </c>
      <c r="G4456" t="str">
        <f>IF(ISBLANK('Q 5'!D1227),"",IF('Q 5'!D1227="&lt;please select&gt;","",'Q 5'!D1227))</f>
        <v>PL000000000000367</v>
      </c>
    </row>
    <row r="4457" spans="1:7" x14ac:dyDescent="0.3">
      <c r="A4457" t="s">
        <v>1892</v>
      </c>
      <c r="B4457" t="s">
        <v>1894</v>
      </c>
      <c r="C4457">
        <v>9</v>
      </c>
      <c r="D4457" t="s">
        <v>1447</v>
      </c>
      <c r="E4457" t="s">
        <v>1896</v>
      </c>
      <c r="F4457" t="s">
        <v>1741</v>
      </c>
      <c r="G4457" t="str">
        <f>IF(ISBLANK('Q 5'!D1228),"",IF('Q 5'!D1228="&lt;please select&gt;","",'Q 5'!D1228))</f>
        <v>PL000000000000368</v>
      </c>
    </row>
    <row r="4458" spans="1:7" x14ac:dyDescent="0.3">
      <c r="A4458" t="s">
        <v>1892</v>
      </c>
      <c r="B4458" t="s">
        <v>1894</v>
      </c>
      <c r="C4458">
        <v>10</v>
      </c>
      <c r="D4458" t="s">
        <v>1447</v>
      </c>
      <c r="E4458" t="s">
        <v>1896</v>
      </c>
      <c r="F4458" t="s">
        <v>1741</v>
      </c>
      <c r="G4458" t="str">
        <f>IF(ISBLANK('Q 5'!D1229),"",IF('Q 5'!D1229="&lt;please select&gt;","",'Q 5'!D1229))</f>
        <v>PL000000000000370</v>
      </c>
    </row>
    <row r="4459" spans="1:7" x14ac:dyDescent="0.3">
      <c r="A4459" t="s">
        <v>1892</v>
      </c>
      <c r="B4459" t="s">
        <v>1894</v>
      </c>
      <c r="C4459">
        <v>11</v>
      </c>
      <c r="D4459" t="s">
        <v>1447</v>
      </c>
      <c r="E4459" t="s">
        <v>1896</v>
      </c>
      <c r="F4459" t="s">
        <v>1741</v>
      </c>
      <c r="G4459" t="str">
        <f>IF(ISBLANK('Q 5'!D1230),"",IF('Q 5'!D1230="&lt;please select&gt;","",'Q 5'!D1230))</f>
        <v>PL000000000000370</v>
      </c>
    </row>
    <row r="4460" spans="1:7" x14ac:dyDescent="0.3">
      <c r="A4460" t="s">
        <v>1892</v>
      </c>
      <c r="B4460" t="s">
        <v>1894</v>
      </c>
      <c r="C4460">
        <v>12</v>
      </c>
      <c r="D4460" t="s">
        <v>1447</v>
      </c>
      <c r="E4460" t="s">
        <v>1896</v>
      </c>
      <c r="F4460" t="s">
        <v>1741</v>
      </c>
      <c r="G4460" t="str">
        <f>IF(ISBLANK('Q 5'!D1231),"",IF('Q 5'!D1231="&lt;please select&gt;","",'Q 5'!D1231))</f>
        <v>PL000000000000370</v>
      </c>
    </row>
    <row r="4461" spans="1:7" x14ac:dyDescent="0.3">
      <c r="A4461" t="s">
        <v>1892</v>
      </c>
      <c r="B4461" t="s">
        <v>1894</v>
      </c>
      <c r="C4461">
        <v>13</v>
      </c>
      <c r="D4461" t="s">
        <v>1447</v>
      </c>
      <c r="E4461" t="s">
        <v>1896</v>
      </c>
      <c r="F4461" t="s">
        <v>1741</v>
      </c>
      <c r="G4461" t="str">
        <f>IF(ISBLANK('Q 5'!D1232),"",IF('Q 5'!D1232="&lt;please select&gt;","",'Q 5'!D1232))</f>
        <v>PL000000000000370</v>
      </c>
    </row>
    <row r="4462" spans="1:7" x14ac:dyDescent="0.3">
      <c r="A4462" t="s">
        <v>1892</v>
      </c>
      <c r="B4462" t="s">
        <v>1894</v>
      </c>
      <c r="C4462">
        <v>14</v>
      </c>
      <c r="D4462" t="s">
        <v>1447</v>
      </c>
      <c r="E4462" t="s">
        <v>1896</v>
      </c>
      <c r="F4462" t="s">
        <v>1741</v>
      </c>
      <c r="G4462" t="str">
        <f>IF(ISBLANK('Q 5'!D1233),"",IF('Q 5'!D1233="&lt;please select&gt;","",'Q 5'!D1233))</f>
        <v>PL000000000000370</v>
      </c>
    </row>
    <row r="4463" spans="1:7" x14ac:dyDescent="0.3">
      <c r="A4463" t="s">
        <v>1892</v>
      </c>
      <c r="B4463" t="s">
        <v>1894</v>
      </c>
      <c r="C4463">
        <v>15</v>
      </c>
      <c r="D4463" t="s">
        <v>1447</v>
      </c>
      <c r="E4463" t="s">
        <v>1896</v>
      </c>
      <c r="F4463" t="s">
        <v>1741</v>
      </c>
      <c r="G4463" t="str">
        <f>IF(ISBLANK('Q 5'!D1234),"",IF('Q 5'!D1234="&lt;please select&gt;","",'Q 5'!D1234))</f>
        <v>PL000000000000652</v>
      </c>
    </row>
    <row r="4464" spans="1:7" x14ac:dyDescent="0.3">
      <c r="A4464" t="s">
        <v>1892</v>
      </c>
      <c r="B4464" t="s">
        <v>1894</v>
      </c>
      <c r="C4464">
        <v>16</v>
      </c>
      <c r="D4464" t="s">
        <v>1447</v>
      </c>
      <c r="E4464" t="s">
        <v>1896</v>
      </c>
      <c r="F4464" t="s">
        <v>1741</v>
      </c>
      <c r="G4464" t="str">
        <f>IF(ISBLANK('Q 5'!D1235),"",IF('Q 5'!D1235="&lt;please select&gt;","",'Q 5'!D1235))</f>
        <v>PL000000000000653</v>
      </c>
    </row>
    <row r="4465" spans="1:7" x14ac:dyDescent="0.3">
      <c r="A4465" t="s">
        <v>1892</v>
      </c>
      <c r="B4465" t="s">
        <v>1894</v>
      </c>
      <c r="C4465">
        <v>17</v>
      </c>
      <c r="D4465" t="s">
        <v>1447</v>
      </c>
      <c r="E4465" t="s">
        <v>1896</v>
      </c>
      <c r="F4465" t="s">
        <v>1741</v>
      </c>
      <c r="G4465" t="str">
        <f>IF(ISBLANK('Q 5'!D1236),"",IF('Q 5'!D1236="&lt;please select&gt;","",'Q 5'!D1236))</f>
        <v>PL000000000000653</v>
      </c>
    </row>
    <row r="4466" spans="1:7" x14ac:dyDescent="0.3">
      <c r="A4466" t="s">
        <v>1892</v>
      </c>
      <c r="B4466" t="s">
        <v>1894</v>
      </c>
      <c r="C4466">
        <v>18</v>
      </c>
      <c r="D4466" t="s">
        <v>1447</v>
      </c>
      <c r="E4466" t="s">
        <v>1896</v>
      </c>
      <c r="F4466" t="s">
        <v>1741</v>
      </c>
      <c r="G4466" t="str">
        <f>IF(ISBLANK('Q 5'!D1237),"",IF('Q 5'!D1237="&lt;please select&gt;","",'Q 5'!D1237))</f>
        <v>PL000000000000653</v>
      </c>
    </row>
    <row r="4467" spans="1:7" x14ac:dyDescent="0.3">
      <c r="A4467" t="s">
        <v>1892</v>
      </c>
      <c r="B4467" t="s">
        <v>1894</v>
      </c>
      <c r="C4467">
        <v>19</v>
      </c>
      <c r="D4467" t="s">
        <v>1447</v>
      </c>
      <c r="E4467" t="s">
        <v>1896</v>
      </c>
      <c r="F4467" t="s">
        <v>1741</v>
      </c>
      <c r="G4467" t="str">
        <f>IF(ISBLANK('Q 5'!D1238),"",IF('Q 5'!D1238="&lt;please select&gt;","",'Q 5'!D1238))</f>
        <v>PL000000000000653</v>
      </c>
    </row>
    <row r="4468" spans="1:7" x14ac:dyDescent="0.3">
      <c r="A4468" t="s">
        <v>1892</v>
      </c>
      <c r="B4468" t="s">
        <v>1894</v>
      </c>
      <c r="C4468">
        <v>20</v>
      </c>
      <c r="D4468" t="s">
        <v>1447</v>
      </c>
      <c r="E4468" t="s">
        <v>1896</v>
      </c>
      <c r="F4468" t="s">
        <v>1741</v>
      </c>
      <c r="G4468" t="str">
        <f>IF(ISBLANK('Q 5'!D1239),"",IF('Q 5'!D1239="&lt;please select&gt;","",'Q 5'!D1239))</f>
        <v>PL000000000000653</v>
      </c>
    </row>
    <row r="4469" spans="1:7" x14ac:dyDescent="0.3">
      <c r="A4469" t="s">
        <v>1892</v>
      </c>
      <c r="B4469" t="s">
        <v>1894</v>
      </c>
      <c r="C4469">
        <v>21</v>
      </c>
      <c r="D4469" t="s">
        <v>1447</v>
      </c>
      <c r="E4469" t="s">
        <v>1896</v>
      </c>
      <c r="F4469" t="s">
        <v>1741</v>
      </c>
      <c r="G4469" t="str">
        <f>IF(ISBLANK('Q 5'!D1240),"",IF('Q 5'!D1240="&lt;please select&gt;","",'Q 5'!D1240))</f>
        <v>PL000000000000653</v>
      </c>
    </row>
    <row r="4470" spans="1:7" x14ac:dyDescent="0.3">
      <c r="A4470" t="s">
        <v>1892</v>
      </c>
      <c r="B4470" t="s">
        <v>1894</v>
      </c>
      <c r="C4470">
        <v>22</v>
      </c>
      <c r="D4470" t="s">
        <v>1447</v>
      </c>
      <c r="E4470" t="s">
        <v>1896</v>
      </c>
      <c r="F4470" t="s">
        <v>1741</v>
      </c>
      <c r="G4470" t="str">
        <f>IF(ISBLANK('Q 5'!D1241),"",IF('Q 5'!D1241="&lt;please select&gt;","",'Q 5'!D1241))</f>
        <v>PL000000000000653</v>
      </c>
    </row>
    <row r="4471" spans="1:7" x14ac:dyDescent="0.3">
      <c r="A4471" t="s">
        <v>1892</v>
      </c>
      <c r="B4471" t="s">
        <v>1894</v>
      </c>
      <c r="C4471">
        <v>23</v>
      </c>
      <c r="D4471" t="s">
        <v>1447</v>
      </c>
      <c r="E4471" t="s">
        <v>1896</v>
      </c>
      <c r="F4471" t="s">
        <v>1741</v>
      </c>
      <c r="G4471" t="str">
        <f>IF(ISBLANK('Q 5'!D1242),"",IF('Q 5'!D1242="&lt;please select&gt;","",'Q 5'!D1242))</f>
        <v>PL000000000000653</v>
      </c>
    </row>
    <row r="4472" spans="1:7" x14ac:dyDescent="0.3">
      <c r="A4472" t="s">
        <v>1892</v>
      </c>
      <c r="B4472" t="s">
        <v>1894</v>
      </c>
      <c r="C4472">
        <v>24</v>
      </c>
      <c r="D4472" t="s">
        <v>1447</v>
      </c>
      <c r="E4472" t="s">
        <v>1896</v>
      </c>
      <c r="F4472" t="s">
        <v>1741</v>
      </c>
      <c r="G4472" t="str">
        <f>IF(ISBLANK('Q 5'!D1243),"",IF('Q 5'!D1243="&lt;please select&gt;","",'Q 5'!D1243))</f>
        <v>PL000000000000886</v>
      </c>
    </row>
    <row r="4473" spans="1:7" x14ac:dyDescent="0.3">
      <c r="A4473" t="s">
        <v>1892</v>
      </c>
      <c r="B4473" t="s">
        <v>1894</v>
      </c>
      <c r="C4473">
        <v>25</v>
      </c>
      <c r="D4473" t="s">
        <v>1447</v>
      </c>
      <c r="E4473" t="s">
        <v>1896</v>
      </c>
      <c r="F4473" t="s">
        <v>1741</v>
      </c>
      <c r="G4473" t="str">
        <f>IF(ISBLANK('Q 5'!D1244),"",IF('Q 5'!D1244="&lt;please select&gt;","",'Q 5'!D1244))</f>
        <v>PL000000000000886</v>
      </c>
    </row>
    <row r="4474" spans="1:7" x14ac:dyDescent="0.3">
      <c r="A4474" t="s">
        <v>1892</v>
      </c>
      <c r="B4474" t="s">
        <v>1894</v>
      </c>
      <c r="C4474">
        <v>26</v>
      </c>
      <c r="D4474" t="s">
        <v>1447</v>
      </c>
      <c r="E4474" t="s">
        <v>1896</v>
      </c>
      <c r="F4474" t="s">
        <v>1741</v>
      </c>
      <c r="G4474" t="str">
        <f>IF(ISBLANK('Q 5'!D1245),"",IF('Q 5'!D1245="&lt;please select&gt;","",'Q 5'!D1245))</f>
        <v>PL000000000000886</v>
      </c>
    </row>
    <row r="4475" spans="1:7" x14ac:dyDescent="0.3">
      <c r="A4475" t="s">
        <v>1892</v>
      </c>
      <c r="B4475" t="s">
        <v>1894</v>
      </c>
      <c r="C4475">
        <v>27</v>
      </c>
      <c r="D4475" t="s">
        <v>1447</v>
      </c>
      <c r="E4475" t="s">
        <v>1896</v>
      </c>
      <c r="F4475" t="s">
        <v>1741</v>
      </c>
      <c r="G4475" t="str">
        <f>IF(ISBLANK('Q 5'!D1246),"",IF('Q 5'!D1246="&lt;please select&gt;","",'Q 5'!D1246))</f>
        <v>PL000000000000886</v>
      </c>
    </row>
    <row r="4476" spans="1:7" x14ac:dyDescent="0.3">
      <c r="A4476" t="s">
        <v>1892</v>
      </c>
      <c r="B4476" t="s">
        <v>1894</v>
      </c>
      <c r="C4476">
        <v>28</v>
      </c>
      <c r="D4476" t="s">
        <v>1447</v>
      </c>
      <c r="E4476" t="s">
        <v>1896</v>
      </c>
      <c r="F4476" t="s">
        <v>1741</v>
      </c>
      <c r="G4476" t="str">
        <f>IF(ISBLANK('Q 5'!D1247),"",IF('Q 5'!D1247="&lt;please select&gt;","",'Q 5'!D1247))</f>
        <v>PL000000000000886</v>
      </c>
    </row>
    <row r="4477" spans="1:7" x14ac:dyDescent="0.3">
      <c r="A4477" t="s">
        <v>1892</v>
      </c>
      <c r="B4477" t="s">
        <v>1894</v>
      </c>
      <c r="C4477">
        <v>29</v>
      </c>
      <c r="D4477" t="s">
        <v>1447</v>
      </c>
      <c r="E4477" t="s">
        <v>1896</v>
      </c>
      <c r="F4477" t="s">
        <v>1741</v>
      </c>
      <c r="G4477" t="str">
        <f>IF(ISBLANK('Q 5'!D1248),"",IF('Q 5'!D1248="&lt;please select&gt;","",'Q 5'!D1248))</f>
        <v>PL000000000000886</v>
      </c>
    </row>
    <row r="4478" spans="1:7" x14ac:dyDescent="0.3">
      <c r="A4478" t="s">
        <v>1892</v>
      </c>
      <c r="B4478" t="s">
        <v>1894</v>
      </c>
      <c r="C4478">
        <v>30</v>
      </c>
      <c r="D4478" t="s">
        <v>1447</v>
      </c>
      <c r="E4478" t="s">
        <v>1896</v>
      </c>
      <c r="F4478" t="s">
        <v>1741</v>
      </c>
      <c r="G4478" t="str">
        <f>IF(ISBLANK('Q 5'!D1249),"",IF('Q 5'!D1249="&lt;please select&gt;","",'Q 5'!D1249))</f>
        <v>PL000000000000886</v>
      </c>
    </row>
    <row r="4479" spans="1:7" x14ac:dyDescent="0.3">
      <c r="A4479" t="s">
        <v>1892</v>
      </c>
      <c r="B4479" t="s">
        <v>1894</v>
      </c>
      <c r="C4479">
        <v>31</v>
      </c>
      <c r="D4479" t="s">
        <v>1447</v>
      </c>
      <c r="E4479" t="s">
        <v>1896</v>
      </c>
      <c r="F4479" t="s">
        <v>1741</v>
      </c>
      <c r="G4479" t="str">
        <f>IF(ISBLANK('Q 5'!D1250),"",IF('Q 5'!D1250="&lt;please select&gt;","",'Q 5'!D1250))</f>
        <v>PL000000000203105</v>
      </c>
    </row>
    <row r="4480" spans="1:7" x14ac:dyDescent="0.3">
      <c r="A4480" t="s">
        <v>1892</v>
      </c>
      <c r="B4480" t="s">
        <v>1894</v>
      </c>
      <c r="C4480">
        <v>32</v>
      </c>
      <c r="D4480" t="s">
        <v>1447</v>
      </c>
      <c r="E4480" t="s">
        <v>1896</v>
      </c>
      <c r="F4480" t="s">
        <v>1741</v>
      </c>
      <c r="G4480" t="str">
        <f>IF(ISBLANK('Q 5'!D1251),"",IF('Q 5'!D1251="&lt;please select&gt;","",'Q 5'!D1251))</f>
        <v>PL000000000202510</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PL000000000000896</v>
      </c>
    </row>
    <row r="4547" spans="1:7" x14ac:dyDescent="0.3">
      <c r="A4547" t="s">
        <v>1892</v>
      </c>
      <c r="B4547" t="s">
        <v>1894</v>
      </c>
      <c r="C4547">
        <v>2</v>
      </c>
      <c r="D4547" t="s">
        <v>1447</v>
      </c>
      <c r="E4547" t="s">
        <v>1897</v>
      </c>
      <c r="F4547" t="s">
        <v>1741</v>
      </c>
      <c r="G4547" t="str">
        <f>IF(ISBLANK('Q 5'!E1221),"",IF('Q 5'!E1221="&lt;please select&gt;","",'Q 5'!E1221))</f>
        <v>PL000000000000076</v>
      </c>
    </row>
    <row r="4548" spans="1:7" x14ac:dyDescent="0.3">
      <c r="A4548" t="s">
        <v>1892</v>
      </c>
      <c r="B4548" t="s">
        <v>1894</v>
      </c>
      <c r="C4548">
        <v>3</v>
      </c>
      <c r="D4548" t="s">
        <v>1447</v>
      </c>
      <c r="E4548" t="s">
        <v>1897</v>
      </c>
      <c r="F4548" t="s">
        <v>1741</v>
      </c>
      <c r="G4548" t="str">
        <f>IF(ISBLANK('Q 5'!E1222),"",IF('Q 5'!E1222="&lt;please select&gt;","",'Q 5'!E1222))</f>
        <v>PL000000000000523</v>
      </c>
    </row>
    <row r="4549" spans="1:7" x14ac:dyDescent="0.3">
      <c r="A4549" t="s">
        <v>1892</v>
      </c>
      <c r="B4549" t="s">
        <v>1894</v>
      </c>
      <c r="C4549">
        <v>4</v>
      </c>
      <c r="D4549" t="s">
        <v>1447</v>
      </c>
      <c r="E4549" t="s">
        <v>1897</v>
      </c>
      <c r="F4549" t="s">
        <v>1741</v>
      </c>
      <c r="G4549" t="str">
        <f>IF(ISBLANK('Q 5'!E1223),"",IF('Q 5'!E1223="&lt;please select&gt;","",'Q 5'!E1223))</f>
        <v>PL000000000000338</v>
      </c>
    </row>
    <row r="4550" spans="1:7" x14ac:dyDescent="0.3">
      <c r="A4550" t="s">
        <v>1892</v>
      </c>
      <c r="B4550" t="s">
        <v>1894</v>
      </c>
      <c r="C4550">
        <v>5</v>
      </c>
      <c r="D4550" t="s">
        <v>1447</v>
      </c>
      <c r="E4550" t="s">
        <v>1897</v>
      </c>
      <c r="F4550" t="s">
        <v>1741</v>
      </c>
      <c r="G4550" t="str">
        <f>IF(ISBLANK('Q 5'!E1224),"",IF('Q 5'!E1224="&lt;please select&gt;","",'Q 5'!E1224))</f>
        <v>PL000000000000885</v>
      </c>
    </row>
    <row r="4551" spans="1:7" x14ac:dyDescent="0.3">
      <c r="A4551" t="s">
        <v>1892</v>
      </c>
      <c r="B4551" t="s">
        <v>1894</v>
      </c>
      <c r="C4551">
        <v>6</v>
      </c>
      <c r="D4551" t="s">
        <v>1447</v>
      </c>
      <c r="E4551" t="s">
        <v>1897</v>
      </c>
      <c r="F4551" t="s">
        <v>1741</v>
      </c>
      <c r="G4551" t="str">
        <f>IF(ISBLANK('Q 5'!E1225),"",IF('Q 5'!E1225="&lt;please select&gt;","",'Q 5'!E1225))</f>
        <v>PL000000000000898</v>
      </c>
    </row>
    <row r="4552" spans="1:7" x14ac:dyDescent="0.3">
      <c r="A4552" t="s">
        <v>1892</v>
      </c>
      <c r="B4552" t="s">
        <v>1894</v>
      </c>
      <c r="C4552">
        <v>7</v>
      </c>
      <c r="D4552" t="s">
        <v>1447</v>
      </c>
      <c r="E4552" t="s">
        <v>1897</v>
      </c>
      <c r="F4552" t="s">
        <v>1741</v>
      </c>
      <c r="G4552" t="str">
        <f>IF(ISBLANK('Q 5'!E1226),"",IF('Q 5'!E1226="&lt;please select&gt;","",'Q 5'!E1226))</f>
        <v>PL000000000000848</v>
      </c>
    </row>
    <row r="4553" spans="1:7" x14ac:dyDescent="0.3">
      <c r="A4553" t="s">
        <v>1892</v>
      </c>
      <c r="B4553" t="s">
        <v>1894</v>
      </c>
      <c r="C4553">
        <v>8</v>
      </c>
      <c r="D4553" t="s">
        <v>1447</v>
      </c>
      <c r="E4553" t="s">
        <v>1897</v>
      </c>
      <c r="F4553" t="s">
        <v>1741</v>
      </c>
      <c r="G4553" t="str">
        <f>IF(ISBLANK('Q 5'!E1227),"",IF('Q 5'!E1227="&lt;please select&gt;","",'Q 5'!E1227))</f>
        <v>PL000000000000457</v>
      </c>
    </row>
    <row r="4554" spans="1:7" x14ac:dyDescent="0.3">
      <c r="A4554" t="s">
        <v>1892</v>
      </c>
      <c r="B4554" t="s">
        <v>1894</v>
      </c>
      <c r="C4554">
        <v>9</v>
      </c>
      <c r="D4554" t="s">
        <v>1447</v>
      </c>
      <c r="E4554" t="s">
        <v>1897</v>
      </c>
      <c r="F4554" t="s">
        <v>1741</v>
      </c>
      <c r="G4554" t="str">
        <f>IF(ISBLANK('Q 5'!E1228),"",IF('Q 5'!E1228="&lt;please select&gt;","",'Q 5'!E1228))</f>
        <v>PL000000000000852</v>
      </c>
    </row>
    <row r="4555" spans="1:7" x14ac:dyDescent="0.3">
      <c r="A4555" t="s">
        <v>1892</v>
      </c>
      <c r="B4555" t="s">
        <v>1894</v>
      </c>
      <c r="C4555">
        <v>10</v>
      </c>
      <c r="D4555" t="s">
        <v>1447</v>
      </c>
      <c r="E4555" t="s">
        <v>1897</v>
      </c>
      <c r="F4555" t="s">
        <v>1741</v>
      </c>
      <c r="G4555" t="str">
        <f>IF(ISBLANK('Q 5'!E1229),"",IF('Q 5'!E1229="&lt;please select&gt;","",'Q 5'!E1229))</f>
        <v>PL000000000000010</v>
      </c>
    </row>
    <row r="4556" spans="1:7" x14ac:dyDescent="0.3">
      <c r="A4556" t="s">
        <v>1892</v>
      </c>
      <c r="B4556" t="s">
        <v>1894</v>
      </c>
      <c r="C4556">
        <v>11</v>
      </c>
      <c r="D4556" t="s">
        <v>1447</v>
      </c>
      <c r="E4556" t="s">
        <v>1897</v>
      </c>
      <c r="F4556" t="s">
        <v>1741</v>
      </c>
      <c r="G4556" t="str">
        <f>IF(ISBLANK('Q 5'!E1230),"",IF('Q 5'!E1230="&lt;please select&gt;","",'Q 5'!E1230))</f>
        <v>PL000000000000456</v>
      </c>
    </row>
    <row r="4557" spans="1:7" x14ac:dyDescent="0.3">
      <c r="A4557" t="s">
        <v>1892</v>
      </c>
      <c r="B4557" t="s">
        <v>1894</v>
      </c>
      <c r="C4557">
        <v>12</v>
      </c>
      <c r="D4557" t="s">
        <v>1447</v>
      </c>
      <c r="E4557" t="s">
        <v>1897</v>
      </c>
      <c r="F4557" t="s">
        <v>1741</v>
      </c>
      <c r="G4557" t="str">
        <f>IF(ISBLANK('Q 5'!E1231),"",IF('Q 5'!E1231="&lt;please select&gt;","",'Q 5'!E1231))</f>
        <v>PL000000000000835</v>
      </c>
    </row>
    <row r="4558" spans="1:7" x14ac:dyDescent="0.3">
      <c r="A4558" t="s">
        <v>1892</v>
      </c>
      <c r="B4558" t="s">
        <v>1894</v>
      </c>
      <c r="C4558">
        <v>13</v>
      </c>
      <c r="D4558" t="s">
        <v>1447</v>
      </c>
      <c r="E4558" t="s">
        <v>1897</v>
      </c>
      <c r="F4558" t="s">
        <v>1741</v>
      </c>
      <c r="G4558" t="str">
        <f>IF(ISBLANK('Q 5'!E1232),"",IF('Q 5'!E1232="&lt;please select&gt;","",'Q 5'!E1232))</f>
        <v>PL000000000000495</v>
      </c>
    </row>
    <row r="4559" spans="1:7" x14ac:dyDescent="0.3">
      <c r="A4559" t="s">
        <v>1892</v>
      </c>
      <c r="B4559" t="s">
        <v>1894</v>
      </c>
      <c r="C4559">
        <v>14</v>
      </c>
      <c r="D4559" t="s">
        <v>1447</v>
      </c>
      <c r="E4559" t="s">
        <v>1897</v>
      </c>
      <c r="F4559" t="s">
        <v>1741</v>
      </c>
      <c r="G4559" t="str">
        <f>IF(ISBLANK('Q 5'!E1233),"",IF('Q 5'!E1233="&lt;please select&gt;","",'Q 5'!E1233))</f>
        <v>PL000000000203087</v>
      </c>
    </row>
    <row r="4560" spans="1:7" x14ac:dyDescent="0.3">
      <c r="A4560" t="s">
        <v>1892</v>
      </c>
      <c r="B4560" t="s">
        <v>1894</v>
      </c>
      <c r="C4560">
        <v>15</v>
      </c>
      <c r="D4560" t="s">
        <v>1447</v>
      </c>
      <c r="E4560" t="s">
        <v>1897</v>
      </c>
      <c r="F4560" t="s">
        <v>1741</v>
      </c>
      <c r="G4560" t="str">
        <f>IF(ISBLANK('Q 5'!E1234),"",IF('Q 5'!E1234="&lt;please select&gt;","",'Q 5'!E1234))</f>
        <v>PL000000000207726</v>
      </c>
    </row>
    <row r="4561" spans="1:7" x14ac:dyDescent="0.3">
      <c r="A4561" t="s">
        <v>1892</v>
      </c>
      <c r="B4561" t="s">
        <v>1894</v>
      </c>
      <c r="C4561">
        <v>16</v>
      </c>
      <c r="D4561" t="s">
        <v>1447</v>
      </c>
      <c r="E4561" t="s">
        <v>1897</v>
      </c>
      <c r="F4561" t="s">
        <v>1741</v>
      </c>
      <c r="G4561" t="str">
        <f>IF(ISBLANK('Q 5'!E1235),"",IF('Q 5'!E1235="&lt;please select&gt;","",'Q 5'!E1235))</f>
        <v>PL000000000000375</v>
      </c>
    </row>
    <row r="4562" spans="1:7" x14ac:dyDescent="0.3">
      <c r="A4562" t="s">
        <v>1892</v>
      </c>
      <c r="B4562" t="s">
        <v>1894</v>
      </c>
      <c r="C4562">
        <v>17</v>
      </c>
      <c r="D4562" t="s">
        <v>1447</v>
      </c>
      <c r="E4562" t="s">
        <v>1897</v>
      </c>
      <c r="F4562" t="s">
        <v>1741</v>
      </c>
      <c r="G4562" t="str">
        <f>IF(ISBLANK('Q 5'!E1236),"",IF('Q 5'!E1236="&lt;please select&gt;","",'Q 5'!E1236))</f>
        <v>PL000000000000886</v>
      </c>
    </row>
    <row r="4563" spans="1:7" x14ac:dyDescent="0.3">
      <c r="A4563" t="s">
        <v>1892</v>
      </c>
      <c r="B4563" t="s">
        <v>1894</v>
      </c>
      <c r="C4563">
        <v>18</v>
      </c>
      <c r="D4563" t="s">
        <v>1447</v>
      </c>
      <c r="E4563" t="s">
        <v>1897</v>
      </c>
      <c r="F4563" t="s">
        <v>1741</v>
      </c>
      <c r="G4563" t="str">
        <f>IF(ISBLANK('Q 5'!E1237),"",IF('Q 5'!E1237="&lt;please select&gt;","",'Q 5'!E1237))</f>
        <v>PL000000000000887</v>
      </c>
    </row>
    <row r="4564" spans="1:7" x14ac:dyDescent="0.3">
      <c r="A4564" t="s">
        <v>1892</v>
      </c>
      <c r="B4564" t="s">
        <v>1894</v>
      </c>
      <c r="C4564">
        <v>19</v>
      </c>
      <c r="D4564" t="s">
        <v>1447</v>
      </c>
      <c r="E4564" t="s">
        <v>1897</v>
      </c>
      <c r="F4564" t="s">
        <v>1741</v>
      </c>
      <c r="G4564" t="str">
        <f>IF(ISBLANK('Q 5'!E1238),"",IF('Q 5'!E1238="&lt;please select&gt;","",'Q 5'!E1238))</f>
        <v>PL000000000000897</v>
      </c>
    </row>
    <row r="4565" spans="1:7" x14ac:dyDescent="0.3">
      <c r="A4565" t="s">
        <v>1892</v>
      </c>
      <c r="B4565" t="s">
        <v>1894</v>
      </c>
      <c r="C4565">
        <v>20</v>
      </c>
      <c r="D4565" t="s">
        <v>1447</v>
      </c>
      <c r="E4565" t="s">
        <v>1897</v>
      </c>
      <c r="F4565" t="s">
        <v>1741</v>
      </c>
      <c r="G4565" t="str">
        <f>IF(ISBLANK('Q 5'!E1239),"",IF('Q 5'!E1239="&lt;please select&gt;","",'Q 5'!E1239))</f>
        <v>PL000000000000935</v>
      </c>
    </row>
    <row r="4566" spans="1:7" x14ac:dyDescent="0.3">
      <c r="A4566" t="s">
        <v>1892</v>
      </c>
      <c r="B4566" t="s">
        <v>1894</v>
      </c>
      <c r="C4566">
        <v>21</v>
      </c>
      <c r="D4566" t="s">
        <v>1447</v>
      </c>
      <c r="E4566" t="s">
        <v>1897</v>
      </c>
      <c r="F4566" t="s">
        <v>1741</v>
      </c>
      <c r="G4566" t="str">
        <f>IF(ISBLANK('Q 5'!E1240),"",IF('Q 5'!E1240="&lt;please select&gt;","",'Q 5'!E1240))</f>
        <v>PL000000000000935</v>
      </c>
    </row>
    <row r="4567" spans="1:7" x14ac:dyDescent="0.3">
      <c r="A4567" t="s">
        <v>1892</v>
      </c>
      <c r="B4567" t="s">
        <v>1894</v>
      </c>
      <c r="C4567">
        <v>22</v>
      </c>
      <c r="D4567" t="s">
        <v>1447</v>
      </c>
      <c r="E4567" t="s">
        <v>1897</v>
      </c>
      <c r="F4567" t="s">
        <v>1741</v>
      </c>
      <c r="G4567" t="str">
        <f>IF(ISBLANK('Q 5'!E1241),"",IF('Q 5'!E1241="&lt;please select&gt;","",'Q 5'!E1241))</f>
        <v>PL000000000207262</v>
      </c>
    </row>
    <row r="4568" spans="1:7" x14ac:dyDescent="0.3">
      <c r="A4568" t="s">
        <v>1892</v>
      </c>
      <c r="B4568" t="s">
        <v>1894</v>
      </c>
      <c r="C4568">
        <v>23</v>
      </c>
      <c r="D4568" t="s">
        <v>1447</v>
      </c>
      <c r="E4568" t="s">
        <v>1897</v>
      </c>
      <c r="F4568" t="s">
        <v>1741</v>
      </c>
      <c r="G4568" t="str">
        <f>IF(ISBLANK('Q 5'!E1242),"",IF('Q 5'!E1242="&lt;please select&gt;","",'Q 5'!E1242))</f>
        <v>PL000000000000031</v>
      </c>
    </row>
    <row r="4569" spans="1:7" x14ac:dyDescent="0.3">
      <c r="A4569" t="s">
        <v>1892</v>
      </c>
      <c r="B4569" t="s">
        <v>1894</v>
      </c>
      <c r="C4569">
        <v>24</v>
      </c>
      <c r="D4569" t="s">
        <v>1447</v>
      </c>
      <c r="E4569" t="s">
        <v>1897</v>
      </c>
      <c r="F4569" t="s">
        <v>1741</v>
      </c>
      <c r="G4569" t="str">
        <f>IF(ISBLANK('Q 5'!E1243),"",IF('Q 5'!E1243="&lt;please select&gt;","",'Q 5'!E1243))</f>
        <v>PL000000000000375</v>
      </c>
    </row>
    <row r="4570" spans="1:7" x14ac:dyDescent="0.3">
      <c r="A4570" t="s">
        <v>1892</v>
      </c>
      <c r="B4570" t="s">
        <v>1894</v>
      </c>
      <c r="C4570">
        <v>25</v>
      </c>
      <c r="D4570" t="s">
        <v>1447</v>
      </c>
      <c r="E4570" t="s">
        <v>1897</v>
      </c>
      <c r="F4570" t="s">
        <v>1741</v>
      </c>
      <c r="G4570" t="str">
        <f>IF(ISBLANK('Q 5'!E1244),"",IF('Q 5'!E1244="&lt;please select&gt;","",'Q 5'!E1244))</f>
        <v>PL000000000000375</v>
      </c>
    </row>
    <row r="4571" spans="1:7" x14ac:dyDescent="0.3">
      <c r="A4571" t="s">
        <v>1892</v>
      </c>
      <c r="B4571" t="s">
        <v>1894</v>
      </c>
      <c r="C4571">
        <v>26</v>
      </c>
      <c r="D4571" t="s">
        <v>1447</v>
      </c>
      <c r="E4571" t="s">
        <v>1897</v>
      </c>
      <c r="F4571" t="s">
        <v>1741</v>
      </c>
      <c r="G4571" t="str">
        <f>IF(ISBLANK('Q 5'!E1245),"",IF('Q 5'!E1245="&lt;please select&gt;","",'Q 5'!E1245))</f>
        <v>PL000000000000887</v>
      </c>
    </row>
    <row r="4572" spans="1:7" x14ac:dyDescent="0.3">
      <c r="A4572" t="s">
        <v>1892</v>
      </c>
      <c r="B4572" t="s">
        <v>1894</v>
      </c>
      <c r="C4572">
        <v>27</v>
      </c>
      <c r="D4572" t="s">
        <v>1447</v>
      </c>
      <c r="E4572" t="s">
        <v>1897</v>
      </c>
      <c r="F4572" t="s">
        <v>1741</v>
      </c>
      <c r="G4572" t="str">
        <f>IF(ISBLANK('Q 5'!E1246),"",IF('Q 5'!E1246="&lt;please select&gt;","",'Q 5'!E1246))</f>
        <v>PL000000000000897</v>
      </c>
    </row>
    <row r="4573" spans="1:7" x14ac:dyDescent="0.3">
      <c r="A4573" t="s">
        <v>1892</v>
      </c>
      <c r="B4573" t="s">
        <v>1894</v>
      </c>
      <c r="C4573">
        <v>28</v>
      </c>
      <c r="D4573" t="s">
        <v>1447</v>
      </c>
      <c r="E4573" t="s">
        <v>1897</v>
      </c>
      <c r="F4573" t="s">
        <v>1741</v>
      </c>
      <c r="G4573" t="str">
        <f>IF(ISBLANK('Q 5'!E1247),"",IF('Q 5'!E1247="&lt;please select&gt;","",'Q 5'!E1247))</f>
        <v>PL000000000000887</v>
      </c>
    </row>
    <row r="4574" spans="1:7" x14ac:dyDescent="0.3">
      <c r="A4574" t="s">
        <v>1892</v>
      </c>
      <c r="B4574" t="s">
        <v>1894</v>
      </c>
      <c r="C4574">
        <v>29</v>
      </c>
      <c r="D4574" t="s">
        <v>1447</v>
      </c>
      <c r="E4574" t="s">
        <v>1897</v>
      </c>
      <c r="F4574" t="s">
        <v>1741</v>
      </c>
      <c r="G4574" t="str">
        <f>IF(ISBLANK('Q 5'!E1248),"",IF('Q 5'!E1248="&lt;please select&gt;","",'Q 5'!E1248))</f>
        <v>PL000000000000897</v>
      </c>
    </row>
    <row r="4575" spans="1:7" x14ac:dyDescent="0.3">
      <c r="A4575" t="s">
        <v>1892</v>
      </c>
      <c r="B4575" t="s">
        <v>1894</v>
      </c>
      <c r="C4575">
        <v>30</v>
      </c>
      <c r="D4575" t="s">
        <v>1447</v>
      </c>
      <c r="E4575" t="s">
        <v>1897</v>
      </c>
      <c r="F4575" t="s">
        <v>1741</v>
      </c>
      <c r="G4575" t="str">
        <f>IF(ISBLANK('Q 5'!E1249),"",IF('Q 5'!E1249="&lt;please select&gt;","",'Q 5'!E1249))</f>
        <v>PL000000000000031</v>
      </c>
    </row>
    <row r="4576" spans="1:7" x14ac:dyDescent="0.3">
      <c r="A4576" t="s">
        <v>1892</v>
      </c>
      <c r="B4576" t="s">
        <v>1894</v>
      </c>
      <c r="C4576">
        <v>31</v>
      </c>
      <c r="D4576" t="s">
        <v>1447</v>
      </c>
      <c r="E4576" t="s">
        <v>1897</v>
      </c>
      <c r="F4576" t="s">
        <v>1741</v>
      </c>
      <c r="G4576" t="str">
        <f>IF(ISBLANK('Q 5'!E1250),"",IF('Q 5'!E1250="&lt;please select&gt;","",'Q 5'!E1250))</f>
        <v>PL000000000000683</v>
      </c>
    </row>
    <row r="4577" spans="1:7" x14ac:dyDescent="0.3">
      <c r="A4577" t="s">
        <v>1892</v>
      </c>
      <c r="B4577" t="s">
        <v>1894</v>
      </c>
      <c r="C4577">
        <v>32</v>
      </c>
      <c r="D4577" t="s">
        <v>1447</v>
      </c>
      <c r="E4577" t="s">
        <v>1897</v>
      </c>
      <c r="F4577" t="s">
        <v>1741</v>
      </c>
      <c r="G4577" t="str">
        <f>IF(ISBLANK('Q 5'!E1251),"",IF('Q 5'!E1251="&lt;please select&gt;","",'Q 5'!E1251))</f>
        <v>PL000000000000289</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-843</v>
      </c>
    </row>
    <row r="4644" spans="1:9" x14ac:dyDescent="0.3">
      <c r="A4644" t="s">
        <v>1892</v>
      </c>
      <c r="B4644" t="s">
        <v>1894</v>
      </c>
      <c r="C4644">
        <v>2</v>
      </c>
      <c r="D4644" t="s">
        <v>1447</v>
      </c>
      <c r="E4644" t="s">
        <v>1898</v>
      </c>
      <c r="F4644" t="s">
        <v>1806</v>
      </c>
      <c r="I4644" t="str">
        <f>IF(ISBLANK('Q 5'!F1221),"",IF('Q 5'!F1221="&lt;please select&gt;","",'Q 5'!F1221))</f>
        <v>-2523</v>
      </c>
    </row>
    <row r="4645" spans="1:9" x14ac:dyDescent="0.3">
      <c r="A4645" t="s">
        <v>1892</v>
      </c>
      <c r="B4645" t="s">
        <v>1894</v>
      </c>
      <c r="C4645">
        <v>3</v>
      </c>
      <c r="D4645" t="s">
        <v>1447</v>
      </c>
      <c r="E4645" t="s">
        <v>1898</v>
      </c>
      <c r="F4645" t="s">
        <v>1806</v>
      </c>
      <c r="I4645" t="str">
        <f>IF(ISBLANK('Q 5'!F1222),"",IF('Q 5'!F1222="&lt;please select&gt;","",'Q 5'!F1222))</f>
        <v>-4674</v>
      </c>
    </row>
    <row r="4646" spans="1:9" x14ac:dyDescent="0.3">
      <c r="A4646" t="s">
        <v>1892</v>
      </c>
      <c r="B4646" t="s">
        <v>1894</v>
      </c>
      <c r="C4646">
        <v>4</v>
      </c>
      <c r="D4646" t="s">
        <v>1447</v>
      </c>
      <c r="E4646" t="s">
        <v>1898</v>
      </c>
      <c r="F4646" t="s">
        <v>1806</v>
      </c>
      <c r="I4646" t="str">
        <f>IF(ISBLANK('Q 5'!F1223),"",IF('Q 5'!F1223="&lt;please select&gt;","",'Q 5'!F1223))</f>
        <v>-1125</v>
      </c>
    </row>
    <row r="4647" spans="1:9" x14ac:dyDescent="0.3">
      <c r="A4647" t="s">
        <v>1892</v>
      </c>
      <c r="B4647" t="s">
        <v>1894</v>
      </c>
      <c r="C4647">
        <v>5</v>
      </c>
      <c r="D4647" t="s">
        <v>1447</v>
      </c>
      <c r="E4647" t="s">
        <v>1898</v>
      </c>
      <c r="F4647" t="s">
        <v>1806</v>
      </c>
      <c r="I4647" t="str">
        <f>IF(ISBLANK('Q 5'!F1224),"",IF('Q 5'!F1224="&lt;please select&gt;","",'Q 5'!F1224))</f>
        <v>-140</v>
      </c>
    </row>
    <row r="4648" spans="1:9" x14ac:dyDescent="0.3">
      <c r="A4648" t="s">
        <v>1892</v>
      </c>
      <c r="B4648" t="s">
        <v>1894</v>
      </c>
      <c r="C4648">
        <v>6</v>
      </c>
      <c r="D4648" t="s">
        <v>1447</v>
      </c>
      <c r="E4648" t="s">
        <v>1898</v>
      </c>
      <c r="F4648" t="s">
        <v>1806</v>
      </c>
      <c r="I4648" t="str">
        <f>IF(ISBLANK('Q 5'!F1225),"",IF('Q 5'!F1225="&lt;please select&gt;","",'Q 5'!F1225))</f>
        <v>-1421</v>
      </c>
    </row>
    <row r="4649" spans="1:9" x14ac:dyDescent="0.3">
      <c r="A4649" t="s">
        <v>1892</v>
      </c>
      <c r="B4649" t="s">
        <v>1894</v>
      </c>
      <c r="C4649">
        <v>7</v>
      </c>
      <c r="D4649" t="s">
        <v>1447</v>
      </c>
      <c r="E4649" t="s">
        <v>1898</v>
      </c>
      <c r="F4649" t="s">
        <v>1806</v>
      </c>
      <c r="I4649" t="str">
        <f>IF(ISBLANK('Q 5'!F1226),"",IF('Q 5'!F1226="&lt;please select&gt;","",'Q 5'!F1226))</f>
        <v>-597</v>
      </c>
    </row>
    <row r="4650" spans="1:9" x14ac:dyDescent="0.3">
      <c r="A4650" t="s">
        <v>1892</v>
      </c>
      <c r="B4650" t="s">
        <v>1894</v>
      </c>
      <c r="C4650">
        <v>8</v>
      </c>
      <c r="D4650" t="s">
        <v>1447</v>
      </c>
      <c r="E4650" t="s">
        <v>1898</v>
      </c>
      <c r="F4650" t="s">
        <v>1806</v>
      </c>
      <c r="I4650" t="str">
        <f>IF(ISBLANK('Q 5'!F1227),"",IF('Q 5'!F1227="&lt;please select&gt;","",'Q 5'!F1227))</f>
        <v>-2184</v>
      </c>
    </row>
    <row r="4651" spans="1:9" x14ac:dyDescent="0.3">
      <c r="A4651" t="s">
        <v>1892</v>
      </c>
      <c r="B4651" t="s">
        <v>1894</v>
      </c>
      <c r="C4651">
        <v>9</v>
      </c>
      <c r="D4651" t="s">
        <v>1447</v>
      </c>
      <c r="E4651" t="s">
        <v>1898</v>
      </c>
      <c r="F4651" t="s">
        <v>1806</v>
      </c>
      <c r="I4651" t="str">
        <f>IF(ISBLANK('Q 5'!F1228),"",IF('Q 5'!F1228="&lt;please select&gt;","",'Q 5'!F1228))</f>
        <v>-2799</v>
      </c>
    </row>
    <row r="4652" spans="1:9" x14ac:dyDescent="0.3">
      <c r="A4652" t="s">
        <v>1892</v>
      </c>
      <c r="B4652" t="s">
        <v>1894</v>
      </c>
      <c r="C4652">
        <v>10</v>
      </c>
      <c r="D4652" t="s">
        <v>1447</v>
      </c>
      <c r="E4652" t="s">
        <v>1898</v>
      </c>
      <c r="F4652" t="s">
        <v>1806</v>
      </c>
      <c r="I4652" t="str">
        <f>IF(ISBLANK('Q 5'!F1229),"",IF('Q 5'!F1229="&lt;please select&gt;","",'Q 5'!F1229))</f>
        <v>-14327.79</v>
      </c>
    </row>
    <row r="4653" spans="1:9" x14ac:dyDescent="0.3">
      <c r="A4653" t="s">
        <v>1892</v>
      </c>
      <c r="B4653" t="s">
        <v>1894</v>
      </c>
      <c r="C4653">
        <v>11</v>
      </c>
      <c r="D4653" t="s">
        <v>1447</v>
      </c>
      <c r="E4653" t="s">
        <v>1898</v>
      </c>
      <c r="F4653" t="s">
        <v>1806</v>
      </c>
      <c r="I4653" t="str">
        <f>IF(ISBLANK('Q 5'!F1230),"",IF('Q 5'!F1230="&lt;please select&gt;","",'Q 5'!F1230))</f>
        <v>-12761.63</v>
      </c>
    </row>
    <row r="4654" spans="1:9" x14ac:dyDescent="0.3">
      <c r="A4654" t="s">
        <v>1892</v>
      </c>
      <c r="B4654" t="s">
        <v>1894</v>
      </c>
      <c r="C4654">
        <v>12</v>
      </c>
      <c r="D4654" t="s">
        <v>1447</v>
      </c>
      <c r="E4654" t="s">
        <v>1898</v>
      </c>
      <c r="F4654" t="s">
        <v>1806</v>
      </c>
      <c r="I4654" t="str">
        <f>IF(ISBLANK('Q 5'!F1231),"",IF('Q 5'!F1231="&lt;please select&gt;","",'Q 5'!F1231))</f>
        <v>-2057.49</v>
      </c>
    </row>
    <row r="4655" spans="1:9" x14ac:dyDescent="0.3">
      <c r="A4655" t="s">
        <v>1892</v>
      </c>
      <c r="B4655" t="s">
        <v>1894</v>
      </c>
      <c r="C4655">
        <v>13</v>
      </c>
      <c r="D4655" t="s">
        <v>1447</v>
      </c>
      <c r="E4655" t="s">
        <v>1898</v>
      </c>
      <c r="F4655" t="s">
        <v>1806</v>
      </c>
      <c r="I4655" t="str">
        <f>IF(ISBLANK('Q 5'!F1232),"",IF('Q 5'!F1232="&lt;please select&gt;","",'Q 5'!F1232))</f>
        <v>-1584.49</v>
      </c>
    </row>
    <row r="4656" spans="1:9" x14ac:dyDescent="0.3">
      <c r="A4656" t="s">
        <v>1892</v>
      </c>
      <c r="B4656" t="s">
        <v>1894</v>
      </c>
      <c r="C4656">
        <v>14</v>
      </c>
      <c r="D4656" t="s">
        <v>1447</v>
      </c>
      <c r="E4656" t="s">
        <v>1898</v>
      </c>
      <c r="F4656" t="s">
        <v>1806</v>
      </c>
      <c r="I4656" t="str">
        <f>IF(ISBLANK('Q 5'!F1233),"",IF('Q 5'!F1233="&lt;please select&gt;","",'Q 5'!F1233))</f>
        <v>-1075.92</v>
      </c>
    </row>
    <row r="4657" spans="1:9" x14ac:dyDescent="0.3">
      <c r="A4657" t="s">
        <v>1892</v>
      </c>
      <c r="B4657" t="s">
        <v>1894</v>
      </c>
      <c r="C4657">
        <v>15</v>
      </c>
      <c r="D4657" t="s">
        <v>1447</v>
      </c>
      <c r="E4657" t="s">
        <v>1898</v>
      </c>
      <c r="F4657" t="s">
        <v>1806</v>
      </c>
      <c r="I4657" t="str">
        <f>IF(ISBLANK('Q 5'!F1234),"",IF('Q 5'!F1234="&lt;please select&gt;","",'Q 5'!F1234))</f>
        <v>-414.06</v>
      </c>
    </row>
    <row r="4658" spans="1:9" x14ac:dyDescent="0.3">
      <c r="A4658" t="s">
        <v>1892</v>
      </c>
      <c r="B4658" t="s">
        <v>1894</v>
      </c>
      <c r="C4658">
        <v>16</v>
      </c>
      <c r="D4658" t="s">
        <v>1447</v>
      </c>
      <c r="E4658" t="s">
        <v>1898</v>
      </c>
      <c r="F4658" t="s">
        <v>1806</v>
      </c>
      <c r="I4658" t="str">
        <f>IF(ISBLANK('Q 5'!F1235),"",IF('Q 5'!F1235="&lt;please select&gt;","",'Q 5'!F1235))</f>
        <v>-1066.9</v>
      </c>
    </row>
    <row r="4659" spans="1:9" x14ac:dyDescent="0.3">
      <c r="A4659" t="s">
        <v>1892</v>
      </c>
      <c r="B4659" t="s">
        <v>1894</v>
      </c>
      <c r="C4659">
        <v>17</v>
      </c>
      <c r="D4659" t="s">
        <v>1447</v>
      </c>
      <c r="E4659" t="s">
        <v>1898</v>
      </c>
      <c r="F4659" t="s">
        <v>1806</v>
      </c>
      <c r="I4659" t="str">
        <f>IF(ISBLANK('Q 5'!F1236),"",IF('Q 5'!F1236="&lt;please select&gt;","",'Q 5'!F1236))</f>
        <v>-4110.39</v>
      </c>
    </row>
    <row r="4660" spans="1:9" x14ac:dyDescent="0.3">
      <c r="A4660" t="s">
        <v>1892</v>
      </c>
      <c r="B4660" t="s">
        <v>1894</v>
      </c>
      <c r="C4660">
        <v>18</v>
      </c>
      <c r="D4660" t="s">
        <v>1447</v>
      </c>
      <c r="E4660" t="s">
        <v>1898</v>
      </c>
      <c r="F4660" t="s">
        <v>1806</v>
      </c>
      <c r="I4660" t="str">
        <f>IF(ISBLANK('Q 5'!F1237),"",IF('Q 5'!F1237="&lt;please select&gt;","",'Q 5'!F1237))</f>
        <v>-214.23</v>
      </c>
    </row>
    <row r="4661" spans="1:9" x14ac:dyDescent="0.3">
      <c r="A4661" t="s">
        <v>1892</v>
      </c>
      <c r="B4661" t="s">
        <v>1894</v>
      </c>
      <c r="C4661">
        <v>19</v>
      </c>
      <c r="D4661" t="s">
        <v>1447</v>
      </c>
      <c r="E4661" t="s">
        <v>1898</v>
      </c>
      <c r="F4661" t="s">
        <v>1806</v>
      </c>
      <c r="I4661" t="str">
        <f>IF(ISBLANK('Q 5'!F1238),"",IF('Q 5'!F1238="&lt;please select&gt;","",'Q 5'!F1238))</f>
        <v>-4097.47</v>
      </c>
    </row>
    <row r="4662" spans="1:9" x14ac:dyDescent="0.3">
      <c r="A4662" t="s">
        <v>1892</v>
      </c>
      <c r="B4662" t="s">
        <v>1894</v>
      </c>
      <c r="C4662">
        <v>20</v>
      </c>
      <c r="D4662" t="s">
        <v>1447</v>
      </c>
      <c r="E4662" t="s">
        <v>1898</v>
      </c>
      <c r="F4662" t="s">
        <v>1806</v>
      </c>
      <c r="I4662" t="str">
        <f>IF(ISBLANK('Q 5'!F1239),"",IF('Q 5'!F1239="&lt;please select&gt;","",'Q 5'!F1239))</f>
        <v>-5033.94</v>
      </c>
    </row>
    <row r="4663" spans="1:9" x14ac:dyDescent="0.3">
      <c r="A4663" t="s">
        <v>1892</v>
      </c>
      <c r="B4663" t="s">
        <v>1894</v>
      </c>
      <c r="C4663">
        <v>21</v>
      </c>
      <c r="D4663" t="s">
        <v>1447</v>
      </c>
      <c r="E4663" t="s">
        <v>1898</v>
      </c>
      <c r="F4663" t="s">
        <v>1806</v>
      </c>
      <c r="I4663" t="str">
        <f>IF(ISBLANK('Q 5'!F1240),"",IF('Q 5'!F1240="&lt;please select&gt;","",'Q 5'!F1240))</f>
        <v>-5095.66</v>
      </c>
    </row>
    <row r="4664" spans="1:9" x14ac:dyDescent="0.3">
      <c r="A4664" t="s">
        <v>1892</v>
      </c>
      <c r="B4664" t="s">
        <v>1894</v>
      </c>
      <c r="C4664">
        <v>22</v>
      </c>
      <c r="D4664" t="s">
        <v>1447</v>
      </c>
      <c r="E4664" t="s">
        <v>1898</v>
      </c>
      <c r="F4664" t="s">
        <v>1806</v>
      </c>
      <c r="I4664" t="str">
        <f>IF(ISBLANK('Q 5'!F1241),"",IF('Q 5'!F1241="&lt;please select&gt;","",'Q 5'!F1241))</f>
        <v>-14080.51</v>
      </c>
    </row>
    <row r="4665" spans="1:9" x14ac:dyDescent="0.3">
      <c r="A4665" t="s">
        <v>1892</v>
      </c>
      <c r="B4665" t="s">
        <v>1894</v>
      </c>
      <c r="C4665">
        <v>23</v>
      </c>
      <c r="D4665" t="s">
        <v>1447</v>
      </c>
      <c r="E4665" t="s">
        <v>1898</v>
      </c>
      <c r="F4665" t="s">
        <v>1806</v>
      </c>
      <c r="I4665" t="str">
        <f>IF(ISBLANK('Q 5'!F1242),"",IF('Q 5'!F1242="&lt;please select&gt;","",'Q 5'!F1242))</f>
        <v>-843.2</v>
      </c>
    </row>
    <row r="4666" spans="1:9" x14ac:dyDescent="0.3">
      <c r="A4666" t="s">
        <v>1892</v>
      </c>
      <c r="B4666" t="s">
        <v>1894</v>
      </c>
      <c r="C4666">
        <v>24</v>
      </c>
      <c r="D4666" t="s">
        <v>1447</v>
      </c>
      <c r="E4666" t="s">
        <v>1898</v>
      </c>
      <c r="F4666" t="s">
        <v>1806</v>
      </c>
      <c r="I4666" t="str">
        <f>IF(ISBLANK('Q 5'!F1243),"",IF('Q 5'!F1243="&lt;please select&gt;","",'Q 5'!F1243))</f>
        <v>-6891.36</v>
      </c>
    </row>
    <row r="4667" spans="1:9" x14ac:dyDescent="0.3">
      <c r="A4667" t="s">
        <v>1892</v>
      </c>
      <c r="B4667" t="s">
        <v>1894</v>
      </c>
      <c r="C4667">
        <v>25</v>
      </c>
      <c r="D4667" t="s">
        <v>1447</v>
      </c>
      <c r="E4667" t="s">
        <v>1898</v>
      </c>
      <c r="F4667" t="s">
        <v>1806</v>
      </c>
      <c r="I4667" t="str">
        <f>IF(ISBLANK('Q 5'!F1244),"",IF('Q 5'!F1244="&lt;please select&gt;","",'Q 5'!F1244))</f>
        <v>-3579.68</v>
      </c>
    </row>
    <row r="4668" spans="1:9" x14ac:dyDescent="0.3">
      <c r="A4668" t="s">
        <v>1892</v>
      </c>
      <c r="B4668" t="s">
        <v>1894</v>
      </c>
      <c r="C4668">
        <v>26</v>
      </c>
      <c r="D4668" t="s">
        <v>1447</v>
      </c>
      <c r="E4668" t="s">
        <v>1898</v>
      </c>
      <c r="F4668" t="s">
        <v>1806</v>
      </c>
      <c r="I4668" t="str">
        <f>IF(ISBLANK('Q 5'!F1245),"",IF('Q 5'!F1245="&lt;please select&gt;","",'Q 5'!F1245))</f>
        <v>-1394.49</v>
      </c>
    </row>
    <row r="4669" spans="1:9" x14ac:dyDescent="0.3">
      <c r="A4669" t="s">
        <v>1892</v>
      </c>
      <c r="B4669" t="s">
        <v>1894</v>
      </c>
      <c r="C4669">
        <v>27</v>
      </c>
      <c r="D4669" t="s">
        <v>1447</v>
      </c>
      <c r="E4669" t="s">
        <v>1898</v>
      </c>
      <c r="F4669" t="s">
        <v>1806</v>
      </c>
      <c r="I4669" t="str">
        <f>IF(ISBLANK('Q 5'!F1246),"",IF('Q 5'!F1246="&lt;please select&gt;","",'Q 5'!F1246))</f>
        <v>-19935.14</v>
      </c>
    </row>
    <row r="4670" spans="1:9" x14ac:dyDescent="0.3">
      <c r="A4670" t="s">
        <v>1892</v>
      </c>
      <c r="B4670" t="s">
        <v>1894</v>
      </c>
      <c r="C4670">
        <v>28</v>
      </c>
      <c r="D4670" t="s">
        <v>1447</v>
      </c>
      <c r="E4670" t="s">
        <v>1898</v>
      </c>
      <c r="F4670" t="s">
        <v>1806</v>
      </c>
      <c r="I4670" t="str">
        <f>IF(ISBLANK('Q 5'!F1247),"",IF('Q 5'!F1247="&lt;please select&gt;","",'Q 5'!F1247))</f>
        <v>-698.65</v>
      </c>
    </row>
    <row r="4671" spans="1:9" x14ac:dyDescent="0.3">
      <c r="A4671" t="s">
        <v>1892</v>
      </c>
      <c r="B4671" t="s">
        <v>1894</v>
      </c>
      <c r="C4671">
        <v>29</v>
      </c>
      <c r="D4671" t="s">
        <v>1447</v>
      </c>
      <c r="E4671" t="s">
        <v>1898</v>
      </c>
      <c r="F4671" t="s">
        <v>1806</v>
      </c>
      <c r="I4671" t="str">
        <f>IF(ISBLANK('Q 5'!F1248),"",IF('Q 5'!F1248="&lt;please select&gt;","",'Q 5'!F1248))</f>
        <v>-20469.36</v>
      </c>
    </row>
    <row r="4672" spans="1:9" x14ac:dyDescent="0.3">
      <c r="A4672" t="s">
        <v>1892</v>
      </c>
      <c r="B4672" t="s">
        <v>1894</v>
      </c>
      <c r="C4672">
        <v>30</v>
      </c>
      <c r="D4672" t="s">
        <v>1447</v>
      </c>
      <c r="E4672" t="s">
        <v>1898</v>
      </c>
      <c r="F4672" t="s">
        <v>1806</v>
      </c>
      <c r="I4672" t="str">
        <f>IF(ISBLANK('Q 5'!F1249),"",IF('Q 5'!F1249="&lt;please select&gt;","",'Q 5'!F1249))</f>
        <v>-1375646.89</v>
      </c>
    </row>
    <row r="4673" spans="1:9" x14ac:dyDescent="0.3">
      <c r="A4673" t="s">
        <v>1892</v>
      </c>
      <c r="B4673" t="s">
        <v>1894</v>
      </c>
      <c r="C4673">
        <v>31</v>
      </c>
      <c r="D4673" t="s">
        <v>1447</v>
      </c>
      <c r="E4673" t="s">
        <v>1898</v>
      </c>
      <c r="F4673" t="s">
        <v>1806</v>
      </c>
      <c r="I4673" t="str">
        <f>IF(ISBLANK('Q 5'!F1250),"",IF('Q 5'!F1250="&lt;please select&gt;","",'Q 5'!F1250))</f>
        <v>-116837.51</v>
      </c>
    </row>
    <row r="4674" spans="1:9" x14ac:dyDescent="0.3">
      <c r="A4674" t="s">
        <v>1892</v>
      </c>
      <c r="B4674" t="s">
        <v>1894</v>
      </c>
      <c r="C4674">
        <v>32</v>
      </c>
      <c r="D4674" t="s">
        <v>1447</v>
      </c>
      <c r="E4674" t="s">
        <v>1898</v>
      </c>
      <c r="F4674" t="s">
        <v>1806</v>
      </c>
      <c r="I4674" t="str">
        <f>IF(ISBLANK('Q 5'!F1251),"",IF('Q 5'!F1251="&lt;please select&gt;","",'Q 5'!F1251))</f>
        <v>-1164</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843</v>
      </c>
    </row>
    <row r="4741" spans="1:9" x14ac:dyDescent="0.3">
      <c r="A4741" t="s">
        <v>1892</v>
      </c>
      <c r="B4741" t="s">
        <v>1894</v>
      </c>
      <c r="C4741">
        <v>2</v>
      </c>
      <c r="D4741" t="s">
        <v>1447</v>
      </c>
      <c r="E4741" t="s">
        <v>1899</v>
      </c>
      <c r="F4741" t="s">
        <v>1806</v>
      </c>
      <c r="I4741" t="str">
        <f>IF(ISBLANK('Q 5'!G1221),"",IF('Q 5'!G1221="&lt;please select&gt;","",'Q 5'!G1221))</f>
        <v>2523.29</v>
      </c>
    </row>
    <row r="4742" spans="1:9" x14ac:dyDescent="0.3">
      <c r="A4742" t="s">
        <v>1892</v>
      </c>
      <c r="B4742" t="s">
        <v>1894</v>
      </c>
      <c r="C4742">
        <v>3</v>
      </c>
      <c r="D4742" t="s">
        <v>1447</v>
      </c>
      <c r="E4742" t="s">
        <v>1899</v>
      </c>
      <c r="F4742" t="s">
        <v>1806</v>
      </c>
      <c r="I4742" t="str">
        <f>IF(ISBLANK('Q 5'!G1222),"",IF('Q 5'!G1222="&lt;please select&gt;","",'Q 5'!G1222))</f>
        <v>4674</v>
      </c>
    </row>
    <row r="4743" spans="1:9" x14ac:dyDescent="0.3">
      <c r="A4743" t="s">
        <v>1892</v>
      </c>
      <c r="B4743" t="s">
        <v>1894</v>
      </c>
      <c r="C4743">
        <v>4</v>
      </c>
      <c r="D4743" t="s">
        <v>1447</v>
      </c>
      <c r="E4743" t="s">
        <v>1899</v>
      </c>
      <c r="F4743" t="s">
        <v>1806</v>
      </c>
      <c r="I4743" t="str">
        <f>IF(ISBLANK('Q 5'!G1223),"",IF('Q 5'!G1223="&lt;please select&gt;","",'Q 5'!G1223))</f>
        <v>1125</v>
      </c>
    </row>
    <row r="4744" spans="1:9" x14ac:dyDescent="0.3">
      <c r="A4744" t="s">
        <v>1892</v>
      </c>
      <c r="B4744" t="s">
        <v>1894</v>
      </c>
      <c r="C4744">
        <v>5</v>
      </c>
      <c r="D4744" t="s">
        <v>1447</v>
      </c>
      <c r="E4744" t="s">
        <v>1899</v>
      </c>
      <c r="F4744" t="s">
        <v>1806</v>
      </c>
      <c r="I4744" t="str">
        <f>IF(ISBLANK('Q 5'!G1224),"",IF('Q 5'!G1224="&lt;please select&gt;","",'Q 5'!G1224))</f>
        <v>140</v>
      </c>
    </row>
    <row r="4745" spans="1:9" x14ac:dyDescent="0.3">
      <c r="A4745" t="s">
        <v>1892</v>
      </c>
      <c r="B4745" t="s">
        <v>1894</v>
      </c>
      <c r="C4745">
        <v>6</v>
      </c>
      <c r="D4745" t="s">
        <v>1447</v>
      </c>
      <c r="E4745" t="s">
        <v>1899</v>
      </c>
      <c r="F4745" t="s">
        <v>1806</v>
      </c>
      <c r="I4745" t="str">
        <f>IF(ISBLANK('Q 5'!G1225),"",IF('Q 5'!G1225="&lt;please select&gt;","",'Q 5'!G1225))</f>
        <v>1421</v>
      </c>
    </row>
    <row r="4746" spans="1:9" x14ac:dyDescent="0.3">
      <c r="A4746" t="s">
        <v>1892</v>
      </c>
      <c r="B4746" t="s">
        <v>1894</v>
      </c>
      <c r="C4746">
        <v>7</v>
      </c>
      <c r="D4746" t="s">
        <v>1447</v>
      </c>
      <c r="E4746" t="s">
        <v>1899</v>
      </c>
      <c r="F4746" t="s">
        <v>1806</v>
      </c>
      <c r="I4746" t="str">
        <f>IF(ISBLANK('Q 5'!G1226),"",IF('Q 5'!G1226="&lt;please select&gt;","",'Q 5'!G1226))</f>
        <v>597</v>
      </c>
    </row>
    <row r="4747" spans="1:9" x14ac:dyDescent="0.3">
      <c r="A4747" t="s">
        <v>1892</v>
      </c>
      <c r="B4747" t="s">
        <v>1894</v>
      </c>
      <c r="C4747">
        <v>8</v>
      </c>
      <c r="D4747" t="s">
        <v>1447</v>
      </c>
      <c r="E4747" t="s">
        <v>1899</v>
      </c>
      <c r="F4747" t="s">
        <v>1806</v>
      </c>
      <c r="I4747" t="str">
        <f>IF(ISBLANK('Q 5'!G1227),"",IF('Q 5'!G1227="&lt;please select&gt;","",'Q 5'!G1227))</f>
        <v>2184</v>
      </c>
    </row>
    <row r="4748" spans="1:9" x14ac:dyDescent="0.3">
      <c r="A4748" t="s">
        <v>1892</v>
      </c>
      <c r="B4748" t="s">
        <v>1894</v>
      </c>
      <c r="C4748">
        <v>9</v>
      </c>
      <c r="D4748" t="s">
        <v>1447</v>
      </c>
      <c r="E4748" t="s">
        <v>1899</v>
      </c>
      <c r="F4748" t="s">
        <v>1806</v>
      </c>
      <c r="I4748" t="str">
        <f>IF(ISBLANK('Q 5'!G1228),"",IF('Q 5'!G1228="&lt;please select&gt;","",'Q 5'!G1228))</f>
        <v>2799</v>
      </c>
    </row>
    <row r="4749" spans="1:9" x14ac:dyDescent="0.3">
      <c r="A4749" t="s">
        <v>1892</v>
      </c>
      <c r="B4749" t="s">
        <v>1894</v>
      </c>
      <c r="C4749">
        <v>10</v>
      </c>
      <c r="D4749" t="s">
        <v>1447</v>
      </c>
      <c r="E4749" t="s">
        <v>1899</v>
      </c>
      <c r="F4749" t="s">
        <v>1806</v>
      </c>
      <c r="I4749" t="str">
        <f>IF(ISBLANK('Q 5'!G1229),"",IF('Q 5'!G1229="&lt;please select&gt;","",'Q 5'!G1229))</f>
        <v>14327.8</v>
      </c>
    </row>
    <row r="4750" spans="1:9" x14ac:dyDescent="0.3">
      <c r="A4750" t="s">
        <v>1892</v>
      </c>
      <c r="B4750" t="s">
        <v>1894</v>
      </c>
      <c r="C4750">
        <v>11</v>
      </c>
      <c r="D4750" t="s">
        <v>1447</v>
      </c>
      <c r="E4750" t="s">
        <v>1899</v>
      </c>
      <c r="F4750" t="s">
        <v>1806</v>
      </c>
      <c r="I4750" t="str">
        <f>IF(ISBLANK('Q 5'!G1230),"",IF('Q 5'!G1230="&lt;please select&gt;","",'Q 5'!G1230))</f>
        <v>12761.63</v>
      </c>
    </row>
    <row r="4751" spans="1:9" x14ac:dyDescent="0.3">
      <c r="A4751" t="s">
        <v>1892</v>
      </c>
      <c r="B4751" t="s">
        <v>1894</v>
      </c>
      <c r="C4751">
        <v>12</v>
      </c>
      <c r="D4751" t="s">
        <v>1447</v>
      </c>
      <c r="E4751" t="s">
        <v>1899</v>
      </c>
      <c r="F4751" t="s">
        <v>1806</v>
      </c>
      <c r="I4751" t="str">
        <f>IF(ISBLANK('Q 5'!G1231),"",IF('Q 5'!G1231="&lt;please select&gt;","",'Q 5'!G1231))</f>
        <v>2057.49</v>
      </c>
    </row>
    <row r="4752" spans="1:9" x14ac:dyDescent="0.3">
      <c r="A4752" t="s">
        <v>1892</v>
      </c>
      <c r="B4752" t="s">
        <v>1894</v>
      </c>
      <c r="C4752">
        <v>13</v>
      </c>
      <c r="D4752" t="s">
        <v>1447</v>
      </c>
      <c r="E4752" t="s">
        <v>1899</v>
      </c>
      <c r="F4752" t="s">
        <v>1806</v>
      </c>
      <c r="I4752" t="str">
        <f>IF(ISBLANK('Q 5'!G1232),"",IF('Q 5'!G1232="&lt;please select&gt;","",'Q 5'!G1232))</f>
        <v>1584.49</v>
      </c>
    </row>
    <row r="4753" spans="1:9" x14ac:dyDescent="0.3">
      <c r="A4753" t="s">
        <v>1892</v>
      </c>
      <c r="B4753" t="s">
        <v>1894</v>
      </c>
      <c r="C4753">
        <v>14</v>
      </c>
      <c r="D4753" t="s">
        <v>1447</v>
      </c>
      <c r="E4753" t="s">
        <v>1899</v>
      </c>
      <c r="F4753" t="s">
        <v>1806</v>
      </c>
      <c r="I4753" t="str">
        <f>IF(ISBLANK('Q 5'!G1233),"",IF('Q 5'!G1233="&lt;please select&gt;","",'Q 5'!G1233))</f>
        <v>1077</v>
      </c>
    </row>
    <row r="4754" spans="1:9" x14ac:dyDescent="0.3">
      <c r="A4754" t="s">
        <v>1892</v>
      </c>
      <c r="B4754" t="s">
        <v>1894</v>
      </c>
      <c r="C4754">
        <v>15</v>
      </c>
      <c r="D4754" t="s">
        <v>1447</v>
      </c>
      <c r="E4754" t="s">
        <v>1899</v>
      </c>
      <c r="F4754" t="s">
        <v>1806</v>
      </c>
      <c r="I4754" t="str">
        <f>IF(ISBLANK('Q 5'!G1234),"",IF('Q 5'!G1234="&lt;please select&gt;","",'Q 5'!G1234))</f>
        <v>414.06</v>
      </c>
    </row>
    <row r="4755" spans="1:9" x14ac:dyDescent="0.3">
      <c r="A4755" t="s">
        <v>1892</v>
      </c>
      <c r="B4755" t="s">
        <v>1894</v>
      </c>
      <c r="C4755">
        <v>16</v>
      </c>
      <c r="D4755" t="s">
        <v>1447</v>
      </c>
      <c r="E4755" t="s">
        <v>1899</v>
      </c>
      <c r="F4755" t="s">
        <v>1806</v>
      </c>
      <c r="I4755" t="str">
        <f>IF(ISBLANK('Q 5'!G1235),"",IF('Q 5'!G1235="&lt;please select&gt;","",'Q 5'!G1235))</f>
        <v>1093.63</v>
      </c>
    </row>
    <row r="4756" spans="1:9" x14ac:dyDescent="0.3">
      <c r="A4756" t="s">
        <v>1892</v>
      </c>
      <c r="B4756" t="s">
        <v>1894</v>
      </c>
      <c r="C4756">
        <v>17</v>
      </c>
      <c r="D4756" t="s">
        <v>1447</v>
      </c>
      <c r="E4756" t="s">
        <v>1899</v>
      </c>
      <c r="F4756" t="s">
        <v>1806</v>
      </c>
      <c r="I4756" t="str">
        <f>IF(ISBLANK('Q 5'!G1236),"",IF('Q 5'!G1236="&lt;please select&gt;","",'Q 5'!G1236))</f>
        <v>4179.39</v>
      </c>
    </row>
    <row r="4757" spans="1:9" x14ac:dyDescent="0.3">
      <c r="A4757" t="s">
        <v>1892</v>
      </c>
      <c r="B4757" t="s">
        <v>1894</v>
      </c>
      <c r="C4757">
        <v>18</v>
      </c>
      <c r="D4757" t="s">
        <v>1447</v>
      </c>
      <c r="E4757" t="s">
        <v>1899</v>
      </c>
      <c r="F4757" t="s">
        <v>1806</v>
      </c>
      <c r="I4757" t="str">
        <f>IF(ISBLANK('Q 5'!G1237),"",IF('Q 5'!G1237="&lt;please select&gt;","",'Q 5'!G1237))</f>
        <v>219.45</v>
      </c>
    </row>
    <row r="4758" spans="1:9" x14ac:dyDescent="0.3">
      <c r="A4758" t="s">
        <v>1892</v>
      </c>
      <c r="B4758" t="s">
        <v>1894</v>
      </c>
      <c r="C4758">
        <v>19</v>
      </c>
      <c r="D4758" t="s">
        <v>1447</v>
      </c>
      <c r="E4758" t="s">
        <v>1899</v>
      </c>
      <c r="F4758" t="s">
        <v>1806</v>
      </c>
      <c r="I4758" t="str">
        <f>IF(ISBLANK('Q 5'!G1238),"",IF('Q 5'!G1238="&lt;please select&gt;","",'Q 5'!G1238))</f>
        <v>4179.39</v>
      </c>
    </row>
    <row r="4759" spans="1:9" x14ac:dyDescent="0.3">
      <c r="A4759" t="s">
        <v>1892</v>
      </c>
      <c r="B4759" t="s">
        <v>1894</v>
      </c>
      <c r="C4759">
        <v>20</v>
      </c>
      <c r="D4759" t="s">
        <v>1447</v>
      </c>
      <c r="E4759" t="s">
        <v>1899</v>
      </c>
      <c r="F4759" t="s">
        <v>1806</v>
      </c>
      <c r="I4759" t="str">
        <f>IF(ISBLANK('Q 5'!G1239),"",IF('Q 5'!G1239="&lt;please select&gt;","",'Q 5'!G1239))</f>
        <v>5033.94</v>
      </c>
    </row>
    <row r="4760" spans="1:9" x14ac:dyDescent="0.3">
      <c r="A4760" t="s">
        <v>1892</v>
      </c>
      <c r="B4760" t="s">
        <v>1894</v>
      </c>
      <c r="C4760">
        <v>21</v>
      </c>
      <c r="D4760" t="s">
        <v>1447</v>
      </c>
      <c r="E4760" t="s">
        <v>1899</v>
      </c>
      <c r="F4760" t="s">
        <v>1806</v>
      </c>
      <c r="I4760" t="str">
        <f>IF(ISBLANK('Q 5'!G1240),"",IF('Q 5'!G1240="&lt;please select&gt;","",'Q 5'!G1240))</f>
        <v>5095.66</v>
      </c>
    </row>
    <row r="4761" spans="1:9" x14ac:dyDescent="0.3">
      <c r="A4761" t="s">
        <v>1892</v>
      </c>
      <c r="B4761" t="s">
        <v>1894</v>
      </c>
      <c r="C4761">
        <v>22</v>
      </c>
      <c r="D4761" t="s">
        <v>1447</v>
      </c>
      <c r="E4761" t="s">
        <v>1899</v>
      </c>
      <c r="F4761" t="s">
        <v>1806</v>
      </c>
      <c r="I4761" t="str">
        <f>IF(ISBLANK('Q 5'!G1241),"",IF('Q 5'!G1241="&lt;please select&gt;","",'Q 5'!G1241))</f>
        <v>14080.51</v>
      </c>
    </row>
    <row r="4762" spans="1:9" x14ac:dyDescent="0.3">
      <c r="A4762" t="s">
        <v>1892</v>
      </c>
      <c r="B4762" t="s">
        <v>1894</v>
      </c>
      <c r="C4762">
        <v>23</v>
      </c>
      <c r="D4762" t="s">
        <v>1447</v>
      </c>
      <c r="E4762" t="s">
        <v>1899</v>
      </c>
      <c r="F4762" t="s">
        <v>1806</v>
      </c>
      <c r="I4762" t="str">
        <f>IF(ISBLANK('Q 5'!G1242),"",IF('Q 5'!G1242="&lt;please select&gt;","",'Q 5'!G1242))</f>
        <v>861.84</v>
      </c>
    </row>
    <row r="4763" spans="1:9" x14ac:dyDescent="0.3">
      <c r="A4763" t="s">
        <v>1892</v>
      </c>
      <c r="B4763" t="s">
        <v>1894</v>
      </c>
      <c r="C4763">
        <v>24</v>
      </c>
      <c r="D4763" t="s">
        <v>1447</v>
      </c>
      <c r="E4763" t="s">
        <v>1899</v>
      </c>
      <c r="F4763" t="s">
        <v>1806</v>
      </c>
      <c r="I4763" t="str">
        <f>IF(ISBLANK('Q 5'!G1243),"",IF('Q 5'!G1243="&lt;please select&gt;","",'Q 5'!G1243))</f>
        <v>6891.36</v>
      </c>
    </row>
    <row r="4764" spans="1:9" x14ac:dyDescent="0.3">
      <c r="A4764" t="s">
        <v>1892</v>
      </c>
      <c r="B4764" t="s">
        <v>1894</v>
      </c>
      <c r="C4764">
        <v>25</v>
      </c>
      <c r="D4764" t="s">
        <v>1447</v>
      </c>
      <c r="E4764" t="s">
        <v>1899</v>
      </c>
      <c r="F4764" t="s">
        <v>1806</v>
      </c>
      <c r="I4764" t="str">
        <f>IF(ISBLANK('Q 5'!G1244),"",IF('Q 5'!G1244="&lt;please select&gt;","",'Q 5'!G1244))</f>
        <v>3579.68</v>
      </c>
    </row>
    <row r="4765" spans="1:9" x14ac:dyDescent="0.3">
      <c r="A4765" t="s">
        <v>1892</v>
      </c>
      <c r="B4765" t="s">
        <v>1894</v>
      </c>
      <c r="C4765">
        <v>26</v>
      </c>
      <c r="D4765" t="s">
        <v>1447</v>
      </c>
      <c r="E4765" t="s">
        <v>1899</v>
      </c>
      <c r="F4765" t="s">
        <v>1806</v>
      </c>
      <c r="I4765" t="str">
        <f>IF(ISBLANK('Q 5'!G1245),"",IF('Q 5'!G1245="&lt;please select&gt;","",'Q 5'!G1245))</f>
        <v>1394.49</v>
      </c>
    </row>
    <row r="4766" spans="1:9" x14ac:dyDescent="0.3">
      <c r="A4766" t="s">
        <v>1892</v>
      </c>
      <c r="B4766" t="s">
        <v>1894</v>
      </c>
      <c r="C4766">
        <v>27</v>
      </c>
      <c r="D4766" t="s">
        <v>1447</v>
      </c>
      <c r="E4766" t="s">
        <v>1899</v>
      </c>
      <c r="F4766" t="s">
        <v>1806</v>
      </c>
      <c r="I4766" t="str">
        <f>IF(ISBLANK('Q 5'!G1246),"",IF('Q 5'!G1246="&lt;please select&gt;","",'Q 5'!G1246))</f>
        <v>19935.14</v>
      </c>
    </row>
    <row r="4767" spans="1:9" x14ac:dyDescent="0.3">
      <c r="A4767" t="s">
        <v>1892</v>
      </c>
      <c r="B4767" t="s">
        <v>1894</v>
      </c>
      <c r="C4767">
        <v>28</v>
      </c>
      <c r="D4767" t="s">
        <v>1447</v>
      </c>
      <c r="E4767" t="s">
        <v>1899</v>
      </c>
      <c r="F4767" t="s">
        <v>1806</v>
      </c>
      <c r="I4767" t="str">
        <f>IF(ISBLANK('Q 5'!G1247),"",IF('Q 5'!G1247="&lt;please select&gt;","",'Q 5'!G1247))</f>
        <v>698.65</v>
      </c>
    </row>
    <row r="4768" spans="1:9" x14ac:dyDescent="0.3">
      <c r="A4768" t="s">
        <v>1892</v>
      </c>
      <c r="B4768" t="s">
        <v>1894</v>
      </c>
      <c r="C4768">
        <v>29</v>
      </c>
      <c r="D4768" t="s">
        <v>1447</v>
      </c>
      <c r="E4768" t="s">
        <v>1899</v>
      </c>
      <c r="F4768" t="s">
        <v>1806</v>
      </c>
      <c r="I4768" t="str">
        <f>IF(ISBLANK('Q 5'!G1248),"",IF('Q 5'!G1248="&lt;please select&gt;","",'Q 5'!G1248))</f>
        <v>20469.36</v>
      </c>
    </row>
    <row r="4769" spans="1:9" x14ac:dyDescent="0.3">
      <c r="A4769" t="s">
        <v>1892</v>
      </c>
      <c r="B4769" t="s">
        <v>1894</v>
      </c>
      <c r="C4769">
        <v>30</v>
      </c>
      <c r="D4769" t="s">
        <v>1447</v>
      </c>
      <c r="E4769" t="s">
        <v>1899</v>
      </c>
      <c r="F4769" t="s">
        <v>1806</v>
      </c>
      <c r="I4769" t="str">
        <f>IF(ISBLANK('Q 5'!G1249),"",IF('Q 5'!G1249="&lt;please select&gt;","",'Q 5'!G1249))</f>
        <v>1375646.89</v>
      </c>
    </row>
    <row r="4770" spans="1:9" x14ac:dyDescent="0.3">
      <c r="A4770" t="s">
        <v>1892</v>
      </c>
      <c r="B4770" t="s">
        <v>1894</v>
      </c>
      <c r="C4770">
        <v>31</v>
      </c>
      <c r="D4770" t="s">
        <v>1447</v>
      </c>
      <c r="E4770" t="s">
        <v>1899</v>
      </c>
      <c r="F4770" t="s">
        <v>1806</v>
      </c>
      <c r="I4770" t="str">
        <f>IF(ISBLANK('Q 5'!G1250),"",IF('Q 5'!G1250="&lt;please select&gt;","",'Q 5'!G1250))</f>
        <v>116837.51</v>
      </c>
    </row>
    <row r="4771" spans="1:9" x14ac:dyDescent="0.3">
      <c r="A4771" t="s">
        <v>1892</v>
      </c>
      <c r="B4771" t="s">
        <v>1894</v>
      </c>
      <c r="C4771">
        <v>32</v>
      </c>
      <c r="D4771" t="s">
        <v>1447</v>
      </c>
      <c r="E4771" t="s">
        <v>1899</v>
      </c>
      <c r="F4771" t="s">
        <v>1806</v>
      </c>
      <c r="I4771" t="str">
        <f>IF(ISBLANK('Q 5'!G1251),"",IF('Q 5'!G1251="&lt;please select&gt;","",'Q 5'!G1251))</f>
        <v>1164</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nd</v>
      </c>
    </row>
    <row r="4935" spans="1:11" x14ac:dyDescent="0.3">
      <c r="A4935" t="s">
        <v>1892</v>
      </c>
      <c r="B4935" t="s">
        <v>1894</v>
      </c>
      <c r="C4935">
        <v>2</v>
      </c>
      <c r="D4935" t="s">
        <v>1447</v>
      </c>
      <c r="E4935" t="s">
        <v>1901</v>
      </c>
      <c r="F4935" t="s">
        <v>1741</v>
      </c>
      <c r="G4935" t="str">
        <f>IF(ISBLANK('Q 5'!I1221),"",IF('Q 5'!I1221="&lt;please select&gt;","",'Q 5'!I1221))</f>
        <v>nd</v>
      </c>
    </row>
    <row r="4936" spans="1:11" x14ac:dyDescent="0.3">
      <c r="A4936" t="s">
        <v>1892</v>
      </c>
      <c r="B4936" t="s">
        <v>1894</v>
      </c>
      <c r="C4936">
        <v>3</v>
      </c>
      <c r="D4936" t="s">
        <v>1447</v>
      </c>
      <c r="E4936" t="s">
        <v>1901</v>
      </c>
      <c r="F4936" t="s">
        <v>1741</v>
      </c>
      <c r="G4936" t="str">
        <f>IF(ISBLANK('Q 5'!I1222),"",IF('Q 5'!I1222="&lt;please select&gt;","",'Q 5'!I1222))</f>
        <v>nd</v>
      </c>
    </row>
    <row r="4937" spans="1:11" x14ac:dyDescent="0.3">
      <c r="A4937" t="s">
        <v>1892</v>
      </c>
      <c r="B4937" t="s">
        <v>1894</v>
      </c>
      <c r="C4937">
        <v>4</v>
      </c>
      <c r="D4937" t="s">
        <v>1447</v>
      </c>
      <c r="E4937" t="s">
        <v>1901</v>
      </c>
      <c r="F4937" t="s">
        <v>1741</v>
      </c>
      <c r="G4937" t="str">
        <f>IF(ISBLANK('Q 5'!I1223),"",IF('Q 5'!I1223="&lt;please select&gt;","",'Q 5'!I1223))</f>
        <v>nd</v>
      </c>
    </row>
    <row r="4938" spans="1:11" x14ac:dyDescent="0.3">
      <c r="A4938" t="s">
        <v>1892</v>
      </c>
      <c r="B4938" t="s">
        <v>1894</v>
      </c>
      <c r="C4938">
        <v>5</v>
      </c>
      <c r="D4938" t="s">
        <v>1447</v>
      </c>
      <c r="E4938" t="s">
        <v>1901</v>
      </c>
      <c r="F4938" t="s">
        <v>1741</v>
      </c>
      <c r="G4938" t="str">
        <f>IF(ISBLANK('Q 5'!I1224),"",IF('Q 5'!I1224="&lt;please select&gt;","",'Q 5'!I1224))</f>
        <v>nd</v>
      </c>
    </row>
    <row r="4939" spans="1:11" x14ac:dyDescent="0.3">
      <c r="A4939" t="s">
        <v>1892</v>
      </c>
      <c r="B4939" t="s">
        <v>1894</v>
      </c>
      <c r="C4939">
        <v>6</v>
      </c>
      <c r="D4939" t="s">
        <v>1447</v>
      </c>
      <c r="E4939" t="s">
        <v>1901</v>
      </c>
      <c r="F4939" t="s">
        <v>1741</v>
      </c>
      <c r="G4939" t="str">
        <f>IF(ISBLANK('Q 5'!I1225),"",IF('Q 5'!I1225="&lt;please select&gt;","",'Q 5'!I1225))</f>
        <v>nd</v>
      </c>
    </row>
    <row r="4940" spans="1:11" x14ac:dyDescent="0.3">
      <c r="A4940" t="s">
        <v>1892</v>
      </c>
      <c r="B4940" t="s">
        <v>1894</v>
      </c>
      <c r="C4940">
        <v>7</v>
      </c>
      <c r="D4940" t="s">
        <v>1447</v>
      </c>
      <c r="E4940" t="s">
        <v>1901</v>
      </c>
      <c r="F4940" t="s">
        <v>1741</v>
      </c>
      <c r="G4940" t="str">
        <f>IF(ISBLANK('Q 5'!I1226),"",IF('Q 5'!I1226="&lt;please select&gt;","",'Q 5'!I1226))</f>
        <v>nd</v>
      </c>
    </row>
    <row r="4941" spans="1:11" x14ac:dyDescent="0.3">
      <c r="A4941" t="s">
        <v>1892</v>
      </c>
      <c r="B4941" t="s">
        <v>1894</v>
      </c>
      <c r="C4941">
        <v>8</v>
      </c>
      <c r="D4941" t="s">
        <v>1447</v>
      </c>
      <c r="E4941" t="s">
        <v>1901</v>
      </c>
      <c r="F4941" t="s">
        <v>1741</v>
      </c>
      <c r="G4941" t="str">
        <f>IF(ISBLANK('Q 5'!I1227),"",IF('Q 5'!I1227="&lt;please select&gt;","",'Q 5'!I1227))</f>
        <v>nd</v>
      </c>
    </row>
    <row r="4942" spans="1:11" x14ac:dyDescent="0.3">
      <c r="A4942" t="s">
        <v>1892</v>
      </c>
      <c r="B4942" t="s">
        <v>1894</v>
      </c>
      <c r="C4942">
        <v>9</v>
      </c>
      <c r="D4942" t="s">
        <v>1447</v>
      </c>
      <c r="E4942" t="s">
        <v>1901</v>
      </c>
      <c r="F4942" t="s">
        <v>1741</v>
      </c>
      <c r="G4942" t="str">
        <f>IF(ISBLANK('Q 5'!I1228),"",IF('Q 5'!I1228="&lt;please select&gt;","",'Q 5'!I1228))</f>
        <v>nd</v>
      </c>
    </row>
    <row r="4943" spans="1:11" x14ac:dyDescent="0.3">
      <c r="A4943" t="s">
        <v>1892</v>
      </c>
      <c r="B4943" t="s">
        <v>1894</v>
      </c>
      <c r="C4943">
        <v>10</v>
      </c>
      <c r="D4943" t="s">
        <v>1447</v>
      </c>
      <c r="E4943" t="s">
        <v>1901</v>
      </c>
      <c r="F4943" t="s">
        <v>1741</v>
      </c>
      <c r="G4943" t="str">
        <f>IF(ISBLANK('Q 5'!I1229),"",IF('Q 5'!I1229="&lt;please select&gt;","",'Q 5'!I1229))</f>
        <v>nd</v>
      </c>
    </row>
    <row r="4944" spans="1:11" x14ac:dyDescent="0.3">
      <c r="A4944" t="s">
        <v>1892</v>
      </c>
      <c r="B4944" t="s">
        <v>1894</v>
      </c>
      <c r="C4944">
        <v>11</v>
      </c>
      <c r="D4944" t="s">
        <v>1447</v>
      </c>
      <c r="E4944" t="s">
        <v>1901</v>
      </c>
      <c r="F4944" t="s">
        <v>1741</v>
      </c>
      <c r="G4944" t="str">
        <f>IF(ISBLANK('Q 5'!I1230),"",IF('Q 5'!I1230="&lt;please select&gt;","",'Q 5'!I1230))</f>
        <v>nd</v>
      </c>
    </row>
    <row r="4945" spans="1:7" x14ac:dyDescent="0.3">
      <c r="A4945" t="s">
        <v>1892</v>
      </c>
      <c r="B4945" t="s">
        <v>1894</v>
      </c>
      <c r="C4945">
        <v>12</v>
      </c>
      <c r="D4945" t="s">
        <v>1447</v>
      </c>
      <c r="E4945" t="s">
        <v>1901</v>
      </c>
      <c r="F4945" t="s">
        <v>1741</v>
      </c>
      <c r="G4945" t="str">
        <f>IF(ISBLANK('Q 5'!I1231),"",IF('Q 5'!I1231="&lt;please select&gt;","",'Q 5'!I1231))</f>
        <v>nd</v>
      </c>
    </row>
    <row r="4946" spans="1:7" x14ac:dyDescent="0.3">
      <c r="A4946" t="s">
        <v>1892</v>
      </c>
      <c r="B4946" t="s">
        <v>1894</v>
      </c>
      <c r="C4946">
        <v>13</v>
      </c>
      <c r="D4946" t="s">
        <v>1447</v>
      </c>
      <c r="E4946" t="s">
        <v>1901</v>
      </c>
      <c r="F4946" t="s">
        <v>1741</v>
      </c>
      <c r="G4946" t="str">
        <f>IF(ISBLANK('Q 5'!I1232),"",IF('Q 5'!I1232="&lt;please select&gt;","",'Q 5'!I1232))</f>
        <v>nd</v>
      </c>
    </row>
    <row r="4947" spans="1:7" x14ac:dyDescent="0.3">
      <c r="A4947" t="s">
        <v>1892</v>
      </c>
      <c r="B4947" t="s">
        <v>1894</v>
      </c>
      <c r="C4947">
        <v>14</v>
      </c>
      <c r="D4947" t="s">
        <v>1447</v>
      </c>
      <c r="E4947" t="s">
        <v>1901</v>
      </c>
      <c r="F4947" t="s">
        <v>1741</v>
      </c>
      <c r="G4947" t="str">
        <f>IF(ISBLANK('Q 5'!I1233),"",IF('Q 5'!I1233="&lt;please select&gt;","",'Q 5'!I1233))</f>
        <v>nd</v>
      </c>
    </row>
    <row r="4948" spans="1:7" x14ac:dyDescent="0.3">
      <c r="A4948" t="s">
        <v>1892</v>
      </c>
      <c r="B4948" t="s">
        <v>1894</v>
      </c>
      <c r="C4948">
        <v>15</v>
      </c>
      <c r="D4948" t="s">
        <v>1447</v>
      </c>
      <c r="E4948" t="s">
        <v>1901</v>
      </c>
      <c r="F4948" t="s">
        <v>1741</v>
      </c>
      <c r="G4948" t="str">
        <f>IF(ISBLANK('Q 5'!I1234),"",IF('Q 5'!I1234="&lt;please select&gt;","",'Q 5'!I1234))</f>
        <v>nd</v>
      </c>
    </row>
    <row r="4949" spans="1:7" x14ac:dyDescent="0.3">
      <c r="A4949" t="s">
        <v>1892</v>
      </c>
      <c r="B4949" t="s">
        <v>1894</v>
      </c>
      <c r="C4949">
        <v>16</v>
      </c>
      <c r="D4949" t="s">
        <v>1447</v>
      </c>
      <c r="E4949" t="s">
        <v>1901</v>
      </c>
      <c r="F4949" t="s">
        <v>1741</v>
      </c>
      <c r="G4949" t="str">
        <f>IF(ISBLANK('Q 5'!I1235),"",IF('Q 5'!I1235="&lt;please select&gt;","",'Q 5'!I1235))</f>
        <v>nd</v>
      </c>
    </row>
    <row r="4950" spans="1:7" x14ac:dyDescent="0.3">
      <c r="A4950" t="s">
        <v>1892</v>
      </c>
      <c r="B4950" t="s">
        <v>1894</v>
      </c>
      <c r="C4950">
        <v>17</v>
      </c>
      <c r="D4950" t="s">
        <v>1447</v>
      </c>
      <c r="E4950" t="s">
        <v>1901</v>
      </c>
      <c r="F4950" t="s">
        <v>1741</v>
      </c>
      <c r="G4950" t="str">
        <f>IF(ISBLANK('Q 5'!I1236),"",IF('Q 5'!I1236="&lt;please select&gt;","",'Q 5'!I1236))</f>
        <v>nd</v>
      </c>
    </row>
    <row r="4951" spans="1:7" x14ac:dyDescent="0.3">
      <c r="A4951" t="s">
        <v>1892</v>
      </c>
      <c r="B4951" t="s">
        <v>1894</v>
      </c>
      <c r="C4951">
        <v>18</v>
      </c>
      <c r="D4951" t="s">
        <v>1447</v>
      </c>
      <c r="E4951" t="s">
        <v>1901</v>
      </c>
      <c r="F4951" t="s">
        <v>1741</v>
      </c>
      <c r="G4951" t="str">
        <f>IF(ISBLANK('Q 5'!I1237),"",IF('Q 5'!I1237="&lt;please select&gt;","",'Q 5'!I1237))</f>
        <v>nd</v>
      </c>
    </row>
    <row r="4952" spans="1:7" x14ac:dyDescent="0.3">
      <c r="A4952" t="s">
        <v>1892</v>
      </c>
      <c r="B4952" t="s">
        <v>1894</v>
      </c>
      <c r="C4952">
        <v>19</v>
      </c>
      <c r="D4952" t="s">
        <v>1447</v>
      </c>
      <c r="E4952" t="s">
        <v>1901</v>
      </c>
      <c r="F4952" t="s">
        <v>1741</v>
      </c>
      <c r="G4952" t="str">
        <f>IF(ISBLANK('Q 5'!I1238),"",IF('Q 5'!I1238="&lt;please select&gt;","",'Q 5'!I1238))</f>
        <v>nd</v>
      </c>
    </row>
    <row r="4953" spans="1:7" x14ac:dyDescent="0.3">
      <c r="A4953" t="s">
        <v>1892</v>
      </c>
      <c r="B4953" t="s">
        <v>1894</v>
      </c>
      <c r="C4953">
        <v>20</v>
      </c>
      <c r="D4953" t="s">
        <v>1447</v>
      </c>
      <c r="E4953" t="s">
        <v>1901</v>
      </c>
      <c r="F4953" t="s">
        <v>1741</v>
      </c>
      <c r="G4953" t="str">
        <f>IF(ISBLANK('Q 5'!I1239),"",IF('Q 5'!I1239="&lt;please select&gt;","",'Q 5'!I1239))</f>
        <v>nd</v>
      </c>
    </row>
    <row r="4954" spans="1:7" x14ac:dyDescent="0.3">
      <c r="A4954" t="s">
        <v>1892</v>
      </c>
      <c r="B4954" t="s">
        <v>1894</v>
      </c>
      <c r="C4954">
        <v>21</v>
      </c>
      <c r="D4954" t="s">
        <v>1447</v>
      </c>
      <c r="E4954" t="s">
        <v>1901</v>
      </c>
      <c r="F4954" t="s">
        <v>1741</v>
      </c>
      <c r="G4954" t="str">
        <f>IF(ISBLANK('Q 5'!I1240),"",IF('Q 5'!I1240="&lt;please select&gt;","",'Q 5'!I1240))</f>
        <v>nd</v>
      </c>
    </row>
    <row r="4955" spans="1:7" x14ac:dyDescent="0.3">
      <c r="A4955" t="s">
        <v>1892</v>
      </c>
      <c r="B4955" t="s">
        <v>1894</v>
      </c>
      <c r="C4955">
        <v>22</v>
      </c>
      <c r="D4955" t="s">
        <v>1447</v>
      </c>
      <c r="E4955" t="s">
        <v>1901</v>
      </c>
      <c r="F4955" t="s">
        <v>1741</v>
      </c>
      <c r="G4955" t="str">
        <f>IF(ISBLANK('Q 5'!I1241),"",IF('Q 5'!I1241="&lt;please select&gt;","",'Q 5'!I1241))</f>
        <v>nd</v>
      </c>
    </row>
    <row r="4956" spans="1:7" x14ac:dyDescent="0.3">
      <c r="A4956" t="s">
        <v>1892</v>
      </c>
      <c r="B4956" t="s">
        <v>1894</v>
      </c>
      <c r="C4956">
        <v>23</v>
      </c>
      <c r="D4956" t="s">
        <v>1447</v>
      </c>
      <c r="E4956" t="s">
        <v>1901</v>
      </c>
      <c r="F4956" t="s">
        <v>1741</v>
      </c>
      <c r="G4956" t="str">
        <f>IF(ISBLANK('Q 5'!I1242),"",IF('Q 5'!I1242="&lt;please select&gt;","",'Q 5'!I1242))</f>
        <v>nd</v>
      </c>
    </row>
    <row r="4957" spans="1:7" x14ac:dyDescent="0.3">
      <c r="A4957" t="s">
        <v>1892</v>
      </c>
      <c r="B4957" t="s">
        <v>1894</v>
      </c>
      <c r="C4957">
        <v>24</v>
      </c>
      <c r="D4957" t="s">
        <v>1447</v>
      </c>
      <c r="E4957" t="s">
        <v>1901</v>
      </c>
      <c r="F4957" t="s">
        <v>1741</v>
      </c>
      <c r="G4957" t="str">
        <f>IF(ISBLANK('Q 5'!I1243),"",IF('Q 5'!I1243="&lt;please select&gt;","",'Q 5'!I1243))</f>
        <v>nd</v>
      </c>
    </row>
    <row r="4958" spans="1:7" x14ac:dyDescent="0.3">
      <c r="A4958" t="s">
        <v>1892</v>
      </c>
      <c r="B4958" t="s">
        <v>1894</v>
      </c>
      <c r="C4958">
        <v>25</v>
      </c>
      <c r="D4958" t="s">
        <v>1447</v>
      </c>
      <c r="E4958" t="s">
        <v>1901</v>
      </c>
      <c r="F4958" t="s">
        <v>1741</v>
      </c>
      <c r="G4958" t="str">
        <f>IF(ISBLANK('Q 5'!I1244),"",IF('Q 5'!I1244="&lt;please select&gt;","",'Q 5'!I1244))</f>
        <v>nd</v>
      </c>
    </row>
    <row r="4959" spans="1:7" x14ac:dyDescent="0.3">
      <c r="A4959" t="s">
        <v>1892</v>
      </c>
      <c r="B4959" t="s">
        <v>1894</v>
      </c>
      <c r="C4959">
        <v>26</v>
      </c>
      <c r="D4959" t="s">
        <v>1447</v>
      </c>
      <c r="E4959" t="s">
        <v>1901</v>
      </c>
      <c r="F4959" t="s">
        <v>1741</v>
      </c>
      <c r="G4959" t="str">
        <f>IF(ISBLANK('Q 5'!I1245),"",IF('Q 5'!I1245="&lt;please select&gt;","",'Q 5'!I1245))</f>
        <v>nd</v>
      </c>
    </row>
    <row r="4960" spans="1:7" x14ac:dyDescent="0.3">
      <c r="A4960" t="s">
        <v>1892</v>
      </c>
      <c r="B4960" t="s">
        <v>1894</v>
      </c>
      <c r="C4960">
        <v>27</v>
      </c>
      <c r="D4960" t="s">
        <v>1447</v>
      </c>
      <c r="E4960" t="s">
        <v>1901</v>
      </c>
      <c r="F4960" t="s">
        <v>1741</v>
      </c>
      <c r="G4960" t="str">
        <f>IF(ISBLANK('Q 5'!I1246),"",IF('Q 5'!I1246="&lt;please select&gt;","",'Q 5'!I1246))</f>
        <v>nd</v>
      </c>
    </row>
    <row r="4961" spans="1:7" x14ac:dyDescent="0.3">
      <c r="A4961" t="s">
        <v>1892</v>
      </c>
      <c r="B4961" t="s">
        <v>1894</v>
      </c>
      <c r="C4961">
        <v>28</v>
      </c>
      <c r="D4961" t="s">
        <v>1447</v>
      </c>
      <c r="E4961" t="s">
        <v>1901</v>
      </c>
      <c r="F4961" t="s">
        <v>1741</v>
      </c>
      <c r="G4961" t="str">
        <f>IF(ISBLANK('Q 5'!I1247),"",IF('Q 5'!I1247="&lt;please select&gt;","",'Q 5'!I1247))</f>
        <v>nd</v>
      </c>
    </row>
    <row r="4962" spans="1:7" x14ac:dyDescent="0.3">
      <c r="A4962" t="s">
        <v>1892</v>
      </c>
      <c r="B4962" t="s">
        <v>1894</v>
      </c>
      <c r="C4962">
        <v>29</v>
      </c>
      <c r="D4962" t="s">
        <v>1447</v>
      </c>
      <c r="E4962" t="s">
        <v>1901</v>
      </c>
      <c r="F4962" t="s">
        <v>1741</v>
      </c>
      <c r="G4962" t="str">
        <f>IF(ISBLANK('Q 5'!I1248),"",IF('Q 5'!I1248="&lt;please select&gt;","",'Q 5'!I1248))</f>
        <v>nd</v>
      </c>
    </row>
    <row r="4963" spans="1:7" x14ac:dyDescent="0.3">
      <c r="A4963" t="s">
        <v>1892</v>
      </c>
      <c r="B4963" t="s">
        <v>1894</v>
      </c>
      <c r="C4963">
        <v>30</v>
      </c>
      <c r="D4963" t="s">
        <v>1447</v>
      </c>
      <c r="E4963" t="s">
        <v>1901</v>
      </c>
      <c r="F4963" t="s">
        <v>1741</v>
      </c>
      <c r="G4963" t="str">
        <f>IF(ISBLANK('Q 5'!I1249),"",IF('Q 5'!I1249="&lt;please select&gt;","",'Q 5'!I1249))</f>
        <v>nd</v>
      </c>
    </row>
    <row r="4964" spans="1:7" x14ac:dyDescent="0.3">
      <c r="A4964" t="s">
        <v>1892</v>
      </c>
      <c r="B4964" t="s">
        <v>1894</v>
      </c>
      <c r="C4964">
        <v>31</v>
      </c>
      <c r="D4964" t="s">
        <v>1447</v>
      </c>
      <c r="E4964" t="s">
        <v>1901</v>
      </c>
      <c r="F4964" t="s">
        <v>1741</v>
      </c>
      <c r="G4964" t="str">
        <f>IF(ISBLANK('Q 5'!I1250),"",IF('Q 5'!I1250="&lt;please select&gt;","",'Q 5'!I1250))</f>
        <v>nd</v>
      </c>
    </row>
    <row r="4965" spans="1:7" x14ac:dyDescent="0.3">
      <c r="A4965" t="s">
        <v>1892</v>
      </c>
      <c r="B4965" t="s">
        <v>1894</v>
      </c>
      <c r="C4965">
        <v>32</v>
      </c>
      <c r="D4965" t="s">
        <v>1447</v>
      </c>
      <c r="E4965" t="s">
        <v>1901</v>
      </c>
      <c r="F4965" t="s">
        <v>1741</v>
      </c>
      <c r="G4965" t="str">
        <f>IF(ISBLANK('Q 5'!I1251),"",IF('Q 5'!I1251="&lt;please select&gt;","",'Q 5'!I1251))</f>
        <v>nd</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Yes</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PL000000000203087</v>
      </c>
    </row>
    <row r="5083" spans="1:7" x14ac:dyDescent="0.3">
      <c r="A5083" t="s">
        <v>1902</v>
      </c>
      <c r="B5083" t="s">
        <v>1904</v>
      </c>
      <c r="C5083">
        <v>2</v>
      </c>
      <c r="D5083" t="s">
        <v>1447</v>
      </c>
      <c r="E5083" t="s">
        <v>1906</v>
      </c>
      <c r="F5083" t="s">
        <v>1741</v>
      </c>
      <c r="G5083" t="str">
        <f>IF(ISBLANK('Q 5'!E1328),"",IF('Q 5'!E1328="&lt;please select&gt;","",'Q 5'!E1328))</f>
        <v>PL000000000203087</v>
      </c>
    </row>
    <row r="5084" spans="1:7" x14ac:dyDescent="0.3">
      <c r="A5084" t="s">
        <v>1902</v>
      </c>
      <c r="B5084" t="s">
        <v>1904</v>
      </c>
      <c r="C5084">
        <v>3</v>
      </c>
      <c r="D5084" t="s">
        <v>1447</v>
      </c>
      <c r="E5084" t="s">
        <v>1906</v>
      </c>
      <c r="F5084" t="s">
        <v>1741</v>
      </c>
      <c r="G5084" t="str">
        <f>IF(ISBLANK('Q 5'!E1329),"",IF('Q 5'!E1329="&lt;please select&gt;","",'Q 5'!E1329))</f>
        <v>PL000000000202510</v>
      </c>
    </row>
    <row r="5085" spans="1:7" x14ac:dyDescent="0.3">
      <c r="A5085" t="s">
        <v>1902</v>
      </c>
      <c r="B5085" t="s">
        <v>1904</v>
      </c>
      <c r="C5085">
        <v>4</v>
      </c>
      <c r="D5085" t="s">
        <v>1447</v>
      </c>
      <c r="E5085" t="s">
        <v>1906</v>
      </c>
      <c r="F5085" t="s">
        <v>1741</v>
      </c>
      <c r="G5085" t="str">
        <f>IF(ISBLANK('Q 5'!E1330),"",IF('Q 5'!E1330="&lt;please select&gt;","",'Q 5'!E1330))</f>
        <v>PL000000000202510</v>
      </c>
    </row>
    <row r="5086" spans="1:7" x14ac:dyDescent="0.3">
      <c r="A5086" t="s">
        <v>1902</v>
      </c>
      <c r="B5086" t="s">
        <v>1904</v>
      </c>
      <c r="C5086">
        <v>5</v>
      </c>
      <c r="D5086" t="s">
        <v>1447</v>
      </c>
      <c r="E5086" t="s">
        <v>1906</v>
      </c>
      <c r="F5086" t="s">
        <v>1741</v>
      </c>
      <c r="G5086" t="str">
        <f>IF(ISBLANK('Q 5'!E1331),"",IF('Q 5'!E1331="&lt;please select&gt;","",'Q 5'!E1331))</f>
        <v>PL000000000202510</v>
      </c>
    </row>
    <row r="5087" spans="1:7" x14ac:dyDescent="0.3">
      <c r="A5087" t="s">
        <v>1902</v>
      </c>
      <c r="B5087" t="s">
        <v>1904</v>
      </c>
      <c r="C5087">
        <v>6</v>
      </c>
      <c r="D5087" t="s">
        <v>1447</v>
      </c>
      <c r="E5087" t="s">
        <v>1906</v>
      </c>
      <c r="F5087" t="s">
        <v>1741</v>
      </c>
      <c r="G5087" t="str">
        <f>IF(ISBLANK('Q 5'!E1332),"",IF('Q 5'!E1332="&lt;please select&gt;","",'Q 5'!E1332))</f>
        <v>PL000000000202510</v>
      </c>
    </row>
    <row r="5088" spans="1:7" x14ac:dyDescent="0.3">
      <c r="A5088" t="s">
        <v>1902</v>
      </c>
      <c r="B5088" t="s">
        <v>1904</v>
      </c>
      <c r="C5088">
        <v>7</v>
      </c>
      <c r="D5088" t="s">
        <v>1447</v>
      </c>
      <c r="E5088" t="s">
        <v>1906</v>
      </c>
      <c r="F5088" t="s">
        <v>1741</v>
      </c>
      <c r="G5088" t="str">
        <f>IF(ISBLANK('Q 5'!E1333),"",IF('Q 5'!E1333="&lt;please select&gt;","",'Q 5'!E1333))</f>
        <v>PL000000000203112</v>
      </c>
    </row>
    <row r="5089" spans="1:7" x14ac:dyDescent="0.3">
      <c r="A5089" t="s">
        <v>1902</v>
      </c>
      <c r="B5089" t="s">
        <v>1904</v>
      </c>
      <c r="C5089">
        <v>8</v>
      </c>
      <c r="D5089" t="s">
        <v>1447</v>
      </c>
      <c r="E5089" t="s">
        <v>1906</v>
      </c>
      <c r="F5089" t="s">
        <v>1741</v>
      </c>
      <c r="G5089" t="str">
        <f>IF(ISBLANK('Q 5'!E1334),"",IF('Q 5'!E1334="&lt;please select&gt;","",'Q 5'!E1334))</f>
        <v>PL000000000202698</v>
      </c>
    </row>
    <row r="5090" spans="1:7" x14ac:dyDescent="0.3">
      <c r="A5090" t="s">
        <v>1902</v>
      </c>
      <c r="B5090" t="s">
        <v>1904</v>
      </c>
      <c r="C5090">
        <v>9</v>
      </c>
      <c r="D5090" t="s">
        <v>1447</v>
      </c>
      <c r="E5090" t="s">
        <v>1906</v>
      </c>
      <c r="F5090" t="s">
        <v>1741</v>
      </c>
      <c r="G5090" t="str">
        <f>IF(ISBLANK('Q 5'!E1335),"",IF('Q 5'!E1335="&lt;please select&gt;","",'Q 5'!E1335))</f>
        <v>PL000000000202698</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802555</v>
      </c>
    </row>
    <row r="5133" spans="1:9" x14ac:dyDescent="0.3">
      <c r="A5133" t="s">
        <v>1902</v>
      </c>
      <c r="B5133" t="s">
        <v>1904</v>
      </c>
      <c r="C5133">
        <v>2</v>
      </c>
      <c r="D5133" t="s">
        <v>1447</v>
      </c>
      <c r="E5133" t="s">
        <v>1907</v>
      </c>
      <c r="F5133" t="s">
        <v>1806</v>
      </c>
      <c r="I5133" s="165" t="str">
        <f>IF(ISBLANK('Q 5'!G1328),"",IF('Q 5'!G1328="&lt;please select&gt;","",'Q 5'!G1328))</f>
        <v>802555</v>
      </c>
    </row>
    <row r="5134" spans="1:9" x14ac:dyDescent="0.3">
      <c r="A5134" t="s">
        <v>1902</v>
      </c>
      <c r="B5134" t="s">
        <v>1904</v>
      </c>
      <c r="C5134">
        <v>3</v>
      </c>
      <c r="D5134" t="s">
        <v>1447</v>
      </c>
      <c r="E5134" t="s">
        <v>1907</v>
      </c>
      <c r="F5134" t="s">
        <v>1806</v>
      </c>
      <c r="I5134" s="165" t="str">
        <f>IF(ISBLANK('Q 5'!G1329),"",IF('Q 5'!G1329="&lt;please select&gt;","",'Q 5'!G1329))</f>
        <v>2251769</v>
      </c>
    </row>
    <row r="5135" spans="1:9" x14ac:dyDescent="0.3">
      <c r="A5135" t="s">
        <v>1902</v>
      </c>
      <c r="B5135" t="s">
        <v>1904</v>
      </c>
      <c r="C5135">
        <v>4</v>
      </c>
      <c r="D5135" t="s">
        <v>1447</v>
      </c>
      <c r="E5135" t="s">
        <v>1907</v>
      </c>
      <c r="F5135" t="s">
        <v>1806</v>
      </c>
      <c r="I5135" s="165" t="str">
        <f>IF(ISBLANK('Q 5'!G1330),"",IF('Q 5'!G1330="&lt;please select&gt;","",'Q 5'!G1330))</f>
        <v>2251769</v>
      </c>
    </row>
    <row r="5136" spans="1:9" x14ac:dyDescent="0.3">
      <c r="A5136" t="s">
        <v>1902</v>
      </c>
      <c r="B5136" t="s">
        <v>1904</v>
      </c>
      <c r="C5136">
        <v>5</v>
      </c>
      <c r="D5136" t="s">
        <v>1447</v>
      </c>
      <c r="E5136" t="s">
        <v>1907</v>
      </c>
      <c r="F5136" t="s">
        <v>1806</v>
      </c>
      <c r="I5136" s="165" t="str">
        <f>IF(ISBLANK('Q 5'!G1331),"",IF('Q 5'!G1331="&lt;please select&gt;","",'Q 5'!G1331))</f>
        <v>2251769</v>
      </c>
    </row>
    <row r="5137" spans="1:9" x14ac:dyDescent="0.3">
      <c r="A5137" t="s">
        <v>1902</v>
      </c>
      <c r="B5137" t="s">
        <v>1904</v>
      </c>
      <c r="C5137">
        <v>6</v>
      </c>
      <c r="D5137" t="s">
        <v>1447</v>
      </c>
      <c r="E5137" t="s">
        <v>1907</v>
      </c>
      <c r="F5137" t="s">
        <v>1806</v>
      </c>
      <c r="I5137" s="165" t="str">
        <f>IF(ISBLANK('Q 5'!G1332),"",IF('Q 5'!G1332="&lt;please select&gt;","",'Q 5'!G1332))</f>
        <v>2251769</v>
      </c>
    </row>
    <row r="5138" spans="1:9" x14ac:dyDescent="0.3">
      <c r="A5138" t="s">
        <v>1902</v>
      </c>
      <c r="B5138" t="s">
        <v>1904</v>
      </c>
      <c r="C5138">
        <v>7</v>
      </c>
      <c r="D5138" t="s">
        <v>1447</v>
      </c>
      <c r="E5138" t="s">
        <v>1907</v>
      </c>
      <c r="F5138" t="s">
        <v>1806</v>
      </c>
      <c r="I5138" s="165" t="str">
        <f>IF(ISBLANK('Q 5'!G1333),"",IF('Q 5'!G1333="&lt;please select&gt;","",'Q 5'!G1333))</f>
        <v>423138</v>
      </c>
    </row>
    <row r="5139" spans="1:9" x14ac:dyDescent="0.3">
      <c r="A5139" t="s">
        <v>1902</v>
      </c>
      <c r="B5139" t="s">
        <v>1904</v>
      </c>
      <c r="C5139">
        <v>8</v>
      </c>
      <c r="D5139" t="s">
        <v>1447</v>
      </c>
      <c r="E5139" t="s">
        <v>1907</v>
      </c>
      <c r="F5139" t="s">
        <v>1806</v>
      </c>
      <c r="I5139" s="165" t="str">
        <f>IF(ISBLANK('Q 5'!G1334),"",IF('Q 5'!G1334="&lt;please select&gt;","",'Q 5'!G1334))</f>
        <v>72522</v>
      </c>
    </row>
    <row r="5140" spans="1:9" x14ac:dyDescent="0.3">
      <c r="A5140" t="s">
        <v>1902</v>
      </c>
      <c r="B5140" t="s">
        <v>1904</v>
      </c>
      <c r="C5140">
        <v>9</v>
      </c>
      <c r="D5140" t="s">
        <v>1447</v>
      </c>
      <c r="E5140" t="s">
        <v>1907</v>
      </c>
      <c r="F5140" t="s">
        <v>1806</v>
      </c>
      <c r="I5140" s="165" t="str">
        <f>IF(ISBLANK('Q 5'!G1335),"",IF('Q 5'!G1335="&lt;please select&gt;","",'Q 5'!G1335))</f>
        <v>72522</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28275.010421086</v>
      </c>
    </row>
    <row r="5183" spans="1:9" x14ac:dyDescent="0.3">
      <c r="A5183" t="s">
        <v>1902</v>
      </c>
      <c r="B5183" t="s">
        <v>1904</v>
      </c>
      <c r="C5183">
        <v>2</v>
      </c>
      <c r="D5183" t="s">
        <v>1447</v>
      </c>
      <c r="E5183" t="s">
        <v>1908</v>
      </c>
      <c r="F5183" t="s">
        <v>1806</v>
      </c>
      <c r="I5183" s="165" t="str">
        <f>IF(ISBLANK('Q 5'!H1328),"",IF('Q 5'!H1328="&lt;please select&gt;","",'Q 5'!H1328))</f>
        <v>114700.306724111</v>
      </c>
    </row>
    <row r="5184" spans="1:9" x14ac:dyDescent="0.3">
      <c r="A5184" t="s">
        <v>1902</v>
      </c>
      <c r="B5184" t="s">
        <v>1904</v>
      </c>
      <c r="C5184">
        <v>3</v>
      </c>
      <c r="D5184" t="s">
        <v>1447</v>
      </c>
      <c r="E5184" t="s">
        <v>1908</v>
      </c>
      <c r="F5184" t="s">
        <v>1806</v>
      </c>
      <c r="I5184" s="165" t="str">
        <f>IF(ISBLANK('Q 5'!H1329),"",IF('Q 5'!H1329="&lt;please select&gt;","",'Q 5'!H1329))</f>
        <v>47166.9879911421</v>
      </c>
    </row>
    <row r="5185" spans="1:9" x14ac:dyDescent="0.3">
      <c r="A5185" t="s">
        <v>1902</v>
      </c>
      <c r="B5185" t="s">
        <v>1904</v>
      </c>
      <c r="C5185">
        <v>4</v>
      </c>
      <c r="D5185" t="s">
        <v>1447</v>
      </c>
      <c r="E5185" t="s">
        <v>1908</v>
      </c>
      <c r="F5185" t="s">
        <v>1806</v>
      </c>
      <c r="I5185" s="165" t="str">
        <f>IF(ISBLANK('Q 5'!H1330),"",IF('Q 5'!H1330="&lt;please select&gt;","",'Q 5'!H1330))</f>
        <v>89564.1461298633</v>
      </c>
    </row>
    <row r="5186" spans="1:9" x14ac:dyDescent="0.3">
      <c r="A5186" t="s">
        <v>1902</v>
      </c>
      <c r="B5186" t="s">
        <v>1904</v>
      </c>
      <c r="C5186">
        <v>5</v>
      </c>
      <c r="D5186" t="s">
        <v>1447</v>
      </c>
      <c r="E5186" t="s">
        <v>1908</v>
      </c>
      <c r="F5186" t="s">
        <v>1806</v>
      </c>
      <c r="I5186" s="165" t="str">
        <f>IF(ISBLANK('Q 5'!H1331),"",IF('Q 5'!H1331="&lt;please select&gt;","",'Q 5'!H1331))</f>
        <v>45268.4673800013</v>
      </c>
    </row>
    <row r="5187" spans="1:9" x14ac:dyDescent="0.3">
      <c r="A5187" t="s">
        <v>1902</v>
      </c>
      <c r="B5187" t="s">
        <v>1904</v>
      </c>
      <c r="C5187">
        <v>6</v>
      </c>
      <c r="D5187" t="s">
        <v>1447</v>
      </c>
      <c r="E5187" t="s">
        <v>1908</v>
      </c>
      <c r="F5187" t="s">
        <v>1806</v>
      </c>
      <c r="I5187" s="165" t="str">
        <f>IF(ISBLANK('Q 5'!H1332),"",IF('Q 5'!H1332="&lt;please select&gt;","",'Q 5'!H1332))</f>
        <v>47396.0036714582</v>
      </c>
    </row>
    <row r="5188" spans="1:9" x14ac:dyDescent="0.3">
      <c r="A5188" t="s">
        <v>1902</v>
      </c>
      <c r="B5188" t="s">
        <v>1904</v>
      </c>
      <c r="C5188">
        <v>7</v>
      </c>
      <c r="D5188" t="s">
        <v>1447</v>
      </c>
      <c r="E5188" t="s">
        <v>1908</v>
      </c>
      <c r="F5188" t="s">
        <v>1806</v>
      </c>
      <c r="I5188" s="165" t="str">
        <f>IF(ISBLANK('Q 5'!H1333),"",IF('Q 5'!H1333="&lt;please select&gt;","",'Q 5'!H1333))</f>
        <v>18001.7482960469</v>
      </c>
    </row>
    <row r="5189" spans="1:9" x14ac:dyDescent="0.3">
      <c r="A5189" t="s">
        <v>1902</v>
      </c>
      <c r="B5189" t="s">
        <v>1904</v>
      </c>
      <c r="C5189">
        <v>8</v>
      </c>
      <c r="D5189" t="s">
        <v>1447</v>
      </c>
      <c r="E5189" t="s">
        <v>1908</v>
      </c>
      <c r="F5189" t="s">
        <v>1806</v>
      </c>
      <c r="I5189" s="165" t="str">
        <f>IF(ISBLANK('Q 5'!H1334),"",IF('Q 5'!H1334="&lt;please select&gt;","",'Q 5'!H1334))</f>
        <v>33960.0234535001</v>
      </c>
    </row>
    <row r="5190" spans="1:9" x14ac:dyDescent="0.3">
      <c r="A5190" t="s">
        <v>1902</v>
      </c>
      <c r="B5190" t="s">
        <v>1904</v>
      </c>
      <c r="C5190">
        <v>9</v>
      </c>
      <c r="D5190" t="s">
        <v>1447</v>
      </c>
      <c r="E5190" t="s">
        <v>1908</v>
      </c>
      <c r="F5190" t="s">
        <v>1806</v>
      </c>
      <c r="I5190" s="165" t="str">
        <f>IF(ISBLANK('Q 5'!H1335),"",IF('Q 5'!H1335="&lt;please select&gt;","",'Q 5'!H1335))</f>
        <v>38562.2865095001</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No</v>
      </c>
    </row>
    <row r="5233" spans="1:11" x14ac:dyDescent="0.3">
      <c r="A5233" t="s">
        <v>1902</v>
      </c>
      <c r="B5233" t="s">
        <v>1904</v>
      </c>
      <c r="C5233">
        <v>2</v>
      </c>
      <c r="D5233" t="s">
        <v>1447</v>
      </c>
      <c r="E5233" t="s">
        <v>1909</v>
      </c>
      <c r="F5233" t="s">
        <v>1759</v>
      </c>
      <c r="K5233" t="str">
        <f>IF(ISBLANK('Q 5'!I1328),"",IF('Q 5'!I1328="&lt;please select&gt;","",'Q 5'!I1328))</f>
        <v>No</v>
      </c>
    </row>
    <row r="5234" spans="1:11" x14ac:dyDescent="0.3">
      <c r="A5234" t="s">
        <v>1902</v>
      </c>
      <c r="B5234" t="s">
        <v>1904</v>
      </c>
      <c r="C5234">
        <v>3</v>
      </c>
      <c r="D5234" t="s">
        <v>1447</v>
      </c>
      <c r="E5234" t="s">
        <v>1909</v>
      </c>
      <c r="F5234" t="s">
        <v>1759</v>
      </c>
      <c r="K5234" t="str">
        <f>IF(ISBLANK('Q 5'!I1329),"",IF('Q 5'!I1329="&lt;please select&gt;","",'Q 5'!I1329))</f>
        <v>No</v>
      </c>
    </row>
    <row r="5235" spans="1:11" x14ac:dyDescent="0.3">
      <c r="A5235" t="s">
        <v>1902</v>
      </c>
      <c r="B5235" t="s">
        <v>1904</v>
      </c>
      <c r="C5235">
        <v>4</v>
      </c>
      <c r="D5235" t="s">
        <v>1447</v>
      </c>
      <c r="E5235" t="s">
        <v>1909</v>
      </c>
      <c r="F5235" t="s">
        <v>1759</v>
      </c>
      <c r="K5235" t="str">
        <f>IF(ISBLANK('Q 5'!I1330),"",IF('Q 5'!I1330="&lt;please select&gt;","",'Q 5'!I1330))</f>
        <v>No</v>
      </c>
    </row>
    <row r="5236" spans="1:11" x14ac:dyDescent="0.3">
      <c r="A5236" t="s">
        <v>1902</v>
      </c>
      <c r="B5236" t="s">
        <v>1904</v>
      </c>
      <c r="C5236">
        <v>5</v>
      </c>
      <c r="D5236" t="s">
        <v>1447</v>
      </c>
      <c r="E5236" t="s">
        <v>1909</v>
      </c>
      <c r="F5236" t="s">
        <v>1759</v>
      </c>
      <c r="K5236" t="str">
        <f>IF(ISBLANK('Q 5'!I1331),"",IF('Q 5'!I1331="&lt;please select&gt;","",'Q 5'!I1331))</f>
        <v>No</v>
      </c>
    </row>
    <row r="5237" spans="1:11" x14ac:dyDescent="0.3">
      <c r="A5237" t="s">
        <v>1902</v>
      </c>
      <c r="B5237" t="s">
        <v>1904</v>
      </c>
      <c r="C5237">
        <v>6</v>
      </c>
      <c r="D5237" t="s">
        <v>1447</v>
      </c>
      <c r="E5237" t="s">
        <v>1909</v>
      </c>
      <c r="F5237" t="s">
        <v>1759</v>
      </c>
      <c r="K5237" t="str">
        <f>IF(ISBLANK('Q 5'!I1332),"",IF('Q 5'!I1332="&lt;please select&gt;","",'Q 5'!I1332))</f>
        <v>No</v>
      </c>
    </row>
    <row r="5238" spans="1:11" x14ac:dyDescent="0.3">
      <c r="A5238" t="s">
        <v>1902</v>
      </c>
      <c r="B5238" t="s">
        <v>1904</v>
      </c>
      <c r="C5238">
        <v>7</v>
      </c>
      <c r="D5238" t="s">
        <v>1447</v>
      </c>
      <c r="E5238" t="s">
        <v>1909</v>
      </c>
      <c r="F5238" t="s">
        <v>1759</v>
      </c>
      <c r="K5238" t="str">
        <f>IF(ISBLANK('Q 5'!I1333),"",IF('Q 5'!I1333="&lt;please select&gt;","",'Q 5'!I1333))</f>
        <v>No</v>
      </c>
    </row>
    <row r="5239" spans="1:11" x14ac:dyDescent="0.3">
      <c r="A5239" t="s">
        <v>1902</v>
      </c>
      <c r="B5239" t="s">
        <v>1904</v>
      </c>
      <c r="C5239">
        <v>8</v>
      </c>
      <c r="D5239" t="s">
        <v>1447</v>
      </c>
      <c r="E5239" t="s">
        <v>1909</v>
      </c>
      <c r="F5239" t="s">
        <v>1759</v>
      </c>
      <c r="K5239" t="str">
        <f>IF(ISBLANK('Q 5'!I1334),"",IF('Q 5'!I1334="&lt;please select&gt;","",'Q 5'!I1334))</f>
        <v>No</v>
      </c>
    </row>
    <row r="5240" spans="1:11" x14ac:dyDescent="0.3">
      <c r="A5240" t="s">
        <v>1902</v>
      </c>
      <c r="B5240" t="s">
        <v>1904</v>
      </c>
      <c r="C5240">
        <v>9</v>
      </c>
      <c r="D5240" t="s">
        <v>1447</v>
      </c>
      <c r="E5240" t="s">
        <v>1909</v>
      </c>
      <c r="F5240" t="s">
        <v>1759</v>
      </c>
      <c r="K5240" t="str">
        <f>IF(ISBLANK('Q 5'!I1335),"",IF('Q 5'!I1335="&lt;please select&gt;","",'Q 5'!I1335))</f>
        <v>No</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Zgodnie z art. 28c ustawy z dnia 25 sierpnia 2006 r. o biokomponentach i biopaliwach ciekłych (t.j. Dz. U. z 2022 poz. 403) dokumentami potwierdzającymi spełnianie przez biomasę lub biokomponent kryteriów zrównoważonego rozwoju mogą być: dokumenty wystawione przez producenta rolnego przewidziane przez uznany system certyfikacji, poświadczenia lub świadectwa, o których mowa w ustawie. Ponadto mogą to być również dokumenty wystawione w: innym niż Rzeczpospolita Polska państwie członkowskim Unii Europejskiej, w państwie członkowskim Europejskiego Porozumienia o Wolnym Handlu (EFTA) – stronie umowy o Europejskim Obszarze Gospodarczym lub w kraju trzecim, pod warunkiem, że zostały wystawione w ramach uznanego systemu certyfikacji; w kraju trzecim, pod warunkiem że Unia Europejska zawarła z tym krajem umowę, na mocy której uznaje się, że biomasa wytworzona w tym kraju spełnia kryteria zrównoważonego rozwoju.</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20 - Combustion of fuels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20 - Combustion of fuels as specified in Annex I of Directive 2003/87/EC</v>
      </c>
    </row>
    <row r="5286" spans="1:11" x14ac:dyDescent="0.3">
      <c r="A5286" t="s">
        <v>1910</v>
      </c>
      <c r="B5286" t="s">
        <v>1912</v>
      </c>
      <c r="C5286">
        <v>4</v>
      </c>
      <c r="D5286" t="s">
        <v>1447</v>
      </c>
      <c r="E5286" t="s">
        <v>1888</v>
      </c>
      <c r="F5286" t="s">
        <v>1737</v>
      </c>
      <c r="K5286" t="str">
        <f>IF(ISBLANK('Q 5'!C1392),"",IF('Q 5'!C1392="&lt;please select&gt;","",'Q 5'!C1392))</f>
        <v>28 - Production or processing of non-ferrous metals as specified in Annex I of Directive 2003/87/EC</v>
      </c>
    </row>
    <row r="5287" spans="1:11" x14ac:dyDescent="0.3">
      <c r="A5287" t="s">
        <v>1910</v>
      </c>
      <c r="B5287" t="s">
        <v>1912</v>
      </c>
      <c r="C5287">
        <v>5</v>
      </c>
      <c r="D5287" t="s">
        <v>1447</v>
      </c>
      <c r="E5287" t="s">
        <v>1888</v>
      </c>
      <c r="F5287" t="s">
        <v>1737</v>
      </c>
      <c r="K5287" t="str">
        <f>IF(ISBLANK('Q 5'!C1393),"",IF('Q 5'!C1393="&lt;please select&gt;","",'Q 5'!C1393))</f>
        <v>28 - Production or processing of non-ferrous metals as specified in Annex I of Directive 2003/87/EC</v>
      </c>
    </row>
    <row r="5288" spans="1:11" x14ac:dyDescent="0.3">
      <c r="A5288" t="s">
        <v>1910</v>
      </c>
      <c r="B5288" t="s">
        <v>1912</v>
      </c>
      <c r="C5288">
        <v>6</v>
      </c>
      <c r="D5288" t="s">
        <v>1447</v>
      </c>
      <c r="E5288" t="s">
        <v>1888</v>
      </c>
      <c r="F5288" t="s">
        <v>1737</v>
      </c>
      <c r="K5288" t="str">
        <f>IF(ISBLANK('Q 5'!C1394),"",IF('Q 5'!C1394="&lt;please select&gt;","",'Q 5'!C1394))</f>
        <v>32 - Manufacture of ceramic products as specified in Annex I of Directive 2003/87/EC</v>
      </c>
    </row>
    <row r="5289" spans="1:11" x14ac:dyDescent="0.3">
      <c r="A5289" t="s">
        <v>1910</v>
      </c>
      <c r="B5289" t="s">
        <v>1912</v>
      </c>
      <c r="C5289">
        <v>7</v>
      </c>
      <c r="D5289" t="s">
        <v>1447</v>
      </c>
      <c r="E5289" t="s">
        <v>1888</v>
      </c>
      <c r="F5289" t="s">
        <v>1737</v>
      </c>
      <c r="K5289" t="str">
        <f>IF(ISBLANK('Q 5'!C1395),"",IF('Q 5'!C1395="&lt;please select&gt;","",'Q 5'!C1395))</f>
        <v>29 - Production of cement clinker in rotary kilns as specified in Annex I of Directive 2003/87/ EC</v>
      </c>
    </row>
    <row r="5290" spans="1:11" x14ac:dyDescent="0.3">
      <c r="A5290" t="s">
        <v>1910</v>
      </c>
      <c r="B5290" t="s">
        <v>1912</v>
      </c>
      <c r="C5290">
        <v>8</v>
      </c>
      <c r="D5290" t="s">
        <v>1447</v>
      </c>
      <c r="E5290" t="s">
        <v>1888</v>
      </c>
      <c r="F5290" t="s">
        <v>1737</v>
      </c>
      <c r="K5290" t="str">
        <f>IF(ISBLANK('Q 5'!C1396),"",IF('Q 5'!C1396="&lt;please select&gt;","",'Q 5'!C1396))</f>
        <v>29 - Production of cement clinker in rotary kilns as specified in Annex I of Directive 2003/87/ EC</v>
      </c>
    </row>
    <row r="5291" spans="1:11" x14ac:dyDescent="0.3">
      <c r="A5291" t="s">
        <v>1910</v>
      </c>
      <c r="B5291" t="s">
        <v>1912</v>
      </c>
      <c r="C5291">
        <v>9</v>
      </c>
      <c r="D5291" t="s">
        <v>1447</v>
      </c>
      <c r="E5291" t="s">
        <v>1888</v>
      </c>
      <c r="F5291" t="s">
        <v>1737</v>
      </c>
      <c r="K5291" t="str">
        <f>IF(ISBLANK('Q 5'!C1397),"",IF('Q 5'!C1397="&lt;please select&gt;","",'Q 5'!C1397))</f>
        <v>33 - Manufacture of mineral wool insulation material using glass, rock or slag as specified in Annex I of Directive 2003/87/EC</v>
      </c>
    </row>
    <row r="5292" spans="1:11" x14ac:dyDescent="0.3">
      <c r="A5292" t="s">
        <v>1910</v>
      </c>
      <c r="B5292" t="s">
        <v>1912</v>
      </c>
      <c r="C5292">
        <v>10</v>
      </c>
      <c r="D5292" t="s">
        <v>1447</v>
      </c>
      <c r="E5292" t="s">
        <v>1888</v>
      </c>
      <c r="F5292" t="s">
        <v>1737</v>
      </c>
      <c r="K5292" t="str">
        <f>IF(ISBLANK('Q 5'!C1398),"",IF('Q 5'!C1398="&lt;please select&gt;","",'Q 5'!C1398))</f>
        <v xml:space="preserve">36 - Production of paper or cardboard as specified in Annex I of Directive 2003/87/EC </v>
      </c>
    </row>
    <row r="5293" spans="1:11" x14ac:dyDescent="0.3">
      <c r="A5293" t="s">
        <v>1910</v>
      </c>
      <c r="B5293" t="s">
        <v>1912</v>
      </c>
      <c r="C5293">
        <v>11</v>
      </c>
      <c r="D5293" t="s">
        <v>1447</v>
      </c>
      <c r="E5293" t="s">
        <v>1888</v>
      </c>
      <c r="F5293" t="s">
        <v>1737</v>
      </c>
      <c r="K5293" t="str">
        <f>IF(ISBLANK('Q 5'!C1399),"",IF('Q 5'!C1399="&lt;please select&gt;","",'Q 5'!C1399))</f>
        <v xml:space="preserve">36 - Production of paper or cardboard as specified in Annex I of Directive 2003/87/EC </v>
      </c>
    </row>
    <row r="5294" spans="1:11" x14ac:dyDescent="0.3">
      <c r="A5294" t="s">
        <v>1910</v>
      </c>
      <c r="B5294" t="s">
        <v>1912</v>
      </c>
      <c r="C5294">
        <v>12</v>
      </c>
      <c r="D5294" t="s">
        <v>1447</v>
      </c>
      <c r="E5294" t="s">
        <v>1888</v>
      </c>
      <c r="F5294" t="s">
        <v>1737</v>
      </c>
      <c r="K5294" t="str">
        <f>IF(ISBLANK('Q 5'!C1400),"",IF('Q 5'!C1400="&lt;please select&gt;","",'Q 5'!C1400))</f>
        <v xml:space="preserve">36 - Production of paper or cardboard as specified in Annex I of Directive 2003/87/EC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Category B</v>
      </c>
    </row>
    <row r="5337" spans="1:11" x14ac:dyDescent="0.3">
      <c r="A5337" t="s">
        <v>1910</v>
      </c>
      <c r="B5337" t="s">
        <v>1912</v>
      </c>
      <c r="C5337">
        <v>5</v>
      </c>
      <c r="D5337" t="s">
        <v>1447</v>
      </c>
      <c r="E5337" t="s">
        <v>1913</v>
      </c>
      <c r="F5337" t="s">
        <v>1737</v>
      </c>
      <c r="K5337" t="str">
        <f>IF(ISBLANK('Q 5'!D1393),"",IF('Q 5'!D1393="&lt;please select&gt;","",'Q 5'!D1393))</f>
        <v>Category C</v>
      </c>
    </row>
    <row r="5338" spans="1:11" x14ac:dyDescent="0.3">
      <c r="A5338" t="s">
        <v>1910</v>
      </c>
      <c r="B5338" t="s">
        <v>1912</v>
      </c>
      <c r="C5338">
        <v>6</v>
      </c>
      <c r="D5338" t="s">
        <v>1447</v>
      </c>
      <c r="E5338" t="s">
        <v>1913</v>
      </c>
      <c r="F5338" t="s">
        <v>1737</v>
      </c>
      <c r="K5338" t="str">
        <f>IF(ISBLANK('Q 5'!D1394),"",IF('Q 5'!D1394="&lt;please select&gt;","",'Q 5'!D1394))</f>
        <v>Category A</v>
      </c>
    </row>
    <row r="5339" spans="1:11" x14ac:dyDescent="0.3">
      <c r="A5339" t="s">
        <v>1910</v>
      </c>
      <c r="B5339" t="s">
        <v>1912</v>
      </c>
      <c r="C5339">
        <v>7</v>
      </c>
      <c r="D5339" t="s">
        <v>1447</v>
      </c>
      <c r="E5339" t="s">
        <v>1913</v>
      </c>
      <c r="F5339" t="s">
        <v>1737</v>
      </c>
      <c r="K5339" t="str">
        <f>IF(ISBLANK('Q 5'!D1395),"",IF('Q 5'!D1395="&lt;please select&gt;","",'Q 5'!D1395))</f>
        <v>Category B</v>
      </c>
    </row>
    <row r="5340" spans="1:11" x14ac:dyDescent="0.3">
      <c r="A5340" t="s">
        <v>1910</v>
      </c>
      <c r="B5340" t="s">
        <v>1912</v>
      </c>
      <c r="C5340">
        <v>8</v>
      </c>
      <c r="D5340" t="s">
        <v>1447</v>
      </c>
      <c r="E5340" t="s">
        <v>1913</v>
      </c>
      <c r="F5340" t="s">
        <v>1737</v>
      </c>
      <c r="K5340" t="str">
        <f>IF(ISBLANK('Q 5'!D1396),"",IF('Q 5'!D1396="&lt;please select&gt;","",'Q 5'!D1396))</f>
        <v>Category C</v>
      </c>
    </row>
    <row r="5341" spans="1:11" x14ac:dyDescent="0.3">
      <c r="A5341" t="s">
        <v>1910</v>
      </c>
      <c r="B5341" t="s">
        <v>1912</v>
      </c>
      <c r="C5341">
        <v>9</v>
      </c>
      <c r="D5341" t="s">
        <v>1447</v>
      </c>
      <c r="E5341" t="s">
        <v>1913</v>
      </c>
      <c r="F5341" t="s">
        <v>1737</v>
      </c>
      <c r="K5341" t="str">
        <f>IF(ISBLANK('Q 5'!D1397),"",IF('Q 5'!D1397="&lt;please select&gt;","",'Q 5'!D1397))</f>
        <v>Category A</v>
      </c>
    </row>
    <row r="5342" spans="1:11" x14ac:dyDescent="0.3">
      <c r="A5342" t="s">
        <v>1910</v>
      </c>
      <c r="B5342" t="s">
        <v>1912</v>
      </c>
      <c r="C5342">
        <v>10</v>
      </c>
      <c r="D5342" t="s">
        <v>1447</v>
      </c>
      <c r="E5342" t="s">
        <v>1913</v>
      </c>
      <c r="F5342" t="s">
        <v>1737</v>
      </c>
      <c r="K5342" t="str">
        <f>IF(ISBLANK('Q 5'!D1398),"",IF('Q 5'!D1398="&lt;please select&gt;","",'Q 5'!D1398))</f>
        <v>Category A</v>
      </c>
    </row>
    <row r="5343" spans="1:11" x14ac:dyDescent="0.3">
      <c r="A5343" t="s">
        <v>1910</v>
      </c>
      <c r="B5343" t="s">
        <v>1912</v>
      </c>
      <c r="C5343">
        <v>11</v>
      </c>
      <c r="D5343" t="s">
        <v>1447</v>
      </c>
      <c r="E5343" t="s">
        <v>1913</v>
      </c>
      <c r="F5343" t="s">
        <v>1737</v>
      </c>
      <c r="K5343" t="str">
        <f>IF(ISBLANK('Q 5'!D1399),"",IF('Q 5'!D1399="&lt;please select&gt;","",'Q 5'!D1399))</f>
        <v>Category B</v>
      </c>
    </row>
    <row r="5344" spans="1:11" x14ac:dyDescent="0.3">
      <c r="A5344" t="s">
        <v>1910</v>
      </c>
      <c r="B5344" t="s">
        <v>1912</v>
      </c>
      <c r="C5344">
        <v>12</v>
      </c>
      <c r="D5344" t="s">
        <v>1447</v>
      </c>
      <c r="E5344" t="s">
        <v>1913</v>
      </c>
      <c r="F5344" t="s">
        <v>1737</v>
      </c>
      <c r="K5344" t="str">
        <f>IF(ISBLANK('Q 5'!D1400),"",IF('Q 5'!D1400="&lt;please select&gt;","",'Q 5'!D1400))</f>
        <v>Category C</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42</v>
      </c>
    </row>
    <row r="5384" spans="1:11" x14ac:dyDescent="0.3">
      <c r="A5384" t="s">
        <v>1910</v>
      </c>
      <c r="B5384" t="s">
        <v>1912</v>
      </c>
      <c r="C5384">
        <v>2</v>
      </c>
      <c r="D5384" t="s">
        <v>1447</v>
      </c>
      <c r="E5384" t="s">
        <v>1914</v>
      </c>
      <c r="F5384" t="s">
        <v>1748</v>
      </c>
      <c r="H5384" t="str">
        <f>IF(ISBLANK('Q 5'!E1390),"",IF('Q 5'!E1390="&lt;please select&gt;","",'Q 5'!E1390))</f>
        <v>33</v>
      </c>
    </row>
    <row r="5385" spans="1:11" x14ac:dyDescent="0.3">
      <c r="A5385" t="s">
        <v>1910</v>
      </c>
      <c r="B5385" t="s">
        <v>1912</v>
      </c>
      <c r="C5385">
        <v>3</v>
      </c>
      <c r="D5385" t="s">
        <v>1447</v>
      </c>
      <c r="E5385" t="s">
        <v>1914</v>
      </c>
      <c r="F5385" t="s">
        <v>1748</v>
      </c>
      <c r="H5385" t="str">
        <f>IF(ISBLANK('Q 5'!E1391),"",IF('Q 5'!E1391="&lt;please select&gt;","",'Q 5'!E1391))</f>
        <v>9</v>
      </c>
    </row>
    <row r="5386" spans="1:11" x14ac:dyDescent="0.3">
      <c r="A5386" t="s">
        <v>1910</v>
      </c>
      <c r="B5386" t="s">
        <v>1912</v>
      </c>
      <c r="C5386">
        <v>4</v>
      </c>
      <c r="D5386" t="s">
        <v>1447</v>
      </c>
      <c r="E5386" t="s">
        <v>1914</v>
      </c>
      <c r="F5386" t="s">
        <v>1748</v>
      </c>
      <c r="H5386" t="str">
        <f>IF(ISBLANK('Q 5'!E1392),"",IF('Q 5'!E1392="&lt;please select&gt;","",'Q 5'!E1392))</f>
        <v>2</v>
      </c>
    </row>
    <row r="5387" spans="1:11" x14ac:dyDescent="0.3">
      <c r="A5387" t="s">
        <v>1910</v>
      </c>
      <c r="B5387" t="s">
        <v>1912</v>
      </c>
      <c r="C5387">
        <v>5</v>
      </c>
      <c r="D5387" t="s">
        <v>1447</v>
      </c>
      <c r="E5387" t="s">
        <v>1914</v>
      </c>
      <c r="F5387" t="s">
        <v>1748</v>
      </c>
      <c r="H5387" t="str">
        <f>IF(ISBLANK('Q 5'!E1393),"",IF('Q 5'!E1393="&lt;please select&gt;","",'Q 5'!E1393))</f>
        <v>1</v>
      </c>
    </row>
    <row r="5388" spans="1:11" x14ac:dyDescent="0.3">
      <c r="A5388" t="s">
        <v>1910</v>
      </c>
      <c r="B5388" t="s">
        <v>1912</v>
      </c>
      <c r="C5388">
        <v>6</v>
      </c>
      <c r="D5388" t="s">
        <v>1447</v>
      </c>
      <c r="E5388" t="s">
        <v>1914</v>
      </c>
      <c r="F5388" t="s">
        <v>1748</v>
      </c>
      <c r="H5388" t="str">
        <f>IF(ISBLANK('Q 5'!E1394),"",IF('Q 5'!E1394="&lt;please select&gt;","",'Q 5'!E1394))</f>
        <v>8</v>
      </c>
    </row>
    <row r="5389" spans="1:11" x14ac:dyDescent="0.3">
      <c r="A5389" t="s">
        <v>1910</v>
      </c>
      <c r="B5389" t="s">
        <v>1912</v>
      </c>
      <c r="C5389">
        <v>7</v>
      </c>
      <c r="D5389" t="s">
        <v>1447</v>
      </c>
      <c r="E5389" t="s">
        <v>1914</v>
      </c>
      <c r="F5389" t="s">
        <v>1748</v>
      </c>
      <c r="H5389" t="str">
        <f>IF(ISBLANK('Q 5'!E1395),"",IF('Q 5'!E1395="&lt;please select&gt;","",'Q 5'!E1395))</f>
        <v>2</v>
      </c>
    </row>
    <row r="5390" spans="1:11" x14ac:dyDescent="0.3">
      <c r="A5390" t="s">
        <v>1910</v>
      </c>
      <c r="B5390" t="s">
        <v>1912</v>
      </c>
      <c r="C5390">
        <v>8</v>
      </c>
      <c r="D5390" t="s">
        <v>1447</v>
      </c>
      <c r="E5390" t="s">
        <v>1914</v>
      </c>
      <c r="F5390" t="s">
        <v>1748</v>
      </c>
      <c r="H5390" t="str">
        <f>IF(ISBLANK('Q 5'!E1396),"",IF('Q 5'!E1396="&lt;please select&gt;","",'Q 5'!E1396))</f>
        <v>7</v>
      </c>
    </row>
    <row r="5391" spans="1:11" x14ac:dyDescent="0.3">
      <c r="A5391" t="s">
        <v>1910</v>
      </c>
      <c r="B5391" t="s">
        <v>1912</v>
      </c>
      <c r="C5391">
        <v>9</v>
      </c>
      <c r="D5391" t="s">
        <v>1447</v>
      </c>
      <c r="E5391" t="s">
        <v>1914</v>
      </c>
      <c r="F5391" t="s">
        <v>1748</v>
      </c>
      <c r="H5391" t="str">
        <f>IF(ISBLANK('Q 5'!E1397),"",IF('Q 5'!E1397="&lt;please select&gt;","",'Q 5'!E1397))</f>
        <v>1</v>
      </c>
    </row>
    <row r="5392" spans="1:11" x14ac:dyDescent="0.3">
      <c r="A5392" t="s">
        <v>1910</v>
      </c>
      <c r="B5392" t="s">
        <v>1912</v>
      </c>
      <c r="C5392">
        <v>10</v>
      </c>
      <c r="D5392" t="s">
        <v>1447</v>
      </c>
      <c r="E5392" t="s">
        <v>1914</v>
      </c>
      <c r="F5392" t="s">
        <v>1748</v>
      </c>
      <c r="H5392" t="str">
        <f>IF(ISBLANK('Q 5'!E1398),"",IF('Q 5'!E1398="&lt;please select&gt;","",'Q 5'!E1398))</f>
        <v>4</v>
      </c>
    </row>
    <row r="5393" spans="1:8" x14ac:dyDescent="0.3">
      <c r="A5393" t="s">
        <v>1910</v>
      </c>
      <c r="B5393" t="s">
        <v>1912</v>
      </c>
      <c r="C5393">
        <v>11</v>
      </c>
      <c r="D5393" t="s">
        <v>1447</v>
      </c>
      <c r="E5393" t="s">
        <v>1914</v>
      </c>
      <c r="F5393" t="s">
        <v>1748</v>
      </c>
      <c r="H5393" t="str">
        <f>IF(ISBLANK('Q 5'!E1399),"",IF('Q 5'!E1399="&lt;please select&gt;","",'Q 5'!E1399))</f>
        <v>2</v>
      </c>
    </row>
    <row r="5394" spans="1:8" x14ac:dyDescent="0.3">
      <c r="A5394" t="s">
        <v>1910</v>
      </c>
      <c r="B5394" t="s">
        <v>1912</v>
      </c>
      <c r="C5394">
        <v>12</v>
      </c>
      <c r="D5394" t="s">
        <v>1447</v>
      </c>
      <c r="E5394" t="s">
        <v>1914</v>
      </c>
      <c r="F5394" t="s">
        <v>1748</v>
      </c>
      <c r="H5394" t="str">
        <f>IF(ISBLANK('Q 5'!E1400),"",IF('Q 5'!E1400="&lt;please select&gt;","",'Q 5'!E1400))</f>
        <v>1</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2729626.11927087</v>
      </c>
    </row>
    <row r="5434" spans="1:9" x14ac:dyDescent="0.3">
      <c r="A5434" t="s">
        <v>1910</v>
      </c>
      <c r="B5434" t="s">
        <v>1912</v>
      </c>
      <c r="C5434">
        <v>2</v>
      </c>
      <c r="D5434" t="s">
        <v>1447</v>
      </c>
      <c r="E5434" t="s">
        <v>1915</v>
      </c>
      <c r="F5434" t="s">
        <v>1806</v>
      </c>
      <c r="I5434" t="str">
        <f>IF(ISBLANK('Q 5'!F1390),"",IF('Q 5'!F1390="&lt;please select&gt;","",'Q 5'!F1390))</f>
        <v>2513842.29731971</v>
      </c>
    </row>
    <row r="5435" spans="1:9" x14ac:dyDescent="0.3">
      <c r="A5435" t="s">
        <v>1910</v>
      </c>
      <c r="B5435" t="s">
        <v>1912</v>
      </c>
      <c r="C5435">
        <v>3</v>
      </c>
      <c r="D5435" t="s">
        <v>1447</v>
      </c>
      <c r="E5435" t="s">
        <v>1915</v>
      </c>
      <c r="F5435" t="s">
        <v>1806</v>
      </c>
      <c r="I5435" t="str">
        <f>IF(ISBLANK('Q 5'!F1391),"",IF('Q 5'!F1391="&lt;please select&gt;","",'Q 5'!F1391))</f>
        <v>4173636.357</v>
      </c>
    </row>
    <row r="5436" spans="1:9" x14ac:dyDescent="0.3">
      <c r="A5436" t="s">
        <v>1910</v>
      </c>
      <c r="B5436" t="s">
        <v>1912</v>
      </c>
      <c r="C5436">
        <v>4</v>
      </c>
      <c r="D5436" t="s">
        <v>1447</v>
      </c>
      <c r="E5436" t="s">
        <v>1915</v>
      </c>
      <c r="F5436" t="s">
        <v>1806</v>
      </c>
      <c r="I5436" t="str">
        <f>IF(ISBLANK('Q 5'!F1392),"",IF('Q 5'!F1392="&lt;please select&gt;","",'Q 5'!F1392))</f>
        <v>38368.4962380209</v>
      </c>
    </row>
    <row r="5437" spans="1:9" x14ac:dyDescent="0.3">
      <c r="A5437" t="s">
        <v>1910</v>
      </c>
      <c r="B5437" t="s">
        <v>1912</v>
      </c>
      <c r="C5437">
        <v>5</v>
      </c>
      <c r="D5437" t="s">
        <v>1447</v>
      </c>
      <c r="E5437" t="s">
        <v>1915</v>
      </c>
      <c r="F5437" t="s">
        <v>1806</v>
      </c>
      <c r="I5437" t="str">
        <f>IF(ISBLANK('Q 5'!F1393),"",IF('Q 5'!F1393="&lt;please select&gt;","",'Q 5'!F1393))</f>
        <v>2544</v>
      </c>
    </row>
    <row r="5438" spans="1:9" x14ac:dyDescent="0.3">
      <c r="A5438" t="s">
        <v>1910</v>
      </c>
      <c r="B5438" t="s">
        <v>1912</v>
      </c>
      <c r="C5438">
        <v>6</v>
      </c>
      <c r="D5438" t="s">
        <v>1447</v>
      </c>
      <c r="E5438" t="s">
        <v>1915</v>
      </c>
      <c r="F5438" t="s">
        <v>1806</v>
      </c>
      <c r="I5438" t="str">
        <f>IF(ISBLANK('Q 5'!F1394),"",IF('Q 5'!F1394="&lt;please select&gt;","",'Q 5'!F1394))</f>
        <v>62429.4751502451</v>
      </c>
    </row>
    <row r="5439" spans="1:9" x14ac:dyDescent="0.3">
      <c r="A5439" t="s">
        <v>1910</v>
      </c>
      <c r="B5439" t="s">
        <v>1912</v>
      </c>
      <c r="C5439">
        <v>7</v>
      </c>
      <c r="D5439" t="s">
        <v>1447</v>
      </c>
      <c r="E5439" t="s">
        <v>1915</v>
      </c>
      <c r="F5439" t="s">
        <v>1806</v>
      </c>
      <c r="I5439" t="str">
        <f>IF(ISBLANK('Q 5'!F1395),"",IF('Q 5'!F1395="&lt;please select&gt;","",'Q 5'!F1395))</f>
        <v>68065.7743678077</v>
      </c>
    </row>
    <row r="5440" spans="1:9" x14ac:dyDescent="0.3">
      <c r="A5440" t="s">
        <v>1910</v>
      </c>
      <c r="B5440" t="s">
        <v>1912</v>
      </c>
      <c r="C5440">
        <v>8</v>
      </c>
      <c r="D5440" t="s">
        <v>1447</v>
      </c>
      <c r="E5440" t="s">
        <v>1915</v>
      </c>
      <c r="F5440" t="s">
        <v>1806</v>
      </c>
      <c r="I5440" t="str">
        <f>IF(ISBLANK('Q 5'!F1396),"",IF('Q 5'!F1396="&lt;please select&gt;","",'Q 5'!F1396))</f>
        <v>1261823.69728835</v>
      </c>
    </row>
    <row r="5441" spans="1:9" x14ac:dyDescent="0.3">
      <c r="A5441" t="s">
        <v>1910</v>
      </c>
      <c r="B5441" t="s">
        <v>1912</v>
      </c>
      <c r="C5441">
        <v>9</v>
      </c>
      <c r="D5441" t="s">
        <v>1447</v>
      </c>
      <c r="E5441" t="s">
        <v>1915</v>
      </c>
      <c r="F5441" t="s">
        <v>1806</v>
      </c>
      <c r="I5441" t="str">
        <f>IF(ISBLANK('Q 5'!F1397),"",IF('Q 5'!F1397="&lt;please select&gt;","",'Q 5'!F1397))</f>
        <v>22.643712</v>
      </c>
    </row>
    <row r="5442" spans="1:9" x14ac:dyDescent="0.3">
      <c r="A5442" t="s">
        <v>1910</v>
      </c>
      <c r="B5442" t="s">
        <v>1912</v>
      </c>
      <c r="C5442">
        <v>10</v>
      </c>
      <c r="D5442" t="s">
        <v>1447</v>
      </c>
      <c r="E5442" t="s">
        <v>1915</v>
      </c>
      <c r="F5442" t="s">
        <v>1806</v>
      </c>
      <c r="I5442" t="str">
        <f>IF(ISBLANK('Q 5'!F1398),"",IF('Q 5'!F1398="&lt;please select&gt;","",'Q 5'!F1398))</f>
        <v>160546.11858624</v>
      </c>
    </row>
    <row r="5443" spans="1:9" x14ac:dyDescent="0.3">
      <c r="A5443" t="s">
        <v>1910</v>
      </c>
      <c r="B5443" t="s">
        <v>1912</v>
      </c>
      <c r="C5443">
        <v>11</v>
      </c>
      <c r="D5443" t="s">
        <v>1447</v>
      </c>
      <c r="E5443" t="s">
        <v>1915</v>
      </c>
      <c r="F5443" t="s">
        <v>1806</v>
      </c>
      <c r="I5443" t="str">
        <f>IF(ISBLANK('Q 5'!F1399),"",IF('Q 5'!F1399="&lt;please select&gt;","",'Q 5'!F1399))</f>
        <v>2199901.95428872</v>
      </c>
    </row>
    <row r="5444" spans="1:9" x14ac:dyDescent="0.3">
      <c r="A5444" t="s">
        <v>1910</v>
      </c>
      <c r="B5444" t="s">
        <v>1912</v>
      </c>
      <c r="C5444">
        <v>12</v>
      </c>
      <c r="D5444" t="s">
        <v>1447</v>
      </c>
      <c r="E5444" t="s">
        <v>1915</v>
      </c>
      <c r="F5444" t="s">
        <v>1806</v>
      </c>
      <c r="I5444" t="str">
        <f>IF(ISBLANK('Q 5'!F1400),"",IF('Q 5'!F1400="&lt;please select&gt;","",'Q 5'!F1400))</f>
        <v>886610.134701102</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0</v>
      </c>
    </row>
    <row r="5487" spans="1:9" x14ac:dyDescent="0.3">
      <c r="A5487" t="s">
        <v>1910</v>
      </c>
      <c r="B5487" t="s">
        <v>1912</v>
      </c>
      <c r="C5487">
        <v>5</v>
      </c>
      <c r="D5487" t="s">
        <v>1447</v>
      </c>
      <c r="E5487" t="s">
        <v>1916</v>
      </c>
      <c r="F5487" t="s">
        <v>1806</v>
      </c>
      <c r="I5487" t="str">
        <f>IF(ISBLANK('Q 5'!G1393),"",IF('Q 5'!G1393="&lt;please select&gt;","",'Q 5'!G1393))</f>
        <v>0</v>
      </c>
    </row>
    <row r="5488" spans="1:9" x14ac:dyDescent="0.3">
      <c r="A5488" t="s">
        <v>1910</v>
      </c>
      <c r="B5488" t="s">
        <v>1912</v>
      </c>
      <c r="C5488">
        <v>6</v>
      </c>
      <c r="D5488" t="s">
        <v>1447</v>
      </c>
      <c r="E5488" t="s">
        <v>1916</v>
      </c>
      <c r="F5488" t="s">
        <v>1806</v>
      </c>
      <c r="I5488" t="str">
        <f>IF(ISBLANK('Q 5'!G1394),"",IF('Q 5'!G1394="&lt;please select&gt;","",'Q 5'!G1394))</f>
        <v>0</v>
      </c>
    </row>
    <row r="5489" spans="1:9" x14ac:dyDescent="0.3">
      <c r="A5489" t="s">
        <v>1910</v>
      </c>
      <c r="B5489" t="s">
        <v>1912</v>
      </c>
      <c r="C5489">
        <v>7</v>
      </c>
      <c r="D5489" t="s">
        <v>1447</v>
      </c>
      <c r="E5489" t="s">
        <v>1916</v>
      </c>
      <c r="F5489" t="s">
        <v>1806</v>
      </c>
      <c r="I5489" t="str">
        <f>IF(ISBLANK('Q 5'!G1395),"",IF('Q 5'!G1395="&lt;please select&gt;","",'Q 5'!G1395))</f>
        <v>0</v>
      </c>
    </row>
    <row r="5490" spans="1:9" x14ac:dyDescent="0.3">
      <c r="A5490" t="s">
        <v>1910</v>
      </c>
      <c r="B5490" t="s">
        <v>1912</v>
      </c>
      <c r="C5490">
        <v>8</v>
      </c>
      <c r="D5490" t="s">
        <v>1447</v>
      </c>
      <c r="E5490" t="s">
        <v>1916</v>
      </c>
      <c r="F5490" t="s">
        <v>1806</v>
      </c>
      <c r="I5490" t="str">
        <f>IF(ISBLANK('Q 5'!G1396),"",IF('Q 5'!G1396="&lt;please select&gt;","",'Q 5'!G1396))</f>
        <v>0</v>
      </c>
    </row>
    <row r="5491" spans="1:9" x14ac:dyDescent="0.3">
      <c r="A5491" t="s">
        <v>1910</v>
      </c>
      <c r="B5491" t="s">
        <v>1912</v>
      </c>
      <c r="C5491">
        <v>9</v>
      </c>
      <c r="D5491" t="s">
        <v>1447</v>
      </c>
      <c r="E5491" t="s">
        <v>1916</v>
      </c>
      <c r="F5491" t="s">
        <v>1806</v>
      </c>
      <c r="I5491" t="str">
        <f>IF(ISBLANK('Q 5'!G1397),"",IF('Q 5'!G1397="&lt;please select&gt;","",'Q 5'!G1397))</f>
        <v>0</v>
      </c>
    </row>
    <row r="5492" spans="1:9" x14ac:dyDescent="0.3">
      <c r="A5492" t="s">
        <v>1910</v>
      </c>
      <c r="B5492" t="s">
        <v>1912</v>
      </c>
      <c r="C5492">
        <v>10</v>
      </c>
      <c r="D5492" t="s">
        <v>1447</v>
      </c>
      <c r="E5492" t="s">
        <v>1916</v>
      </c>
      <c r="F5492" t="s">
        <v>1806</v>
      </c>
      <c r="I5492" t="str">
        <f>IF(ISBLANK('Q 5'!G1398),"",IF('Q 5'!G1398="&lt;please select&gt;","",'Q 5'!G1398))</f>
        <v>0</v>
      </c>
    </row>
    <row r="5493" spans="1:9" x14ac:dyDescent="0.3">
      <c r="A5493" t="s">
        <v>1910</v>
      </c>
      <c r="B5493" t="s">
        <v>1912</v>
      </c>
      <c r="C5493">
        <v>11</v>
      </c>
      <c r="D5493" t="s">
        <v>1447</v>
      </c>
      <c r="E5493" t="s">
        <v>1916</v>
      </c>
      <c r="F5493" t="s">
        <v>1806</v>
      </c>
      <c r="I5493" t="str">
        <f>IF(ISBLANK('Q 5'!G1399),"",IF('Q 5'!G1399="&lt;please select&gt;","",'Q 5'!G1399))</f>
        <v>0</v>
      </c>
    </row>
    <row r="5494" spans="1:9" x14ac:dyDescent="0.3">
      <c r="A5494" t="s">
        <v>1910</v>
      </c>
      <c r="B5494" t="s">
        <v>1912</v>
      </c>
      <c r="C5494">
        <v>12</v>
      </c>
      <c r="D5494" t="s">
        <v>1447</v>
      </c>
      <c r="E5494" t="s">
        <v>1916</v>
      </c>
      <c r="F5494" t="s">
        <v>1806</v>
      </c>
      <c r="I5494" t="str">
        <f>IF(ISBLANK('Q 5'!G1400),"",IF('Q 5'!G1400="&lt;please select&gt;","",'Q 5'!G1400))</f>
        <v>0</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700796.266473838</v>
      </c>
    </row>
    <row r="5534" spans="1:9" x14ac:dyDescent="0.3">
      <c r="A5534" t="s">
        <v>1910</v>
      </c>
      <c r="B5534" t="s">
        <v>1912</v>
      </c>
      <c r="C5534">
        <v>2</v>
      </c>
      <c r="D5534" t="s">
        <v>1447</v>
      </c>
      <c r="E5534" t="s">
        <v>1917</v>
      </c>
      <c r="F5534" t="s">
        <v>1806</v>
      </c>
      <c r="I5534" t="str">
        <f>IF(ISBLANK('Q 5'!H1390),"",IF('Q 5'!H1390="&lt;please select&gt;","",'Q 5'!H1390))</f>
        <v>4982394.20424354</v>
      </c>
    </row>
    <row r="5535" spans="1:9" x14ac:dyDescent="0.3">
      <c r="A5535" t="s">
        <v>1910</v>
      </c>
      <c r="B5535" t="s">
        <v>1912</v>
      </c>
      <c r="C5535">
        <v>3</v>
      </c>
      <c r="D5535" t="s">
        <v>1447</v>
      </c>
      <c r="E5535" t="s">
        <v>1917</v>
      </c>
      <c r="F5535" t="s">
        <v>1806</v>
      </c>
      <c r="I5535" t="str">
        <f>IF(ISBLANK('Q 5'!H1391),"",IF('Q 5'!H1391="&lt;please select&gt;","",'Q 5'!H1391))</f>
        <v>15360253.889753</v>
      </c>
    </row>
    <row r="5536" spans="1:9" x14ac:dyDescent="0.3">
      <c r="A5536" t="s">
        <v>1910</v>
      </c>
      <c r="B5536" t="s">
        <v>1912</v>
      </c>
      <c r="C5536">
        <v>4</v>
      </c>
      <c r="D5536" t="s">
        <v>1447</v>
      </c>
      <c r="E5536" t="s">
        <v>1917</v>
      </c>
      <c r="F5536" t="s">
        <v>1806</v>
      </c>
      <c r="I5536" t="str">
        <f>IF(ISBLANK('Q 5'!H1392),"",IF('Q 5'!H1392="&lt;please select&gt;","",'Q 5'!H1392))</f>
        <v>286343.907530365</v>
      </c>
    </row>
    <row r="5537" spans="1:9" x14ac:dyDescent="0.3">
      <c r="A5537" t="s">
        <v>1910</v>
      </c>
      <c r="B5537" t="s">
        <v>1912</v>
      </c>
      <c r="C5537">
        <v>5</v>
      </c>
      <c r="D5537" t="s">
        <v>1447</v>
      </c>
      <c r="E5537" t="s">
        <v>1917</v>
      </c>
      <c r="F5537" t="s">
        <v>1806</v>
      </c>
      <c r="I5537" t="str">
        <f>IF(ISBLANK('Q 5'!H1393),"",IF('Q 5'!H1393="&lt;please select&gt;","",'Q 5'!H1393))</f>
        <v>1006823</v>
      </c>
    </row>
    <row r="5538" spans="1:9" x14ac:dyDescent="0.3">
      <c r="A5538" t="s">
        <v>1910</v>
      </c>
      <c r="B5538" t="s">
        <v>1912</v>
      </c>
      <c r="C5538">
        <v>6</v>
      </c>
      <c r="D5538" t="s">
        <v>1447</v>
      </c>
      <c r="E5538" t="s">
        <v>1917</v>
      </c>
      <c r="F5538" t="s">
        <v>1806</v>
      </c>
      <c r="I5538" t="str">
        <f>IF(ISBLANK('Q 5'!H1394),"",IF('Q 5'!H1394="&lt;please select&gt;","",'Q 5'!H1394))</f>
        <v>215044.304953479</v>
      </c>
    </row>
    <row r="5539" spans="1:9" x14ac:dyDescent="0.3">
      <c r="A5539" t="s">
        <v>1910</v>
      </c>
      <c r="B5539" t="s">
        <v>1912</v>
      </c>
      <c r="C5539">
        <v>7</v>
      </c>
      <c r="D5539" t="s">
        <v>1447</v>
      </c>
      <c r="E5539" t="s">
        <v>1917</v>
      </c>
      <c r="F5539" t="s">
        <v>1806</v>
      </c>
      <c r="I5539" t="str">
        <f>IF(ISBLANK('Q 5'!H1395),"",IF('Q 5'!H1395="&lt;please select&gt;","",'Q 5'!H1395))</f>
        <v>619855.779874005</v>
      </c>
    </row>
    <row r="5540" spans="1:9" x14ac:dyDescent="0.3">
      <c r="A5540" t="s">
        <v>1910</v>
      </c>
      <c r="B5540" t="s">
        <v>1912</v>
      </c>
      <c r="C5540">
        <v>8</v>
      </c>
      <c r="D5540" t="s">
        <v>1447</v>
      </c>
      <c r="E5540" t="s">
        <v>1917</v>
      </c>
      <c r="F5540" t="s">
        <v>1806</v>
      </c>
      <c r="I5540" t="str">
        <f>IF(ISBLANK('Q 5'!H1396),"",IF('Q 5'!H1396="&lt;please select&gt;","",'Q 5'!H1396))</f>
        <v>9978098.53015438</v>
      </c>
    </row>
    <row r="5541" spans="1:9" x14ac:dyDescent="0.3">
      <c r="A5541" t="s">
        <v>1910</v>
      </c>
      <c r="B5541" t="s">
        <v>1912</v>
      </c>
      <c r="C5541">
        <v>9</v>
      </c>
      <c r="D5541" t="s">
        <v>1447</v>
      </c>
      <c r="E5541" t="s">
        <v>1917</v>
      </c>
      <c r="F5541" t="s">
        <v>1806</v>
      </c>
      <c r="I5541" t="str">
        <f>IF(ISBLANK('Q 5'!H1397),"",IF('Q 5'!H1397="&lt;please select&gt;","",'Q 5'!H1397))</f>
        <v>35830.175499456</v>
      </c>
    </row>
    <row r="5542" spans="1:9" x14ac:dyDescent="0.3">
      <c r="A5542" t="s">
        <v>1910</v>
      </c>
      <c r="B5542" t="s">
        <v>1912</v>
      </c>
      <c r="C5542">
        <v>10</v>
      </c>
      <c r="D5542" t="s">
        <v>1447</v>
      </c>
      <c r="E5542" t="s">
        <v>1917</v>
      </c>
      <c r="F5542" t="s">
        <v>1806</v>
      </c>
      <c r="I5542" t="str">
        <f>IF(ISBLANK('Q 5'!H1398),"",IF('Q 5'!H1398="&lt;please select&gt;","",'Q 5'!H1398))</f>
        <v>74424.2047460033</v>
      </c>
    </row>
    <row r="5543" spans="1:9" x14ac:dyDescent="0.3">
      <c r="A5543" t="s">
        <v>1910</v>
      </c>
      <c r="B5543" t="s">
        <v>1912</v>
      </c>
      <c r="C5543">
        <v>11</v>
      </c>
      <c r="D5543" t="s">
        <v>1447</v>
      </c>
      <c r="E5543" t="s">
        <v>1917</v>
      </c>
      <c r="F5543" t="s">
        <v>1806</v>
      </c>
      <c r="I5543" t="str">
        <f>IF(ISBLANK('Q 5'!H1399),"",IF('Q 5'!H1399="&lt;please select&gt;","",'Q 5'!H1399))</f>
        <v>222796.567697768</v>
      </c>
    </row>
    <row r="5544" spans="1:9" x14ac:dyDescent="0.3">
      <c r="A5544" t="s">
        <v>1910</v>
      </c>
      <c r="B5544" t="s">
        <v>1912</v>
      </c>
      <c r="C5544">
        <v>12</v>
      </c>
      <c r="D5544" t="s">
        <v>1447</v>
      </c>
      <c r="E5544" t="s">
        <v>1917</v>
      </c>
      <c r="F5544" t="s">
        <v>1806</v>
      </c>
      <c r="I5544" t="str">
        <f>IF(ISBLANK('Q 5'!H1400),"",IF('Q 5'!H1400="&lt;please select&gt;","",'Q 5'!H1400))</f>
        <v>609312.64632783</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24500.373437022</v>
      </c>
    </row>
    <row r="5584" spans="1:9" x14ac:dyDescent="0.3">
      <c r="A5584" t="s">
        <v>1910</v>
      </c>
      <c r="B5584" t="s">
        <v>1912</v>
      </c>
      <c r="C5584">
        <v>2</v>
      </c>
      <c r="D5584" t="s">
        <v>1447</v>
      </c>
      <c r="E5584" t="s">
        <v>1918</v>
      </c>
      <c r="F5584" t="s">
        <v>1806</v>
      </c>
      <c r="I5584" t="str">
        <f>IF(ISBLANK('Q 5'!I1390),"",IF('Q 5'!I1390="&lt;please select&gt;","",'Q 5'!I1390))</f>
        <v>23355.3699871538</v>
      </c>
    </row>
    <row r="5585" spans="1:9" x14ac:dyDescent="0.3">
      <c r="A5585" t="s">
        <v>1910</v>
      </c>
      <c r="B5585" t="s">
        <v>1912</v>
      </c>
      <c r="C5585">
        <v>3</v>
      </c>
      <c r="D5585" t="s">
        <v>1447</v>
      </c>
      <c r="E5585" t="s">
        <v>1918</v>
      </c>
      <c r="F5585" t="s">
        <v>1806</v>
      </c>
      <c r="I5585" t="str">
        <f>IF(ISBLANK('Q 5'!I1391),"",IF('Q 5'!I1391="&lt;please select&gt;","",'Q 5'!I1391))</f>
        <v>38008.92304</v>
      </c>
    </row>
    <row r="5586" spans="1:9" x14ac:dyDescent="0.3">
      <c r="A5586" t="s">
        <v>1910</v>
      </c>
      <c r="B5586" t="s">
        <v>1912</v>
      </c>
      <c r="C5586">
        <v>4</v>
      </c>
      <c r="D5586" t="s">
        <v>1447</v>
      </c>
      <c r="E5586" t="s">
        <v>1918</v>
      </c>
      <c r="F5586" t="s">
        <v>1806</v>
      </c>
      <c r="I5586" t="str">
        <f>IF(ISBLANK('Q 5'!I1392),"",IF('Q 5'!I1392="&lt;please select&gt;","",'Q 5'!I1392))</f>
        <v>510.970145</v>
      </c>
    </row>
    <row r="5587" spans="1:9" x14ac:dyDescent="0.3">
      <c r="A5587" t="s">
        <v>1910</v>
      </c>
      <c r="B5587" t="s">
        <v>1912</v>
      </c>
      <c r="C5587">
        <v>5</v>
      </c>
      <c r="D5587" t="s">
        <v>1447</v>
      </c>
      <c r="E5587" t="s">
        <v>1918</v>
      </c>
      <c r="F5587" t="s">
        <v>1806</v>
      </c>
      <c r="I5587" t="str">
        <f>IF(ISBLANK('Q 5'!I1393),"",IF('Q 5'!I1393="&lt;please select&gt;","",'Q 5'!I1393))</f>
        <v>9.282546064</v>
      </c>
    </row>
    <row r="5588" spans="1:9" x14ac:dyDescent="0.3">
      <c r="A5588" t="s">
        <v>1910</v>
      </c>
      <c r="B5588" t="s">
        <v>1912</v>
      </c>
      <c r="C5588">
        <v>6</v>
      </c>
      <c r="D5588" t="s">
        <v>1447</v>
      </c>
      <c r="E5588" t="s">
        <v>1918</v>
      </c>
      <c r="F5588" t="s">
        <v>1806</v>
      </c>
      <c r="I5588" t="str">
        <f>IF(ISBLANK('Q 5'!I1394),"",IF('Q 5'!I1394="&lt;please select&gt;","",'Q 5'!I1394))</f>
        <v>466.548331052411</v>
      </c>
    </row>
    <row r="5589" spans="1:9" x14ac:dyDescent="0.3">
      <c r="A5589" t="s">
        <v>1910</v>
      </c>
      <c r="B5589" t="s">
        <v>1912</v>
      </c>
      <c r="C5589">
        <v>7</v>
      </c>
      <c r="D5589" t="s">
        <v>1447</v>
      </c>
      <c r="E5589" t="s">
        <v>1918</v>
      </c>
      <c r="F5589" t="s">
        <v>1806</v>
      </c>
      <c r="I5589" t="str">
        <f>IF(ISBLANK('Q 5'!I1395),"",IF('Q 5'!I1395="&lt;please select&gt;","",'Q 5'!I1395))</f>
        <v>827.706444534823</v>
      </c>
    </row>
    <row r="5590" spans="1:9" x14ac:dyDescent="0.3">
      <c r="A5590" t="s">
        <v>1910</v>
      </c>
      <c r="B5590" t="s">
        <v>1912</v>
      </c>
      <c r="C5590">
        <v>8</v>
      </c>
      <c r="D5590" t="s">
        <v>1447</v>
      </c>
      <c r="E5590" t="s">
        <v>1918</v>
      </c>
      <c r="F5590" t="s">
        <v>1806</v>
      </c>
      <c r="I5590" t="str">
        <f>IF(ISBLANK('Q 5'!I1396),"",IF('Q 5'!I1396="&lt;please select&gt;","",'Q 5'!I1396))</f>
        <v>14469.8992331054</v>
      </c>
    </row>
    <row r="5591" spans="1:9" x14ac:dyDescent="0.3">
      <c r="A5591" t="s">
        <v>1910</v>
      </c>
      <c r="B5591" t="s">
        <v>1912</v>
      </c>
      <c r="C5591">
        <v>9</v>
      </c>
      <c r="D5591" t="s">
        <v>1447</v>
      </c>
      <c r="E5591" t="s">
        <v>1918</v>
      </c>
      <c r="F5591" t="s">
        <v>1806</v>
      </c>
      <c r="I5591" t="str">
        <f>IF(ISBLANK('Q 5'!I1397),"",IF('Q 5'!I1397="&lt;please select&gt;","",'Q 5'!I1397))</f>
        <v>0.2</v>
      </c>
    </row>
    <row r="5592" spans="1:9" x14ac:dyDescent="0.3">
      <c r="A5592" t="s">
        <v>1910</v>
      </c>
      <c r="B5592" t="s">
        <v>1912</v>
      </c>
      <c r="C5592">
        <v>10</v>
      </c>
      <c r="D5592" t="s">
        <v>1447</v>
      </c>
      <c r="E5592" t="s">
        <v>1918</v>
      </c>
      <c r="F5592" t="s">
        <v>1806</v>
      </c>
      <c r="I5592" t="str">
        <f>IF(ISBLANK('Q 5'!I1398),"",IF('Q 5'!I1398="&lt;please select&gt;","",'Q 5'!I1398))</f>
        <v>2612.81918034</v>
      </c>
    </row>
    <row r="5593" spans="1:9" x14ac:dyDescent="0.3">
      <c r="A5593" t="s">
        <v>1910</v>
      </c>
      <c r="B5593" t="s">
        <v>1912</v>
      </c>
      <c r="C5593">
        <v>11</v>
      </c>
      <c r="D5593" t="s">
        <v>1447</v>
      </c>
      <c r="E5593" t="s">
        <v>1918</v>
      </c>
      <c r="F5593" t="s">
        <v>1806</v>
      </c>
      <c r="I5593" t="str">
        <f>IF(ISBLANK('Q 5'!I1399),"",IF('Q 5'!I1399="&lt;please select&gt;","",'Q 5'!I1399))</f>
        <v>20953.8160352854</v>
      </c>
    </row>
    <row r="5594" spans="1:9" x14ac:dyDescent="0.3">
      <c r="A5594" t="s">
        <v>1910</v>
      </c>
      <c r="B5594" t="s">
        <v>1912</v>
      </c>
      <c r="C5594">
        <v>12</v>
      </c>
      <c r="D5594" t="s">
        <v>1447</v>
      </c>
      <c r="E5594" t="s">
        <v>1918</v>
      </c>
      <c r="F5594" t="s">
        <v>1806</v>
      </c>
      <c r="I5594" t="str">
        <f>IF(ISBLANK('Q 5'!I1400),"",IF('Q 5'!I1400="&lt;please select&gt;","",'Q 5'!I1400))</f>
        <v>11720.03159</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0</v>
      </c>
    </row>
    <row r="5634" spans="1:9" x14ac:dyDescent="0.3">
      <c r="A5634" t="s">
        <v>1910</v>
      </c>
      <c r="B5634" t="s">
        <v>1912</v>
      </c>
      <c r="C5634">
        <v>2</v>
      </c>
      <c r="D5634" t="s">
        <v>1447</v>
      </c>
      <c r="E5634" t="s">
        <v>1919</v>
      </c>
      <c r="F5634" t="s">
        <v>1806</v>
      </c>
      <c r="I5634" t="str">
        <f>IF(ISBLANK('Q 5'!J1390),"",IF('Q 5'!J1390="&lt;please select&gt;","",'Q 5'!J1390))</f>
        <v>0</v>
      </c>
    </row>
    <row r="5635" spans="1:9" x14ac:dyDescent="0.3">
      <c r="A5635" t="s">
        <v>1910</v>
      </c>
      <c r="B5635" t="s">
        <v>1912</v>
      </c>
      <c r="C5635">
        <v>3</v>
      </c>
      <c r="D5635" t="s">
        <v>1447</v>
      </c>
      <c r="E5635" t="s">
        <v>1919</v>
      </c>
      <c r="F5635" t="s">
        <v>1806</v>
      </c>
      <c r="I5635" t="str">
        <f>IF(ISBLANK('Q 5'!J1391),"",IF('Q 5'!J1391="&lt;please select&gt;","",'Q 5'!J1391))</f>
        <v>0</v>
      </c>
    </row>
    <row r="5636" spans="1:9" x14ac:dyDescent="0.3">
      <c r="A5636" t="s">
        <v>1910</v>
      </c>
      <c r="B5636" t="s">
        <v>1912</v>
      </c>
      <c r="C5636">
        <v>4</v>
      </c>
      <c r="D5636" t="s">
        <v>1447</v>
      </c>
      <c r="E5636" t="s">
        <v>1919</v>
      </c>
      <c r="F5636" t="s">
        <v>1806</v>
      </c>
      <c r="I5636" t="str">
        <f>IF(ISBLANK('Q 5'!J1392),"",IF('Q 5'!J1392="&lt;please select&gt;","",'Q 5'!J1392))</f>
        <v>0</v>
      </c>
    </row>
    <row r="5637" spans="1:9" x14ac:dyDescent="0.3">
      <c r="A5637" t="s">
        <v>1910</v>
      </c>
      <c r="B5637" t="s">
        <v>1912</v>
      </c>
      <c r="C5637">
        <v>5</v>
      </c>
      <c r="D5637" t="s">
        <v>1447</v>
      </c>
      <c r="E5637" t="s">
        <v>1919</v>
      </c>
      <c r="F5637" t="s">
        <v>1806</v>
      </c>
      <c r="I5637" t="str">
        <f>IF(ISBLANK('Q 5'!J1393),"",IF('Q 5'!J1393="&lt;please select&gt;","",'Q 5'!J1393))</f>
        <v>0</v>
      </c>
    </row>
    <row r="5638" spans="1:9" x14ac:dyDescent="0.3">
      <c r="A5638" t="s">
        <v>1910</v>
      </c>
      <c r="B5638" t="s">
        <v>1912</v>
      </c>
      <c r="C5638">
        <v>6</v>
      </c>
      <c r="D5638" t="s">
        <v>1447</v>
      </c>
      <c r="E5638" t="s">
        <v>1919</v>
      </c>
      <c r="F5638" t="s">
        <v>1806</v>
      </c>
      <c r="I5638" t="str">
        <f>IF(ISBLANK('Q 5'!J1394),"",IF('Q 5'!J1394="&lt;please select&gt;","",'Q 5'!J1394))</f>
        <v>0</v>
      </c>
    </row>
    <row r="5639" spans="1:9" x14ac:dyDescent="0.3">
      <c r="A5639" t="s">
        <v>1910</v>
      </c>
      <c r="B5639" t="s">
        <v>1912</v>
      </c>
      <c r="C5639">
        <v>7</v>
      </c>
      <c r="D5639" t="s">
        <v>1447</v>
      </c>
      <c r="E5639" t="s">
        <v>1919</v>
      </c>
      <c r="F5639" t="s">
        <v>1806</v>
      </c>
      <c r="I5639" t="str">
        <f>IF(ISBLANK('Q 5'!J1395),"",IF('Q 5'!J1395="&lt;please select&gt;","",'Q 5'!J1395))</f>
        <v>0</v>
      </c>
    </row>
    <row r="5640" spans="1:9" x14ac:dyDescent="0.3">
      <c r="A5640" t="s">
        <v>1910</v>
      </c>
      <c r="B5640" t="s">
        <v>1912</v>
      </c>
      <c r="C5640">
        <v>8</v>
      </c>
      <c r="D5640" t="s">
        <v>1447</v>
      </c>
      <c r="E5640" t="s">
        <v>1919</v>
      </c>
      <c r="F5640" t="s">
        <v>1806</v>
      </c>
      <c r="I5640" t="str">
        <f>IF(ISBLANK('Q 5'!J1396),"",IF('Q 5'!J1396="&lt;please select&gt;","",'Q 5'!J1396))</f>
        <v>0</v>
      </c>
    </row>
    <row r="5641" spans="1:9" x14ac:dyDescent="0.3">
      <c r="A5641" t="s">
        <v>1910</v>
      </c>
      <c r="B5641" t="s">
        <v>1912</v>
      </c>
      <c r="C5641">
        <v>9</v>
      </c>
      <c r="D5641" t="s">
        <v>1447</v>
      </c>
      <c r="E5641" t="s">
        <v>1919</v>
      </c>
      <c r="F5641" t="s">
        <v>1806</v>
      </c>
      <c r="I5641" t="str">
        <f>IF(ISBLANK('Q 5'!J1397),"",IF('Q 5'!J1397="&lt;please select&gt;","",'Q 5'!J1397))</f>
        <v>0</v>
      </c>
    </row>
    <row r="5642" spans="1:9" x14ac:dyDescent="0.3">
      <c r="A5642" t="s">
        <v>1910</v>
      </c>
      <c r="B5642" t="s">
        <v>1912</v>
      </c>
      <c r="C5642">
        <v>10</v>
      </c>
      <c r="D5642" t="s">
        <v>1447</v>
      </c>
      <c r="E5642" t="s">
        <v>1919</v>
      </c>
      <c r="F5642" t="s">
        <v>1806</v>
      </c>
      <c r="I5642" t="str">
        <f>IF(ISBLANK('Q 5'!J1398),"",IF('Q 5'!J1398="&lt;please select&gt;","",'Q 5'!J1398))</f>
        <v>0</v>
      </c>
    </row>
    <row r="5643" spans="1:9" x14ac:dyDescent="0.3">
      <c r="A5643" t="s">
        <v>1910</v>
      </c>
      <c r="B5643" t="s">
        <v>1912</v>
      </c>
      <c r="C5643">
        <v>11</v>
      </c>
      <c r="D5643" t="s">
        <v>1447</v>
      </c>
      <c r="E5643" t="s">
        <v>1919</v>
      </c>
      <c r="F5643" t="s">
        <v>1806</v>
      </c>
      <c r="I5643" t="str">
        <f>IF(ISBLANK('Q 5'!J1399),"",IF('Q 5'!J1399="&lt;please select&gt;","",'Q 5'!J1399))</f>
        <v>0</v>
      </c>
    </row>
    <row r="5644" spans="1:9" x14ac:dyDescent="0.3">
      <c r="A5644" t="s">
        <v>1910</v>
      </c>
      <c r="B5644" t="s">
        <v>1912</v>
      </c>
      <c r="C5644">
        <v>12</v>
      </c>
      <c r="D5644" t="s">
        <v>1447</v>
      </c>
      <c r="E5644" t="s">
        <v>1919</v>
      </c>
      <c r="F5644" t="s">
        <v>1806</v>
      </c>
      <c r="I5644" t="str">
        <f>IF(ISBLANK('Q 5'!J1400),"",IF('Q 5'!J1400="&lt;please select&gt;","",'Q 5'!J1400))</f>
        <v>0</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9250.30257205131</v>
      </c>
    </row>
    <row r="5684" spans="1:9" x14ac:dyDescent="0.3">
      <c r="A5684" t="s">
        <v>1910</v>
      </c>
      <c r="B5684" t="s">
        <v>1912</v>
      </c>
      <c r="C5684">
        <v>2</v>
      </c>
      <c r="D5684" t="s">
        <v>1447</v>
      </c>
      <c r="E5684" t="s">
        <v>1920</v>
      </c>
      <c r="F5684" t="s">
        <v>1806</v>
      </c>
      <c r="I5684" t="str">
        <f>IF(ISBLANK('Q 5'!K1390),"",IF('Q 5'!K1390="&lt;please select&gt;","",'Q 5'!K1390))</f>
        <v>53853.6582777175</v>
      </c>
    </row>
    <row r="5685" spans="1:9" x14ac:dyDescent="0.3">
      <c r="A5685" t="s">
        <v>1910</v>
      </c>
      <c r="B5685" t="s">
        <v>1912</v>
      </c>
      <c r="C5685">
        <v>3</v>
      </c>
      <c r="D5685" t="s">
        <v>1447</v>
      </c>
      <c r="E5685" t="s">
        <v>1920</v>
      </c>
      <c r="F5685" t="s">
        <v>1806</v>
      </c>
      <c r="I5685" t="str">
        <f>IF(ISBLANK('Q 5'!K1391),"",IF('Q 5'!K1391="&lt;please select&gt;","",'Q 5'!K1391))</f>
        <v>163980.488928402</v>
      </c>
    </row>
    <row r="5686" spans="1:9" x14ac:dyDescent="0.3">
      <c r="A5686" t="s">
        <v>1910</v>
      </c>
      <c r="B5686" t="s">
        <v>1912</v>
      </c>
      <c r="C5686">
        <v>4</v>
      </c>
      <c r="D5686" t="s">
        <v>1447</v>
      </c>
      <c r="E5686" t="s">
        <v>1920</v>
      </c>
      <c r="F5686" t="s">
        <v>1806</v>
      </c>
      <c r="I5686" t="str">
        <f>IF(ISBLANK('Q 5'!K1392),"",IF('Q 5'!K1392="&lt;please select&gt;","",'Q 5'!K1392))</f>
        <v>3600.98530449368</v>
      </c>
    </row>
    <row r="5687" spans="1:9" x14ac:dyDescent="0.3">
      <c r="A5687" t="s">
        <v>1910</v>
      </c>
      <c r="B5687" t="s">
        <v>1912</v>
      </c>
      <c r="C5687">
        <v>5</v>
      </c>
      <c r="D5687" t="s">
        <v>1447</v>
      </c>
      <c r="E5687" t="s">
        <v>1920</v>
      </c>
      <c r="F5687" t="s">
        <v>1806</v>
      </c>
      <c r="I5687" t="str">
        <f>IF(ISBLANK('Q 5'!K1393),"",IF('Q 5'!K1393="&lt;please select&gt;","",'Q 5'!K1393))</f>
        <v>3522.85</v>
      </c>
    </row>
    <row r="5688" spans="1:9" x14ac:dyDescent="0.3">
      <c r="A5688" t="s">
        <v>1910</v>
      </c>
      <c r="B5688" t="s">
        <v>1912</v>
      </c>
      <c r="C5688">
        <v>6</v>
      </c>
      <c r="D5688" t="s">
        <v>1447</v>
      </c>
      <c r="E5688" t="s">
        <v>1920</v>
      </c>
      <c r="F5688" t="s">
        <v>1806</v>
      </c>
      <c r="I5688" t="str">
        <f>IF(ISBLANK('Q 5'!K1394),"",IF('Q 5'!K1394="&lt;please select&gt;","",'Q 5'!K1394))</f>
        <v>2015.98127651804</v>
      </c>
    </row>
    <row r="5689" spans="1:9" x14ac:dyDescent="0.3">
      <c r="A5689" t="s">
        <v>1910</v>
      </c>
      <c r="B5689" t="s">
        <v>1912</v>
      </c>
      <c r="C5689">
        <v>7</v>
      </c>
      <c r="D5689" t="s">
        <v>1447</v>
      </c>
      <c r="E5689" t="s">
        <v>1920</v>
      </c>
      <c r="F5689" t="s">
        <v>1806</v>
      </c>
      <c r="I5689" t="str">
        <f>IF(ISBLANK('Q 5'!K1395),"",IF('Q 5'!K1395="&lt;please select&gt;","",'Q 5'!K1395))</f>
        <v>2271.61609033219</v>
      </c>
    </row>
    <row r="5690" spans="1:9" x14ac:dyDescent="0.3">
      <c r="A5690" t="s">
        <v>1910</v>
      </c>
      <c r="B5690" t="s">
        <v>1912</v>
      </c>
      <c r="C5690">
        <v>8</v>
      </c>
      <c r="D5690" t="s">
        <v>1447</v>
      </c>
      <c r="E5690" t="s">
        <v>1920</v>
      </c>
      <c r="F5690" t="s">
        <v>1806</v>
      </c>
      <c r="I5690" t="str">
        <f>IF(ISBLANK('Q 5'!K1396),"",IF('Q 5'!K1396="&lt;please select&gt;","",'Q 5'!K1396))</f>
        <v>33650.2282483675</v>
      </c>
    </row>
    <row r="5691" spans="1:9" x14ac:dyDescent="0.3">
      <c r="A5691" t="s">
        <v>1910</v>
      </c>
      <c r="B5691" t="s">
        <v>1912</v>
      </c>
      <c r="C5691">
        <v>9</v>
      </c>
      <c r="D5691" t="s">
        <v>1447</v>
      </c>
      <c r="E5691" t="s">
        <v>1920</v>
      </c>
      <c r="F5691" t="s">
        <v>1806</v>
      </c>
      <c r="I5691" t="str">
        <f>IF(ISBLANK('Q 5'!K1397),"",IF('Q 5'!K1397="&lt;please select&gt;","",'Q 5'!K1397))</f>
        <v>373.07048114</v>
      </c>
    </row>
    <row r="5692" spans="1:9" x14ac:dyDescent="0.3">
      <c r="A5692" t="s">
        <v>1910</v>
      </c>
      <c r="B5692" t="s">
        <v>1912</v>
      </c>
      <c r="C5692">
        <v>10</v>
      </c>
      <c r="D5692" t="s">
        <v>1447</v>
      </c>
      <c r="E5692" t="s">
        <v>1920</v>
      </c>
      <c r="F5692" t="s">
        <v>1806</v>
      </c>
      <c r="I5692" t="str">
        <f>IF(ISBLANK('Q 5'!K1398),"",IF('Q 5'!K1398="&lt;please select&gt;","",'Q 5'!K1398))</f>
        <v>924.68072182</v>
      </c>
    </row>
    <row r="5693" spans="1:9" x14ac:dyDescent="0.3">
      <c r="A5693" t="s">
        <v>1910</v>
      </c>
      <c r="B5693" t="s">
        <v>1912</v>
      </c>
      <c r="C5693">
        <v>11</v>
      </c>
      <c r="D5693" t="s">
        <v>1447</v>
      </c>
      <c r="E5693" t="s">
        <v>1920</v>
      </c>
      <c r="F5693" t="s">
        <v>1806</v>
      </c>
      <c r="I5693" t="str">
        <f>IF(ISBLANK('Q 5'!K1399),"",IF('Q 5'!K1399="&lt;please select&gt;","",'Q 5'!K1399))</f>
        <v>2714.24036079628</v>
      </c>
    </row>
    <row r="5694" spans="1:9" x14ac:dyDescent="0.3">
      <c r="A5694" t="s">
        <v>1910</v>
      </c>
      <c r="B5694" t="s">
        <v>1912</v>
      </c>
      <c r="C5694">
        <v>12</v>
      </c>
      <c r="D5694" t="s">
        <v>1447</v>
      </c>
      <c r="E5694" t="s">
        <v>1920</v>
      </c>
      <c r="F5694" t="s">
        <v>1806</v>
      </c>
      <c r="I5694" t="str">
        <f>IF(ISBLANK('Q 5'!K1400),"",IF('Q 5'!K1400="&lt;please select&gt;","",'Q 5'!K1400))</f>
        <v>6845.637670942</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2738208.4091</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4</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487570</v>
      </c>
    </row>
    <row r="5752" spans="1:9" x14ac:dyDescent="0.3">
      <c r="A5752" t="s">
        <v>1932</v>
      </c>
      <c r="B5752" t="s">
        <v>1933</v>
      </c>
      <c r="C5752">
        <v>2</v>
      </c>
      <c r="D5752" t="s">
        <v>1447</v>
      </c>
      <c r="E5752" t="s">
        <v>1934</v>
      </c>
      <c r="F5752" t="s">
        <v>1806</v>
      </c>
      <c r="I5752" t="str">
        <f>IF(ISBLANK('Q 5'!G1473),"",IF('Q 5'!G1473="&lt;please select&gt;","",'Q 5'!G1473))</f>
        <v>47745</v>
      </c>
    </row>
    <row r="5753" spans="1:9" x14ac:dyDescent="0.3">
      <c r="A5753" t="s">
        <v>1932</v>
      </c>
      <c r="B5753" t="s">
        <v>1933</v>
      </c>
      <c r="C5753">
        <v>3</v>
      </c>
      <c r="D5753" t="s">
        <v>1447</v>
      </c>
      <c r="E5753" t="s">
        <v>1934</v>
      </c>
      <c r="F5753" t="s">
        <v>1806</v>
      </c>
      <c r="I5753" t="str">
        <f>IF(ISBLANK('Q 5'!G1474),"",IF('Q 5'!G1474="&lt;please select&gt;","",'Q 5'!G1474))</f>
        <v>1560544.291</v>
      </c>
    </row>
    <row r="5754" spans="1:9" x14ac:dyDescent="0.3">
      <c r="A5754" t="s">
        <v>1932</v>
      </c>
      <c r="B5754" t="s">
        <v>1933</v>
      </c>
      <c r="C5754">
        <v>4</v>
      </c>
      <c r="D5754" t="s">
        <v>1447</v>
      </c>
      <c r="E5754" t="s">
        <v>1934</v>
      </c>
      <c r="F5754" t="s">
        <v>1806</v>
      </c>
      <c r="I5754" t="str">
        <f>IF(ISBLANK('Q 5'!G1475),"",IF('Q 5'!G1475="&lt;please select&gt;","",'Q 5'!G1475))</f>
        <v>1294002.487</v>
      </c>
    </row>
    <row r="5755" spans="1:9" x14ac:dyDescent="0.3">
      <c r="A5755" t="s">
        <v>1932</v>
      </c>
      <c r="B5755" t="s">
        <v>1933</v>
      </c>
      <c r="C5755">
        <v>5</v>
      </c>
      <c r="D5755" t="s">
        <v>1447</v>
      </c>
      <c r="E5755" t="s">
        <v>1934</v>
      </c>
      <c r="F5755" t="s">
        <v>1806</v>
      </c>
      <c r="I5755" t="str">
        <f>IF(ISBLANK('Q 5'!G1476),"",IF('Q 5'!G1476="&lt;please select&gt;","",'Q 5'!G1476))</f>
        <v>10389</v>
      </c>
    </row>
    <row r="5756" spans="1:9" x14ac:dyDescent="0.3">
      <c r="A5756" t="s">
        <v>1932</v>
      </c>
      <c r="B5756" t="s">
        <v>1935</v>
      </c>
      <c r="C5756">
        <v>0</v>
      </c>
      <c r="D5756" t="s">
        <v>1447</v>
      </c>
      <c r="E5756" t="s">
        <v>1935</v>
      </c>
      <c r="F5756" t="s">
        <v>1748</v>
      </c>
      <c r="H5756" s="167" t="str">
        <f>IF(ISBLANK('Q 5'!$G$1479),"",IF('Q 5'!$G$1479="&lt;please select&gt;","",'Q 5'!$G$1479))</f>
        <v>6</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2</v>
      </c>
    </row>
    <row r="5761" spans="1:11" x14ac:dyDescent="0.3">
      <c r="A5761" t="s">
        <v>1940</v>
      </c>
      <c r="B5761" t="s">
        <v>1941</v>
      </c>
      <c r="C5761">
        <v>2</v>
      </c>
      <c r="D5761" t="s">
        <v>1447</v>
      </c>
      <c r="E5761" t="s">
        <v>1942</v>
      </c>
      <c r="F5761" t="s">
        <v>1748</v>
      </c>
      <c r="H5761" s="165" t="str">
        <f>IF(ISBLANK('Q 5'!H1494),"",IF('Q 5'!H1494="&lt;please select&gt;","",'Q 5'!H1494))</f>
        <v>2</v>
      </c>
    </row>
    <row r="5762" spans="1:11" x14ac:dyDescent="0.3">
      <c r="A5762" t="s">
        <v>1940</v>
      </c>
      <c r="B5762" t="s">
        <v>1941</v>
      </c>
      <c r="C5762">
        <v>3</v>
      </c>
      <c r="D5762" t="s">
        <v>1447</v>
      </c>
      <c r="E5762" t="s">
        <v>1942</v>
      </c>
      <c r="F5762" t="s">
        <v>1748</v>
      </c>
      <c r="H5762" s="165" t="str">
        <f>IF(ISBLANK('Q 5'!H1495),"",IF('Q 5'!H1495="&lt;please select&gt;","",'Q 5'!H1495))</f>
        <v>5</v>
      </c>
    </row>
    <row r="5763" spans="1:11" x14ac:dyDescent="0.3">
      <c r="A5763" t="s">
        <v>1940</v>
      </c>
      <c r="B5763" t="s">
        <v>1941</v>
      </c>
      <c r="C5763">
        <v>4</v>
      </c>
      <c r="D5763" t="s">
        <v>1447</v>
      </c>
      <c r="E5763" t="s">
        <v>1942</v>
      </c>
      <c r="F5763" t="s">
        <v>1748</v>
      </c>
      <c r="H5763" s="165" t="str">
        <f>IF(ISBLANK('Q 5'!H1496),"",IF('Q 5'!H1496="&lt;please select&gt;","",'Q 5'!H1496))</f>
        <v>7</v>
      </c>
    </row>
    <row r="5764" spans="1:11" x14ac:dyDescent="0.3">
      <c r="A5764" t="s">
        <v>1943</v>
      </c>
      <c r="B5764" t="s">
        <v>1944</v>
      </c>
      <c r="C5764">
        <v>0</v>
      </c>
      <c r="D5764" t="s">
        <v>1447</v>
      </c>
      <c r="E5764" t="s">
        <v>1944</v>
      </c>
      <c r="F5764" t="s">
        <v>1748</v>
      </c>
      <c r="H5764" s="165" t="str">
        <f>IF(ISBLANK('Q 5'!$C$1500),"",IF('Q 5'!$C$1500="&lt;please select&gt;","",'Q 5'!$C$1500))</f>
        <v>0</v>
      </c>
    </row>
    <row r="5765" spans="1:11" x14ac:dyDescent="0.3">
      <c r="A5765" t="s">
        <v>1943</v>
      </c>
      <c r="B5765" t="s">
        <v>1945</v>
      </c>
      <c r="C5765">
        <v>0</v>
      </c>
      <c r="D5765" t="s">
        <v>1447</v>
      </c>
      <c r="E5765" t="s">
        <v>1945</v>
      </c>
      <c r="F5765" t="s">
        <v>1748</v>
      </c>
      <c r="H5765" s="165" t="str">
        <f>IF(ISBLANK('Q 5'!$G$1500),"",IF('Q 5'!$G$1500="&lt;please select&gt;","",'Q 5'!$G$1500))</f>
        <v>0</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8</v>
      </c>
    </row>
    <row r="5778" spans="1:11" x14ac:dyDescent="0.3">
      <c r="A5778" t="s">
        <v>1951</v>
      </c>
      <c r="B5778" t="s">
        <v>1952</v>
      </c>
      <c r="C5778">
        <v>2</v>
      </c>
      <c r="D5778" t="s">
        <v>1447</v>
      </c>
      <c r="E5778" t="s">
        <v>1953</v>
      </c>
      <c r="F5778" t="s">
        <v>1748</v>
      </c>
      <c r="H5778" s="165" t="str">
        <f>IF(ISBLANK('Q 6'!F9),"",IF('Q 6'!F9="&lt;please select&gt;","",'Q 6'!F9))</f>
        <v/>
      </c>
    </row>
    <row r="5779" spans="1:11" x14ac:dyDescent="0.3">
      <c r="A5779" t="s">
        <v>1951</v>
      </c>
      <c r="B5779" t="s">
        <v>1952</v>
      </c>
      <c r="C5779">
        <v>3</v>
      </c>
      <c r="D5779" t="s">
        <v>1447</v>
      </c>
      <c r="E5779" t="s">
        <v>1953</v>
      </c>
      <c r="F5779" t="s">
        <v>1748</v>
      </c>
      <c r="H5779" s="165" t="str">
        <f>IF(ISBLANK('Q 6'!F10),"",IF('Q 6'!F10="&lt;please select&gt;","",'Q 6'!F10))</f>
        <v>3</v>
      </c>
    </row>
    <row r="5780" spans="1:11" x14ac:dyDescent="0.3">
      <c r="A5780" t="s">
        <v>1951</v>
      </c>
      <c r="B5780" t="s">
        <v>1952</v>
      </c>
      <c r="C5780">
        <v>4</v>
      </c>
      <c r="D5780" t="s">
        <v>1447</v>
      </c>
      <c r="E5780" t="s">
        <v>1953</v>
      </c>
      <c r="F5780" t="s">
        <v>1748</v>
      </c>
      <c r="H5780" s="165" t="str">
        <f>IF(ISBLANK('Q 6'!F11),"",IF('Q 6'!F11="&lt;please select&gt;","",'Q 6'!F11))</f>
        <v/>
      </c>
    </row>
    <row r="5781" spans="1:11" x14ac:dyDescent="0.3">
      <c r="A5781" t="s">
        <v>1951</v>
      </c>
      <c r="B5781" t="s">
        <v>1952</v>
      </c>
      <c r="C5781">
        <v>3</v>
      </c>
      <c r="D5781" t="s">
        <v>1447</v>
      </c>
      <c r="E5781" t="s">
        <v>1954</v>
      </c>
      <c r="F5781" t="s">
        <v>1741</v>
      </c>
      <c r="G5781" t="str">
        <f>IF(ISBLANK('Q 6'!G10),"",IF('Q 6'!G10="&lt;please select&gt;","",'Q 6'!G10))</f>
        <v>LV, CZ, FR</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
      </c>
    </row>
    <row r="5784" spans="1:11" x14ac:dyDescent="0.3">
      <c r="A5784" t="s">
        <v>1951</v>
      </c>
      <c r="B5784" t="s">
        <v>1952</v>
      </c>
      <c r="C5784">
        <v>2</v>
      </c>
      <c r="D5784" t="s">
        <v>1447</v>
      </c>
      <c r="E5784" t="s">
        <v>1955</v>
      </c>
      <c r="F5784" t="s">
        <v>1748</v>
      </c>
      <c r="H5784" s="165" t="str">
        <f>IF(ISBLANK('Q 6'!H9),"",IF('Q 6'!H9="&lt;please select&gt;","",'Q 6'!H9))</f>
        <v/>
      </c>
    </row>
    <row r="5785" spans="1:11" x14ac:dyDescent="0.3">
      <c r="A5785" t="s">
        <v>1951</v>
      </c>
      <c r="B5785" t="s">
        <v>1952</v>
      </c>
      <c r="C5785">
        <v>3</v>
      </c>
      <c r="D5785" t="s">
        <v>1447</v>
      </c>
      <c r="E5785" t="s">
        <v>1955</v>
      </c>
      <c r="F5785" t="s">
        <v>1748</v>
      </c>
      <c r="H5785" s="165" t="str">
        <f>IF(ISBLANK('Q 6'!H10),"",IF('Q 6'!H10="&lt;please select&gt;","",'Q 6'!H10))</f>
        <v>3</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LV, CZ, FR</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1a - Combustion of fuels in installations, where only commercial standard fuels as defined in Commission Implementing Regulation (EU) 2018/2066 are used, or where natural gas is used in category A or B installations.</v>
      </c>
    </row>
    <row r="5790" spans="1:11" x14ac:dyDescent="0.3">
      <c r="A5790" t="s">
        <v>1951</v>
      </c>
      <c r="B5790" t="s">
        <v>1957</v>
      </c>
      <c r="C5790">
        <v>2</v>
      </c>
      <c r="D5790" t="s">
        <v>1447</v>
      </c>
      <c r="E5790" t="s">
        <v>1958</v>
      </c>
      <c r="F5790" t="s">
        <v>1737</v>
      </c>
      <c r="K5790" t="str">
        <f>IF(ISBLANK('Q 6'!C18),"",IF('Q 6'!C18="&lt;please select&gt;","",'Q 6'!C18))</f>
        <v>1b - Combustion of fuels in installations, without restrictions</v>
      </c>
    </row>
    <row r="5791" spans="1:11" x14ac:dyDescent="0.3">
      <c r="A5791" t="s">
        <v>1951</v>
      </c>
      <c r="B5791" t="s">
        <v>1957</v>
      </c>
      <c r="C5791">
        <v>3</v>
      </c>
      <c r="D5791" t="s">
        <v>1447</v>
      </c>
      <c r="E5791" t="s">
        <v>1958</v>
      </c>
      <c r="F5791" t="s">
        <v>1737</v>
      </c>
      <c r="K5791" t="str">
        <f>IF(ISBLANK('Q 6'!C19),"",IF('Q 6'!C19="&lt;please select&gt;","",'Q 6'!C19))</f>
        <v>2 - Refining of mineral oil</v>
      </c>
    </row>
    <row r="5792" spans="1:11" x14ac:dyDescent="0.3">
      <c r="A5792" t="s">
        <v>1951</v>
      </c>
      <c r="B5792" t="s">
        <v>1957</v>
      </c>
      <c r="C5792">
        <v>4</v>
      </c>
      <c r="D5792" t="s">
        <v>1447</v>
      </c>
      <c r="E5792" t="s">
        <v>1958</v>
      </c>
      <c r="F5792" t="s">
        <v>1737</v>
      </c>
      <c r="K5792" t="str">
        <f>IF(ISBLANK('Q 6'!C20),"",IF('Q 6'!C20="&lt;please select&gt;","",'Q 6'!C20))</f>
        <v xml:space="preserve">3 - Production of coke </v>
      </c>
    </row>
    <row r="5793" spans="1:11" x14ac:dyDescent="0.3">
      <c r="A5793" t="s">
        <v>1951</v>
      </c>
      <c r="B5793" t="s">
        <v>1957</v>
      </c>
      <c r="C5793">
        <v>5</v>
      </c>
      <c r="D5793" t="s">
        <v>1447</v>
      </c>
      <c r="E5793" t="s">
        <v>1958</v>
      </c>
      <c r="F5793" t="s">
        <v>1737</v>
      </c>
      <c r="K5793" t="str">
        <f>IF(ISBLANK('Q 6'!C21),"",IF('Q 6'!C21="&lt;please select&gt;","",'Q 6'!C21))</f>
        <v xml:space="preserve">3 - Metal ore (including sulphide ore) roasting or sintering, including pelletisation </v>
      </c>
    </row>
    <row r="5794" spans="1:11" x14ac:dyDescent="0.3">
      <c r="A5794" t="s">
        <v>1951</v>
      </c>
      <c r="B5794" t="s">
        <v>1957</v>
      </c>
      <c r="C5794">
        <v>6</v>
      </c>
      <c r="D5794" t="s">
        <v>1447</v>
      </c>
      <c r="E5794" t="s">
        <v>1958</v>
      </c>
      <c r="F5794" t="s">
        <v>1737</v>
      </c>
      <c r="K5794" t="str">
        <f>IF(ISBLANK('Q 6'!C22),"",IF('Q 6'!C22="&lt;please select&gt;","",'Q 6'!C22))</f>
        <v>3 - Production of pig iron or steel (primary or secondary fusion) including continuous casting</v>
      </c>
    </row>
    <row r="5795" spans="1:11" x14ac:dyDescent="0.3">
      <c r="A5795" t="s">
        <v>1951</v>
      </c>
      <c r="B5795" t="s">
        <v>1957</v>
      </c>
      <c r="C5795">
        <v>7</v>
      </c>
      <c r="D5795" t="s">
        <v>1447</v>
      </c>
      <c r="E5795" t="s">
        <v>1958</v>
      </c>
      <c r="F5795" t="s">
        <v>1737</v>
      </c>
      <c r="K5795" t="str">
        <f>IF(ISBLANK('Q 6'!C23),"",IF('Q 6'!C23="&lt;please select&gt;","",'Q 6'!C23))</f>
        <v xml:space="preserve">4 - Production or processing of ferrous metals (including ferro-alloys) </v>
      </c>
    </row>
    <row r="5796" spans="1:11" x14ac:dyDescent="0.3">
      <c r="A5796" t="s">
        <v>1951</v>
      </c>
      <c r="B5796" t="s">
        <v>1957</v>
      </c>
      <c r="C5796">
        <v>8</v>
      </c>
      <c r="D5796" t="s">
        <v>1447</v>
      </c>
      <c r="E5796" t="s">
        <v>1958</v>
      </c>
      <c r="F5796" t="s">
        <v>1737</v>
      </c>
      <c r="K5796" t="str">
        <f>IF(ISBLANK('Q 6'!C24),"",IF('Q 6'!C24="&lt;please select&gt;","",'Q 6'!C24))</f>
        <v xml:space="preserve">4 - Production of secondary aluminium </v>
      </c>
    </row>
    <row r="5797" spans="1:11" x14ac:dyDescent="0.3">
      <c r="A5797" t="s">
        <v>1951</v>
      </c>
      <c r="B5797" t="s">
        <v>1957</v>
      </c>
      <c r="C5797">
        <v>9</v>
      </c>
      <c r="D5797" t="s">
        <v>1447</v>
      </c>
      <c r="E5797" t="s">
        <v>1958</v>
      </c>
      <c r="F5797" t="s">
        <v>1737</v>
      </c>
      <c r="K5797" t="str">
        <f>IF(ISBLANK('Q 6'!C25),"",IF('Q 6'!C25="&lt;please select&gt;","",'Q 6'!C25))</f>
        <v xml:space="preserve">4 - Production or processing of non-ferrous metals, including production of alloys </v>
      </c>
    </row>
    <row r="5798" spans="1:11" x14ac:dyDescent="0.3">
      <c r="A5798" t="s">
        <v>1951</v>
      </c>
      <c r="B5798" t="s">
        <v>1957</v>
      </c>
      <c r="C5798">
        <v>10</v>
      </c>
      <c r="D5798" t="s">
        <v>1447</v>
      </c>
      <c r="E5798" t="s">
        <v>1958</v>
      </c>
      <c r="F5798" t="s">
        <v>1737</v>
      </c>
      <c r="K5798" t="str">
        <f>IF(ISBLANK('Q 6'!C26),"",IF('Q 6'!C26="&lt;please select&gt;","",'Q 6'!C26))</f>
        <v xml:space="preserve">5 - Production of primary aluminium (CO2 and PFC emissions) 6 </v>
      </c>
    </row>
    <row r="5799" spans="1:11" x14ac:dyDescent="0.3">
      <c r="A5799" t="s">
        <v>1951</v>
      </c>
      <c r="B5799" t="s">
        <v>1957</v>
      </c>
      <c r="C5799">
        <v>11</v>
      </c>
      <c r="D5799" t="s">
        <v>1447</v>
      </c>
      <c r="E5799" t="s">
        <v>1958</v>
      </c>
      <c r="F5799" t="s">
        <v>1737</v>
      </c>
      <c r="K5799" t="str">
        <f>IF(ISBLANK('Q 6'!C27),"",IF('Q 6'!C27="&lt;please select&gt;","",'Q 6'!C27))</f>
        <v xml:space="preserve">6 - Production of cement clinker </v>
      </c>
    </row>
    <row r="5800" spans="1:11" x14ac:dyDescent="0.3">
      <c r="A5800" t="s">
        <v>1951</v>
      </c>
      <c r="B5800" t="s">
        <v>1957</v>
      </c>
      <c r="C5800">
        <v>12</v>
      </c>
      <c r="D5800" t="s">
        <v>1447</v>
      </c>
      <c r="E5800" t="s">
        <v>1958</v>
      </c>
      <c r="F5800" t="s">
        <v>1737</v>
      </c>
      <c r="K5800" t="str">
        <f>IF(ISBLANK('Q 6'!C28),"",IF('Q 6'!C28="&lt;please select&gt;","",'Q 6'!C28))</f>
        <v xml:space="preserve">6 - Production of lime or calcination of dolomite or magnesite </v>
      </c>
    </row>
    <row r="5801" spans="1:11" x14ac:dyDescent="0.3">
      <c r="A5801" t="s">
        <v>1951</v>
      </c>
      <c r="B5801" t="s">
        <v>1957</v>
      </c>
      <c r="C5801">
        <v>13</v>
      </c>
      <c r="D5801" t="s">
        <v>1447</v>
      </c>
      <c r="E5801" t="s">
        <v>1958</v>
      </c>
      <c r="F5801" t="s">
        <v>1737</v>
      </c>
      <c r="K5801" t="str">
        <f>IF(ISBLANK('Q 6'!C29),"",IF('Q 6'!C29="&lt;please select&gt;","",'Q 6'!C29))</f>
        <v xml:space="preserve">6 - Manufacture of glass including glass fibre </v>
      </c>
    </row>
    <row r="5802" spans="1:11" x14ac:dyDescent="0.3">
      <c r="A5802" t="s">
        <v>1951</v>
      </c>
      <c r="B5802" t="s">
        <v>1957</v>
      </c>
      <c r="C5802">
        <v>14</v>
      </c>
      <c r="D5802" t="s">
        <v>1447</v>
      </c>
      <c r="E5802" t="s">
        <v>1958</v>
      </c>
      <c r="F5802" t="s">
        <v>1737</v>
      </c>
      <c r="K5802" t="str">
        <f>IF(ISBLANK('Q 6'!C30),"",IF('Q 6'!C30="&lt;please select&gt;","",'Q 6'!C30))</f>
        <v xml:space="preserve">6 - Manufacture of ceramic products by firing </v>
      </c>
    </row>
    <row r="5803" spans="1:11" x14ac:dyDescent="0.3">
      <c r="A5803" t="s">
        <v>1951</v>
      </c>
      <c r="B5803" t="s">
        <v>1957</v>
      </c>
      <c r="C5803">
        <v>15</v>
      </c>
      <c r="D5803" t="s">
        <v>1447</v>
      </c>
      <c r="E5803" t="s">
        <v>1958</v>
      </c>
      <c r="F5803" t="s">
        <v>1737</v>
      </c>
      <c r="K5803" t="str">
        <f>IF(ISBLANK('Q 6'!C31),"",IF('Q 6'!C31="&lt;please select&gt;","",'Q 6'!C31))</f>
        <v xml:space="preserve">6 - Manufacture of mineral wool insulation material </v>
      </c>
    </row>
    <row r="5804" spans="1:11" x14ac:dyDescent="0.3">
      <c r="A5804" t="s">
        <v>1951</v>
      </c>
      <c r="B5804" t="s">
        <v>1957</v>
      </c>
      <c r="C5804">
        <v>16</v>
      </c>
      <c r="D5804" t="s">
        <v>1447</v>
      </c>
      <c r="E5804" t="s">
        <v>1958</v>
      </c>
      <c r="F5804" t="s">
        <v>1737</v>
      </c>
      <c r="K5804" t="str">
        <f>IF(ISBLANK('Q 6'!C32),"",IF('Q 6'!C32="&lt;please select&gt;","",'Q 6'!C32))</f>
        <v>6 - Drying or calcination of gypsum or production of plaster boards and other gypsum products</v>
      </c>
    </row>
    <row r="5805" spans="1:11" x14ac:dyDescent="0.3">
      <c r="A5805" t="s">
        <v>1951</v>
      </c>
      <c r="B5805" t="s">
        <v>1957</v>
      </c>
      <c r="C5805">
        <v>17</v>
      </c>
      <c r="D5805" t="s">
        <v>1447</v>
      </c>
      <c r="E5805" t="s">
        <v>1958</v>
      </c>
      <c r="F5805" t="s">
        <v>1737</v>
      </c>
      <c r="K5805" t="str">
        <f>IF(ISBLANK('Q 6'!C33),"",IF('Q 6'!C33="&lt;please select&gt;","",'Q 6'!C33))</f>
        <v xml:space="preserve">7 - Production of pulp from timber or other fibrous materials </v>
      </c>
    </row>
    <row r="5806" spans="1:11" x14ac:dyDescent="0.3">
      <c r="A5806" t="s">
        <v>1951</v>
      </c>
      <c r="B5806" t="s">
        <v>1957</v>
      </c>
      <c r="C5806">
        <v>18</v>
      </c>
      <c r="D5806" t="s">
        <v>1447</v>
      </c>
      <c r="E5806" t="s">
        <v>1958</v>
      </c>
      <c r="F5806" t="s">
        <v>1737</v>
      </c>
      <c r="K5806" t="str">
        <f>IF(ISBLANK('Q 6'!C34),"",IF('Q 6'!C34="&lt;please select&gt;","",'Q 6'!C34))</f>
        <v>7 - Production of paper or cardboard</v>
      </c>
    </row>
    <row r="5807" spans="1:11" x14ac:dyDescent="0.3">
      <c r="A5807" t="s">
        <v>1951</v>
      </c>
      <c r="B5807" t="s">
        <v>1957</v>
      </c>
      <c r="C5807">
        <v>19</v>
      </c>
      <c r="D5807" t="s">
        <v>1447</v>
      </c>
      <c r="E5807" t="s">
        <v>1958</v>
      </c>
      <c r="F5807" t="s">
        <v>1737</v>
      </c>
      <c r="K5807" t="str">
        <f>IF(ISBLANK('Q 6'!C35),"",IF('Q 6'!C35="&lt;please select&gt;","",'Q 6'!C35))</f>
        <v xml:space="preserve">8 - Production of carbon black </v>
      </c>
    </row>
    <row r="5808" spans="1:11" x14ac:dyDescent="0.3">
      <c r="A5808" t="s">
        <v>1951</v>
      </c>
      <c r="B5808" t="s">
        <v>1957</v>
      </c>
      <c r="C5808">
        <v>20</v>
      </c>
      <c r="D5808" t="s">
        <v>1447</v>
      </c>
      <c r="E5808" t="s">
        <v>1958</v>
      </c>
      <c r="F5808" t="s">
        <v>1737</v>
      </c>
      <c r="K5808" t="str">
        <f>IF(ISBLANK('Q 6'!C36),"",IF('Q 6'!C36="&lt;please select&gt;","",'Q 6'!C36))</f>
        <v xml:space="preserve">8 - Production of ammonia </v>
      </c>
    </row>
    <row r="5809" spans="1:11" x14ac:dyDescent="0.3">
      <c r="A5809" t="s">
        <v>1951</v>
      </c>
      <c r="B5809" t="s">
        <v>1957</v>
      </c>
      <c r="C5809">
        <v>21</v>
      </c>
      <c r="D5809" t="s">
        <v>1447</v>
      </c>
      <c r="E5809" t="s">
        <v>1958</v>
      </c>
      <c r="F5809" t="s">
        <v>1737</v>
      </c>
      <c r="K5809" t="str">
        <f>IF(ISBLANK('Q 6'!C37),"",IF('Q 6'!C37="&lt;please select&gt;","",'Q 6'!C37))</f>
        <v xml:space="preserve">8 - Production of bulk organic chemicals by cracking, reforming, partial or full oxidation or by similar processes </v>
      </c>
    </row>
    <row r="5810" spans="1:11" x14ac:dyDescent="0.3">
      <c r="A5810" t="s">
        <v>1951</v>
      </c>
      <c r="B5810" t="s">
        <v>1957</v>
      </c>
      <c r="C5810">
        <v>22</v>
      </c>
      <c r="D5810" t="s">
        <v>1447</v>
      </c>
      <c r="E5810" t="s">
        <v>1958</v>
      </c>
      <c r="F5810" t="s">
        <v>1737</v>
      </c>
      <c r="K5810" t="str">
        <f>IF(ISBLANK('Q 6'!C38),"",IF('Q 6'!C38="&lt;please select&gt;","",'Q 6'!C38))</f>
        <v xml:space="preserve">8 - Production of hydrogen (H2) and synthesis gas by reforming or partial oxidation </v>
      </c>
    </row>
    <row r="5811" spans="1:11" x14ac:dyDescent="0.3">
      <c r="A5811" t="s">
        <v>1951</v>
      </c>
      <c r="B5811" t="s">
        <v>1957</v>
      </c>
      <c r="C5811">
        <v>23</v>
      </c>
      <c r="D5811" t="s">
        <v>1447</v>
      </c>
      <c r="E5811" t="s">
        <v>1958</v>
      </c>
      <c r="F5811" t="s">
        <v>1737</v>
      </c>
      <c r="K5811" t="str">
        <f>IF(ISBLANK('Q 6'!C39),"",IF('Q 6'!C39="&lt;please select&gt;","",'Q 6'!C39))</f>
        <v>8 - Production of soda ash (Na2CO3) and sodium bicarbonate (NaHCO3)</v>
      </c>
    </row>
    <row r="5812" spans="1:11" x14ac:dyDescent="0.3">
      <c r="A5812" t="s">
        <v>1951</v>
      </c>
      <c r="B5812" t="s">
        <v>1957</v>
      </c>
      <c r="C5812">
        <v>24</v>
      </c>
      <c r="D5812" t="s">
        <v>1447</v>
      </c>
      <c r="E5812" t="s">
        <v>1958</v>
      </c>
      <c r="F5812" t="s">
        <v>1737</v>
      </c>
      <c r="K5812" t="str">
        <f>IF(ISBLANK('Q 6'!C40),"",IF('Q 6'!C40="&lt;please select&gt;","",'Q 6'!C40))</f>
        <v xml:space="preserve">9 - Production of nitric acid (CO2 and N2O emissions) </v>
      </c>
    </row>
    <row r="5813" spans="1:11" x14ac:dyDescent="0.3">
      <c r="A5813" t="s">
        <v>1951</v>
      </c>
      <c r="B5813" t="s">
        <v>1957</v>
      </c>
      <c r="C5813">
        <v>25</v>
      </c>
      <c r="D5813" t="s">
        <v>1447</v>
      </c>
      <c r="E5813" t="s">
        <v>1958</v>
      </c>
      <c r="F5813" t="s">
        <v>1737</v>
      </c>
      <c r="K5813" t="str">
        <f>IF(ISBLANK('Q 6'!C41),"",IF('Q 6'!C41="&lt;please select&gt;","",'Q 6'!C41))</f>
        <v xml:space="preserve">9 - Production of adipic acid (CO2 and N2O emissions) </v>
      </c>
    </row>
    <row r="5814" spans="1:11" x14ac:dyDescent="0.3">
      <c r="A5814" t="s">
        <v>1951</v>
      </c>
      <c r="B5814" t="s">
        <v>1957</v>
      </c>
      <c r="C5814">
        <v>26</v>
      </c>
      <c r="D5814" t="s">
        <v>1447</v>
      </c>
      <c r="E5814" t="s">
        <v>1958</v>
      </c>
      <c r="F5814" t="s">
        <v>1737</v>
      </c>
      <c r="K5814" t="str">
        <f>IF(ISBLANK('Q 6'!C42),"",IF('Q 6'!C42="&lt;please select&gt;","",'Q 6'!C42))</f>
        <v>9 - Production of glyoxal and glyoxylic acid (CO2 and N2O emissions)</v>
      </c>
    </row>
    <row r="5815" spans="1:11" x14ac:dyDescent="0.3">
      <c r="A5815" t="s">
        <v>1951</v>
      </c>
      <c r="B5815" t="s">
        <v>1957</v>
      </c>
      <c r="C5815">
        <v>27</v>
      </c>
      <c r="D5815" t="s">
        <v>1447</v>
      </c>
      <c r="E5815" t="s">
        <v>1958</v>
      </c>
      <c r="F5815" t="s">
        <v>1737</v>
      </c>
      <c r="K5815" t="str">
        <f>IF(ISBLANK('Q 6'!C43),"",IF('Q 6'!C43="&lt;please select&gt;","",'Q 6'!C43))</f>
        <v xml:space="preserve">10 - Capture of greenhouse gases from installations covered by Directive 2003/87/EC for the purpose of transport and geological storage in a storage site permitted under Directive 2009/31/EC </v>
      </c>
    </row>
    <row r="5816" spans="1:11" x14ac:dyDescent="0.3">
      <c r="A5816" t="s">
        <v>1951</v>
      </c>
      <c r="B5816" t="s">
        <v>1957</v>
      </c>
      <c r="C5816">
        <v>28</v>
      </c>
      <c r="D5816" t="s">
        <v>1447</v>
      </c>
      <c r="E5816" t="s">
        <v>1958</v>
      </c>
      <c r="F5816" t="s">
        <v>1737</v>
      </c>
      <c r="K5816" t="str">
        <f>IF(ISBLANK('Q 6'!C44),"",IF('Q 6'!C44="&lt;please select&gt;","",'Q 6'!C44))</f>
        <v>10 - Transport of greenhouse gases by pipelines for geological storage in a storage site permitted under Directive 2009/31/EC</v>
      </c>
    </row>
    <row r="5817" spans="1:11" x14ac:dyDescent="0.3">
      <c r="A5817" t="s">
        <v>1951</v>
      </c>
      <c r="B5817" t="s">
        <v>1957</v>
      </c>
      <c r="C5817">
        <v>29</v>
      </c>
      <c r="D5817" t="s">
        <v>1447</v>
      </c>
      <c r="E5817" t="s">
        <v>1958</v>
      </c>
      <c r="F5817" t="s">
        <v>1737</v>
      </c>
      <c r="K5817" t="str">
        <f>IF(ISBLANK('Q 6'!C45),"",IF('Q 6'!C45="&lt;please select&gt;","",'Q 6'!C45))</f>
        <v>11 - Geological storage of greenhouse gases in a storage site permitted under Directive 2009/31/EC</v>
      </c>
    </row>
    <row r="5818" spans="1:11" x14ac:dyDescent="0.3">
      <c r="A5818" t="s">
        <v>1951</v>
      </c>
      <c r="B5818" t="s">
        <v>1957</v>
      </c>
      <c r="C5818">
        <v>30</v>
      </c>
      <c r="D5818" t="s">
        <v>1447</v>
      </c>
      <c r="E5818" t="s">
        <v>1958</v>
      </c>
      <c r="F5818" t="s">
        <v>1737</v>
      </c>
      <c r="K5818" t="str">
        <f>IF(ISBLANK('Q 6'!C46),"",IF('Q 6'!C46="&lt;please select&gt;","",'Q 6'!C46))</f>
        <v>12 - Aviation activities (emissions and tonne-kilometre data)</v>
      </c>
    </row>
    <row r="5819" spans="1:11" x14ac:dyDescent="0.3">
      <c r="A5819" t="s">
        <v>1951</v>
      </c>
      <c r="B5819" t="s">
        <v>1957</v>
      </c>
      <c r="C5819">
        <v>31</v>
      </c>
      <c r="D5819" t="s">
        <v>1447</v>
      </c>
      <c r="E5819" t="s">
        <v>1958</v>
      </c>
      <c r="F5819" t="s">
        <v>1737</v>
      </c>
      <c r="K5819" t="str">
        <f>IF(ISBLANK('Q 6'!C47),"",IF('Q 6'!C47="&lt;please select&gt;","",'Q 6'!C47))</f>
        <v>98 - Other activities pursuant to Article 10a of Directive 2003/87/EC</v>
      </c>
    </row>
    <row r="5820" spans="1:11" x14ac:dyDescent="0.3">
      <c r="A5820" t="s">
        <v>1951</v>
      </c>
      <c r="B5820" t="s">
        <v>1957</v>
      </c>
      <c r="C5820">
        <v>32</v>
      </c>
      <c r="D5820" t="s">
        <v>1447</v>
      </c>
      <c r="E5820" t="s">
        <v>1958</v>
      </c>
      <c r="F5820" t="s">
        <v>1737</v>
      </c>
      <c r="K5820" t="str">
        <f>IF(ISBLANK('Q 6'!C48),"",IF('Q 6'!C48="&lt;please select&gt;","",'Q 6'!C48))</f>
        <v>99 - Other activities, included by a Member State pursuant to Article 24 of Directive 2003/87/EC, to be specified in detail in the accreditation certificate</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8</v>
      </c>
    </row>
    <row r="5824" spans="1:11" x14ac:dyDescent="0.3">
      <c r="A5824" t="s">
        <v>1951</v>
      </c>
      <c r="B5824" t="s">
        <v>1957</v>
      </c>
      <c r="C5824">
        <v>2</v>
      </c>
      <c r="D5824" t="s">
        <v>1447</v>
      </c>
      <c r="E5824" t="s">
        <v>1959</v>
      </c>
      <c r="F5824" t="s">
        <v>1748</v>
      </c>
      <c r="H5824" s="165" t="str">
        <f>IF(ISBLANK('Q 6'!H18),"",IF('Q 6'!H18="&lt;please select&gt;","",'Q 6'!H18))</f>
        <v>7</v>
      </c>
    </row>
    <row r="5825" spans="1:8" x14ac:dyDescent="0.3">
      <c r="A5825" t="s">
        <v>1951</v>
      </c>
      <c r="B5825" t="s">
        <v>1957</v>
      </c>
      <c r="C5825">
        <v>3</v>
      </c>
      <c r="D5825" t="s">
        <v>1447</v>
      </c>
      <c r="E5825" t="s">
        <v>1959</v>
      </c>
      <c r="F5825" t="s">
        <v>1748</v>
      </c>
      <c r="H5825" s="165" t="str">
        <f>IF(ISBLANK('Q 6'!H19),"",IF('Q 6'!H19="&lt;please select&gt;","",'Q 6'!H19))</f>
        <v>2</v>
      </c>
    </row>
    <row r="5826" spans="1:8" x14ac:dyDescent="0.3">
      <c r="A5826" t="s">
        <v>1951</v>
      </c>
      <c r="B5826" t="s">
        <v>1957</v>
      </c>
      <c r="C5826">
        <v>4</v>
      </c>
      <c r="D5826" t="s">
        <v>1447</v>
      </c>
      <c r="E5826" t="s">
        <v>1959</v>
      </c>
      <c r="F5826" t="s">
        <v>1748</v>
      </c>
      <c r="H5826" s="165" t="str">
        <f>IF(ISBLANK('Q 6'!H20),"",IF('Q 6'!H20="&lt;please select&gt;","",'Q 6'!H20))</f>
        <v>5</v>
      </c>
    </row>
    <row r="5827" spans="1:8" x14ac:dyDescent="0.3">
      <c r="A5827" t="s">
        <v>1951</v>
      </c>
      <c r="B5827" t="s">
        <v>1957</v>
      </c>
      <c r="C5827">
        <v>5</v>
      </c>
      <c r="D5827" t="s">
        <v>1447</v>
      </c>
      <c r="E5827" t="s">
        <v>1959</v>
      </c>
      <c r="F5827" t="s">
        <v>1748</v>
      </c>
      <c r="H5827" s="165" t="str">
        <f>IF(ISBLANK('Q 6'!H21),"",IF('Q 6'!H21="&lt;please select&gt;","",'Q 6'!H21))</f>
        <v>6</v>
      </c>
    </row>
    <row r="5828" spans="1:8" x14ac:dyDescent="0.3">
      <c r="A5828" t="s">
        <v>1951</v>
      </c>
      <c r="B5828" t="s">
        <v>1957</v>
      </c>
      <c r="C5828">
        <v>6</v>
      </c>
      <c r="D5828" t="s">
        <v>1447</v>
      </c>
      <c r="E5828" t="s">
        <v>1959</v>
      </c>
      <c r="F5828" t="s">
        <v>1748</v>
      </c>
      <c r="H5828" s="165" t="str">
        <f>IF(ISBLANK('Q 6'!H22),"",IF('Q 6'!H22="&lt;please select&gt;","",'Q 6'!H22))</f>
        <v>5</v>
      </c>
    </row>
    <row r="5829" spans="1:8" x14ac:dyDescent="0.3">
      <c r="A5829" t="s">
        <v>1951</v>
      </c>
      <c r="B5829" t="s">
        <v>1957</v>
      </c>
      <c r="C5829">
        <v>7</v>
      </c>
      <c r="D5829" t="s">
        <v>1447</v>
      </c>
      <c r="E5829" t="s">
        <v>1959</v>
      </c>
      <c r="F5829" t="s">
        <v>1748</v>
      </c>
      <c r="H5829" s="165" t="str">
        <f>IF(ISBLANK('Q 6'!H23),"",IF('Q 6'!H23="&lt;please select&gt;","",'Q 6'!H23))</f>
        <v>6</v>
      </c>
    </row>
    <row r="5830" spans="1:8" x14ac:dyDescent="0.3">
      <c r="A5830" t="s">
        <v>1951</v>
      </c>
      <c r="B5830" t="s">
        <v>1957</v>
      </c>
      <c r="C5830">
        <v>8</v>
      </c>
      <c r="D5830" t="s">
        <v>1447</v>
      </c>
      <c r="E5830" t="s">
        <v>1959</v>
      </c>
      <c r="F5830" t="s">
        <v>1748</v>
      </c>
      <c r="H5830" s="165" t="str">
        <f>IF(ISBLANK('Q 6'!H24),"",IF('Q 6'!H24="&lt;please select&gt;","",'Q 6'!H24))</f>
        <v>2</v>
      </c>
    </row>
    <row r="5831" spans="1:8" x14ac:dyDescent="0.3">
      <c r="A5831" t="s">
        <v>1951</v>
      </c>
      <c r="B5831" t="s">
        <v>1957</v>
      </c>
      <c r="C5831">
        <v>9</v>
      </c>
      <c r="D5831" t="s">
        <v>1447</v>
      </c>
      <c r="E5831" t="s">
        <v>1959</v>
      </c>
      <c r="F5831" t="s">
        <v>1748</v>
      </c>
      <c r="H5831" s="165" t="str">
        <f>IF(ISBLANK('Q 6'!H25),"",IF('Q 6'!H25="&lt;please select&gt;","",'Q 6'!H25))</f>
        <v>4</v>
      </c>
    </row>
    <row r="5832" spans="1:8" x14ac:dyDescent="0.3">
      <c r="A5832" t="s">
        <v>1951</v>
      </c>
      <c r="B5832" t="s">
        <v>1957</v>
      </c>
      <c r="C5832">
        <v>10</v>
      </c>
      <c r="D5832" t="s">
        <v>1447</v>
      </c>
      <c r="E5832" t="s">
        <v>1959</v>
      </c>
      <c r="F5832" t="s">
        <v>1748</v>
      </c>
      <c r="H5832" s="165" t="str">
        <f>IF(ISBLANK('Q 6'!H26),"",IF('Q 6'!H26="&lt;please select&gt;","",'Q 6'!H26))</f>
        <v>0</v>
      </c>
    </row>
    <row r="5833" spans="1:8" x14ac:dyDescent="0.3">
      <c r="A5833" t="s">
        <v>1951</v>
      </c>
      <c r="B5833" t="s">
        <v>1957</v>
      </c>
      <c r="C5833">
        <v>11</v>
      </c>
      <c r="D5833" t="s">
        <v>1447</v>
      </c>
      <c r="E5833" t="s">
        <v>1959</v>
      </c>
      <c r="F5833" t="s">
        <v>1748</v>
      </c>
      <c r="H5833" s="165" t="str">
        <f>IF(ISBLANK('Q 6'!H27),"",IF('Q 6'!H27="&lt;please select&gt;","",'Q 6'!H27))</f>
        <v>3</v>
      </c>
    </row>
    <row r="5834" spans="1:8" x14ac:dyDescent="0.3">
      <c r="A5834" t="s">
        <v>1951</v>
      </c>
      <c r="B5834" t="s">
        <v>1957</v>
      </c>
      <c r="C5834">
        <v>12</v>
      </c>
      <c r="D5834" t="s">
        <v>1447</v>
      </c>
      <c r="E5834" t="s">
        <v>1959</v>
      </c>
      <c r="F5834" t="s">
        <v>1748</v>
      </c>
      <c r="H5834" s="165" t="str">
        <f>IF(ISBLANK('Q 6'!H28),"",IF('Q 6'!H28="&lt;please select&gt;","",'Q 6'!H28))</f>
        <v>5</v>
      </c>
    </row>
    <row r="5835" spans="1:8" x14ac:dyDescent="0.3">
      <c r="A5835" t="s">
        <v>1951</v>
      </c>
      <c r="B5835" t="s">
        <v>1957</v>
      </c>
      <c r="C5835">
        <v>13</v>
      </c>
      <c r="D5835" t="s">
        <v>1447</v>
      </c>
      <c r="E5835" t="s">
        <v>1959</v>
      </c>
      <c r="F5835" t="s">
        <v>1748</v>
      </c>
      <c r="H5835" s="165" t="str">
        <f>IF(ISBLANK('Q 6'!H29),"",IF('Q 6'!H29="&lt;please select&gt;","",'Q 6'!H29))</f>
        <v>5</v>
      </c>
    </row>
    <row r="5836" spans="1:8" x14ac:dyDescent="0.3">
      <c r="A5836" t="s">
        <v>1951</v>
      </c>
      <c r="B5836" t="s">
        <v>1957</v>
      </c>
      <c r="C5836">
        <v>14</v>
      </c>
      <c r="D5836" t="s">
        <v>1447</v>
      </c>
      <c r="E5836" t="s">
        <v>1959</v>
      </c>
      <c r="F5836" t="s">
        <v>1748</v>
      </c>
      <c r="H5836" s="165" t="str">
        <f>IF(ISBLANK('Q 6'!H30),"",IF('Q 6'!H30="&lt;please select&gt;","",'Q 6'!H30))</f>
        <v>7</v>
      </c>
    </row>
    <row r="5837" spans="1:8" x14ac:dyDescent="0.3">
      <c r="A5837" t="s">
        <v>1951</v>
      </c>
      <c r="B5837" t="s">
        <v>1957</v>
      </c>
      <c r="C5837">
        <v>15</v>
      </c>
      <c r="D5837" t="s">
        <v>1447</v>
      </c>
      <c r="E5837" t="s">
        <v>1959</v>
      </c>
      <c r="F5837" t="s">
        <v>1748</v>
      </c>
      <c r="H5837" s="165" t="str">
        <f>IF(ISBLANK('Q 6'!H31),"",IF('Q 6'!H31="&lt;please select&gt;","",'Q 6'!H31))</f>
        <v>5</v>
      </c>
    </row>
    <row r="5838" spans="1:8" x14ac:dyDescent="0.3">
      <c r="A5838" t="s">
        <v>1951</v>
      </c>
      <c r="B5838" t="s">
        <v>1957</v>
      </c>
      <c r="C5838">
        <v>16</v>
      </c>
      <c r="D5838" t="s">
        <v>1447</v>
      </c>
      <c r="E5838" t="s">
        <v>1959</v>
      </c>
      <c r="F5838" t="s">
        <v>1748</v>
      </c>
      <c r="H5838" s="165" t="str">
        <f>IF(ISBLANK('Q 6'!H32),"",IF('Q 6'!H32="&lt;please select&gt;","",'Q 6'!H32))</f>
        <v>5</v>
      </c>
    </row>
    <row r="5839" spans="1:8" x14ac:dyDescent="0.3">
      <c r="A5839" t="s">
        <v>1951</v>
      </c>
      <c r="B5839" t="s">
        <v>1957</v>
      </c>
      <c r="C5839">
        <v>17</v>
      </c>
      <c r="D5839" t="s">
        <v>1447</v>
      </c>
      <c r="E5839" t="s">
        <v>1959</v>
      </c>
      <c r="F5839" t="s">
        <v>1748</v>
      </c>
      <c r="H5839" s="165" t="str">
        <f>IF(ISBLANK('Q 6'!H33),"",IF('Q 6'!H33="&lt;please select&gt;","",'Q 6'!H33))</f>
        <v>4</v>
      </c>
    </row>
    <row r="5840" spans="1:8" x14ac:dyDescent="0.3">
      <c r="A5840" t="s">
        <v>1951</v>
      </c>
      <c r="B5840" t="s">
        <v>1957</v>
      </c>
      <c r="C5840">
        <v>18</v>
      </c>
      <c r="D5840" t="s">
        <v>1447</v>
      </c>
      <c r="E5840" t="s">
        <v>1959</v>
      </c>
      <c r="F5840" t="s">
        <v>1748</v>
      </c>
      <c r="H5840" s="165" t="str">
        <f>IF(ISBLANK('Q 6'!H34),"",IF('Q 6'!H34="&lt;please select&gt;","",'Q 6'!H34))</f>
        <v>5</v>
      </c>
    </row>
    <row r="5841" spans="1:8" x14ac:dyDescent="0.3">
      <c r="A5841" t="s">
        <v>1951</v>
      </c>
      <c r="B5841" t="s">
        <v>1957</v>
      </c>
      <c r="C5841">
        <v>19</v>
      </c>
      <c r="D5841" t="s">
        <v>1447</v>
      </c>
      <c r="E5841" t="s">
        <v>1959</v>
      </c>
      <c r="F5841" t="s">
        <v>1748</v>
      </c>
      <c r="H5841" s="165" t="str">
        <f>IF(ISBLANK('Q 6'!H35),"",IF('Q 6'!H35="&lt;please select&gt;","",'Q 6'!H35))</f>
        <v>2</v>
      </c>
    </row>
    <row r="5842" spans="1:8" x14ac:dyDescent="0.3">
      <c r="A5842" t="s">
        <v>1951</v>
      </c>
      <c r="B5842" t="s">
        <v>1957</v>
      </c>
      <c r="C5842">
        <v>20</v>
      </c>
      <c r="D5842" t="s">
        <v>1447</v>
      </c>
      <c r="E5842" t="s">
        <v>1959</v>
      </c>
      <c r="F5842" t="s">
        <v>1748</v>
      </c>
      <c r="H5842" s="165" t="str">
        <f>IF(ISBLANK('Q 6'!H36),"",IF('Q 6'!H36="&lt;please select&gt;","",'Q 6'!H36))</f>
        <v>3</v>
      </c>
    </row>
    <row r="5843" spans="1:8" x14ac:dyDescent="0.3">
      <c r="A5843" t="s">
        <v>1951</v>
      </c>
      <c r="B5843" t="s">
        <v>1957</v>
      </c>
      <c r="C5843">
        <v>21</v>
      </c>
      <c r="D5843" t="s">
        <v>1447</v>
      </c>
      <c r="E5843" t="s">
        <v>1959</v>
      </c>
      <c r="F5843" t="s">
        <v>1748</v>
      </c>
      <c r="H5843" s="165" t="str">
        <f>IF(ISBLANK('Q 6'!H37),"",IF('Q 6'!H37="&lt;please select&gt;","",'Q 6'!H37))</f>
        <v>3</v>
      </c>
    </row>
    <row r="5844" spans="1:8" x14ac:dyDescent="0.3">
      <c r="A5844" t="s">
        <v>1951</v>
      </c>
      <c r="B5844" t="s">
        <v>1957</v>
      </c>
      <c r="C5844">
        <v>22</v>
      </c>
      <c r="D5844" t="s">
        <v>1447</v>
      </c>
      <c r="E5844" t="s">
        <v>1959</v>
      </c>
      <c r="F5844" t="s">
        <v>1748</v>
      </c>
      <c r="H5844" s="165" t="str">
        <f>IF(ISBLANK('Q 6'!H38),"",IF('Q 6'!H38="&lt;please select&gt;","",'Q 6'!H38))</f>
        <v>3</v>
      </c>
    </row>
    <row r="5845" spans="1:8" x14ac:dyDescent="0.3">
      <c r="A5845" t="s">
        <v>1951</v>
      </c>
      <c r="B5845" t="s">
        <v>1957</v>
      </c>
      <c r="C5845">
        <v>23</v>
      </c>
      <c r="D5845" t="s">
        <v>1447</v>
      </c>
      <c r="E5845" t="s">
        <v>1959</v>
      </c>
      <c r="F5845" t="s">
        <v>1748</v>
      </c>
      <c r="H5845" s="165" t="str">
        <f>IF(ISBLANK('Q 6'!H39),"",IF('Q 6'!H39="&lt;please select&gt;","",'Q 6'!H39))</f>
        <v>3</v>
      </c>
    </row>
    <row r="5846" spans="1:8" x14ac:dyDescent="0.3">
      <c r="A5846" t="s">
        <v>1951</v>
      </c>
      <c r="B5846" t="s">
        <v>1957</v>
      </c>
      <c r="C5846">
        <v>24</v>
      </c>
      <c r="D5846" t="s">
        <v>1447</v>
      </c>
      <c r="E5846" t="s">
        <v>1959</v>
      </c>
      <c r="F5846" t="s">
        <v>1748</v>
      </c>
      <c r="H5846" s="165" t="str">
        <f>IF(ISBLANK('Q 6'!H40),"",IF('Q 6'!H40="&lt;please select&gt;","",'Q 6'!H40))</f>
        <v>3</v>
      </c>
    </row>
    <row r="5847" spans="1:8" x14ac:dyDescent="0.3">
      <c r="A5847" t="s">
        <v>1951</v>
      </c>
      <c r="B5847" t="s">
        <v>1957</v>
      </c>
      <c r="C5847">
        <v>25</v>
      </c>
      <c r="D5847" t="s">
        <v>1447</v>
      </c>
      <c r="E5847" t="s">
        <v>1959</v>
      </c>
      <c r="F5847" t="s">
        <v>1748</v>
      </c>
      <c r="H5847" s="165" t="str">
        <f>IF(ISBLANK('Q 6'!H41),"",IF('Q 6'!H41="&lt;please select&gt;","",'Q 6'!H41))</f>
        <v>1</v>
      </c>
    </row>
    <row r="5848" spans="1:8" x14ac:dyDescent="0.3">
      <c r="A5848" t="s">
        <v>1951</v>
      </c>
      <c r="B5848" t="s">
        <v>1957</v>
      </c>
      <c r="C5848">
        <v>26</v>
      </c>
      <c r="D5848" t="s">
        <v>1447</v>
      </c>
      <c r="E5848" t="s">
        <v>1959</v>
      </c>
      <c r="F5848" t="s">
        <v>1748</v>
      </c>
      <c r="H5848" s="165" t="str">
        <f>IF(ISBLANK('Q 6'!H42),"",IF('Q 6'!H42="&lt;please select&gt;","",'Q 6'!H42))</f>
        <v>1</v>
      </c>
    </row>
    <row r="5849" spans="1:8" x14ac:dyDescent="0.3">
      <c r="A5849" t="s">
        <v>1951</v>
      </c>
      <c r="B5849" t="s">
        <v>1957</v>
      </c>
      <c r="C5849">
        <v>27</v>
      </c>
      <c r="D5849" t="s">
        <v>1447</v>
      </c>
      <c r="E5849" t="s">
        <v>1959</v>
      </c>
      <c r="F5849" t="s">
        <v>1748</v>
      </c>
      <c r="H5849" s="165" t="str">
        <f>IF(ISBLANK('Q 6'!H43),"",IF('Q 6'!H43="&lt;please select&gt;","",'Q 6'!H43))</f>
        <v>0</v>
      </c>
    </row>
    <row r="5850" spans="1:8" x14ac:dyDescent="0.3">
      <c r="A5850" t="s">
        <v>1951</v>
      </c>
      <c r="B5850" t="s">
        <v>1957</v>
      </c>
      <c r="C5850">
        <v>28</v>
      </c>
      <c r="D5850" t="s">
        <v>1447</v>
      </c>
      <c r="E5850" t="s">
        <v>1959</v>
      </c>
      <c r="F5850" t="s">
        <v>1748</v>
      </c>
      <c r="H5850" s="165" t="str">
        <f>IF(ISBLANK('Q 6'!H44),"",IF('Q 6'!H44="&lt;please select&gt;","",'Q 6'!H44))</f>
        <v>0</v>
      </c>
    </row>
    <row r="5851" spans="1:8" x14ac:dyDescent="0.3">
      <c r="A5851" t="s">
        <v>1951</v>
      </c>
      <c r="B5851" t="s">
        <v>1957</v>
      </c>
      <c r="C5851">
        <v>29</v>
      </c>
      <c r="D5851" t="s">
        <v>1447</v>
      </c>
      <c r="E5851" t="s">
        <v>1959</v>
      </c>
      <c r="F5851" t="s">
        <v>1748</v>
      </c>
      <c r="H5851" s="165" t="str">
        <f>IF(ISBLANK('Q 6'!H45),"",IF('Q 6'!H45="&lt;please select&gt;","",'Q 6'!H45))</f>
        <v>0</v>
      </c>
    </row>
    <row r="5852" spans="1:8" x14ac:dyDescent="0.3">
      <c r="A5852" t="s">
        <v>1951</v>
      </c>
      <c r="B5852" t="s">
        <v>1957</v>
      </c>
      <c r="C5852">
        <v>30</v>
      </c>
      <c r="D5852" t="s">
        <v>1447</v>
      </c>
      <c r="E5852" t="s">
        <v>1959</v>
      </c>
      <c r="F5852" t="s">
        <v>1748</v>
      </c>
      <c r="H5852" s="165" t="str">
        <f>IF(ISBLANK('Q 6'!H46),"",IF('Q 6'!H46="&lt;please select&gt;","",'Q 6'!H46))</f>
        <v>0</v>
      </c>
    </row>
    <row r="5853" spans="1:8" x14ac:dyDescent="0.3">
      <c r="A5853" t="s">
        <v>1951</v>
      </c>
      <c r="B5853" t="s">
        <v>1957</v>
      </c>
      <c r="C5853">
        <v>31</v>
      </c>
      <c r="D5853" t="s">
        <v>1447</v>
      </c>
      <c r="E5853" t="s">
        <v>1959</v>
      </c>
      <c r="F5853" t="s">
        <v>1748</v>
      </c>
      <c r="H5853" s="165" t="str">
        <f>IF(ISBLANK('Q 6'!H47),"",IF('Q 6'!H47="&lt;please select&gt;","",'Q 6'!H47))</f>
        <v>7</v>
      </c>
    </row>
    <row r="5854" spans="1:8" x14ac:dyDescent="0.3">
      <c r="A5854" t="s">
        <v>1951</v>
      </c>
      <c r="B5854" t="s">
        <v>1957</v>
      </c>
      <c r="C5854">
        <v>32</v>
      </c>
      <c r="D5854" t="s">
        <v>1447</v>
      </c>
      <c r="E5854" t="s">
        <v>1959</v>
      </c>
      <c r="F5854" t="s">
        <v>1748</v>
      </c>
      <c r="H5854" s="165" t="str">
        <f>IF(ISBLANK('Q 6'!H48),"",IF('Q 6'!H48="&lt;please select&gt;","",'Q 6'!H48))</f>
        <v>0</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Yes</v>
      </c>
    </row>
    <row r="5892" spans="1:11" x14ac:dyDescent="0.3">
      <c r="A5892" t="s">
        <v>1961</v>
      </c>
      <c r="B5892" t="s">
        <v>1962</v>
      </c>
      <c r="C5892">
        <v>1</v>
      </c>
      <c r="D5892" t="s">
        <v>1447</v>
      </c>
      <c r="E5892" t="s">
        <v>1964</v>
      </c>
      <c r="F5892" t="s">
        <v>1759</v>
      </c>
      <c r="K5892" t="str">
        <f>IF(ISBLANK('Q 6'!$I$56),"",IF('Q 6'!$I$56="&lt;please select&gt;","",'Q 6'!$I$56))</f>
        <v>No</v>
      </c>
    </row>
    <row r="5893" spans="1:11" x14ac:dyDescent="0.3">
      <c r="A5893" t="s">
        <v>1961</v>
      </c>
      <c r="B5893" t="s">
        <v>1962</v>
      </c>
      <c r="C5893">
        <v>2</v>
      </c>
      <c r="D5893" t="s">
        <v>1447</v>
      </c>
      <c r="E5893" t="s">
        <v>1963</v>
      </c>
      <c r="F5893" t="s">
        <v>1759</v>
      </c>
      <c r="K5893" t="str">
        <f>IF(ISBLANK('Q 6'!$G$58),"",IF('Q 6'!$G$58="&lt;please select&gt;","",'Q 6'!$G$58))</f>
        <v>Yes</v>
      </c>
    </row>
    <row r="5894" spans="1:11" x14ac:dyDescent="0.3">
      <c r="A5894" t="s">
        <v>1961</v>
      </c>
      <c r="B5894" t="s">
        <v>1962</v>
      </c>
      <c r="C5894">
        <v>2</v>
      </c>
      <c r="D5894" t="s">
        <v>1447</v>
      </c>
      <c r="E5894" t="s">
        <v>1964</v>
      </c>
      <c r="F5894" t="s">
        <v>1759</v>
      </c>
      <c r="K5894" t="str">
        <f>IF(ISBLANK('Q 6'!$I$58),"",IF('Q 6'!$I$58="&lt;please select&gt;","",'Q 6'!$I$58))</f>
        <v>No</v>
      </c>
    </row>
    <row r="5895" spans="1:11" x14ac:dyDescent="0.3">
      <c r="A5895" t="s">
        <v>1961</v>
      </c>
      <c r="B5895" t="s">
        <v>1962</v>
      </c>
      <c r="C5895">
        <v>3</v>
      </c>
      <c r="D5895" t="s">
        <v>1447</v>
      </c>
      <c r="E5895" t="s">
        <v>1963</v>
      </c>
      <c r="F5895" t="s">
        <v>1759</v>
      </c>
      <c r="K5895" t="str">
        <f>IF(ISBLANK('Q 6'!$G$60),"",IF('Q 6'!$G$60="&lt;please select&gt;","",'Q 6'!$G$60))</f>
        <v>Yes</v>
      </c>
    </row>
    <row r="5896" spans="1:11" x14ac:dyDescent="0.3">
      <c r="A5896" t="s">
        <v>1961</v>
      </c>
      <c r="B5896" t="s">
        <v>1962</v>
      </c>
      <c r="C5896">
        <v>3</v>
      </c>
      <c r="D5896" t="s">
        <v>1447</v>
      </c>
      <c r="E5896" t="s">
        <v>1964</v>
      </c>
      <c r="F5896" t="s">
        <v>1759</v>
      </c>
      <c r="K5896" t="str">
        <f>IF(ISBLANK('Q 6'!$I$60),"",IF('Q 6'!$I$60="&lt;please select&gt;","",'Q 6'!$I$60))</f>
        <v>No</v>
      </c>
    </row>
    <row r="5897" spans="1:11" x14ac:dyDescent="0.3">
      <c r="A5897" t="s">
        <v>1961</v>
      </c>
      <c r="B5897" t="s">
        <v>1965</v>
      </c>
      <c r="C5897">
        <v>1</v>
      </c>
      <c r="D5897" t="s">
        <v>1447</v>
      </c>
      <c r="E5897" t="s">
        <v>1966</v>
      </c>
      <c r="F5897" t="s">
        <v>1748</v>
      </c>
      <c r="H5897" s="165" t="str">
        <f>IF(ISBLANK('Q 6'!$G$62),"",IF('Q 6'!$G$62="&lt;please select&gt;","",'Q 6'!$G$62))</f>
        <v>0</v>
      </c>
    </row>
    <row r="5898" spans="1:11" x14ac:dyDescent="0.3">
      <c r="A5898" t="s">
        <v>1961</v>
      </c>
      <c r="B5898" t="s">
        <v>1965</v>
      </c>
      <c r="C5898">
        <v>1</v>
      </c>
      <c r="D5898" t="s">
        <v>1447</v>
      </c>
      <c r="E5898" t="s">
        <v>1967</v>
      </c>
      <c r="F5898" t="s">
        <v>1748</v>
      </c>
      <c r="H5898" s="165" t="str">
        <f>IF(ISBLANK('Q 6'!$H$62),"",IF('Q 6'!$H$62="&lt;please select&gt;","",'Q 6'!$H$62))</f>
        <v>0</v>
      </c>
    </row>
    <row r="5899" spans="1:11" x14ac:dyDescent="0.3">
      <c r="A5899" t="s">
        <v>1961</v>
      </c>
      <c r="B5899" t="s">
        <v>1965</v>
      </c>
      <c r="C5899">
        <v>1</v>
      </c>
      <c r="D5899" t="s">
        <v>1447</v>
      </c>
      <c r="E5899" t="s">
        <v>1968</v>
      </c>
      <c r="F5899" t="s">
        <v>1748</v>
      </c>
      <c r="H5899" s="165" t="str">
        <f>IF(ISBLANK('Q 6'!$I$62),"",IF('Q 6'!$I$62="&lt;please select&gt;","",'Q 6'!$I$62))</f>
        <v>0</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0</v>
      </c>
    </row>
    <row r="5904" spans="1:11" x14ac:dyDescent="0.3">
      <c r="A5904" t="s">
        <v>1961</v>
      </c>
      <c r="B5904" t="s">
        <v>1971</v>
      </c>
      <c r="C5904">
        <v>1</v>
      </c>
      <c r="D5904" t="s">
        <v>1447</v>
      </c>
      <c r="E5904" t="s">
        <v>1972</v>
      </c>
      <c r="F5904" t="s">
        <v>1748</v>
      </c>
      <c r="H5904" s="165" t="str">
        <f>IF(ISBLANK('Q 6'!$G$67),"",IF('Q 6'!$G$67="&lt;please select&gt;","",'Q 6'!$G$67))</f>
        <v>0</v>
      </c>
    </row>
    <row r="5905" spans="1:8" x14ac:dyDescent="0.3">
      <c r="A5905" t="s">
        <v>1961</v>
      </c>
      <c r="B5905" t="s">
        <v>1971</v>
      </c>
      <c r="C5905">
        <v>1</v>
      </c>
      <c r="D5905" t="s">
        <v>1447</v>
      </c>
      <c r="E5905" t="s">
        <v>1973</v>
      </c>
      <c r="F5905" t="s">
        <v>1748</v>
      </c>
      <c r="H5905" s="165" t="str">
        <f>IF(ISBLANK('Q 6'!$H$67),"",IF('Q 6'!$H$67="&lt;please select&gt;","",'Q 6'!$H$67))</f>
        <v>0</v>
      </c>
    </row>
    <row r="5906" spans="1:8" x14ac:dyDescent="0.3">
      <c r="A5906" t="s">
        <v>1961</v>
      </c>
      <c r="B5906" t="s">
        <v>1971</v>
      </c>
      <c r="C5906">
        <v>1</v>
      </c>
      <c r="D5906" t="s">
        <v>1447</v>
      </c>
      <c r="E5906" t="s">
        <v>1974</v>
      </c>
      <c r="F5906" t="s">
        <v>1748</v>
      </c>
      <c r="H5906" s="165" t="str">
        <f>IF(ISBLANK('Q 6'!$I$67),"",IF('Q 6'!$I$67="&lt;please select&gt;","",'Q 6'!$I$67))</f>
        <v>0</v>
      </c>
    </row>
    <row r="5907" spans="1:8" x14ac:dyDescent="0.3">
      <c r="A5907" t="s">
        <v>1961</v>
      </c>
      <c r="B5907" t="s">
        <v>1971</v>
      </c>
      <c r="C5907">
        <v>2</v>
      </c>
      <c r="D5907" t="s">
        <v>1447</v>
      </c>
      <c r="E5907" t="s">
        <v>1972</v>
      </c>
      <c r="F5907" t="s">
        <v>1748</v>
      </c>
      <c r="H5907" s="165" t="str">
        <f>IF(ISBLANK('Q 6'!$G$69),"",IF('Q 6'!$G$69="&lt;please select&gt;","",'Q 6'!$G$69))</f>
        <v>0</v>
      </c>
    </row>
    <row r="5908" spans="1:8" x14ac:dyDescent="0.3">
      <c r="A5908" t="s">
        <v>1961</v>
      </c>
      <c r="B5908" t="s">
        <v>1971</v>
      </c>
      <c r="C5908">
        <v>2</v>
      </c>
      <c r="D5908" t="s">
        <v>1447</v>
      </c>
      <c r="E5908" t="s">
        <v>1973</v>
      </c>
      <c r="F5908" t="s">
        <v>1748</v>
      </c>
      <c r="H5908" s="165" t="str">
        <f>IF(ISBLANK('Q 6'!$H$69),"",IF('Q 6'!$H$69="&lt;please select&gt;","",'Q 6'!$H$69))</f>
        <v>0</v>
      </c>
    </row>
    <row r="5909" spans="1:8" x14ac:dyDescent="0.3">
      <c r="A5909" t="s">
        <v>1961</v>
      </c>
      <c r="B5909" t="s">
        <v>1971</v>
      </c>
      <c r="C5909">
        <v>2</v>
      </c>
      <c r="D5909" t="s">
        <v>1447</v>
      </c>
      <c r="E5909" t="s">
        <v>1974</v>
      </c>
      <c r="F5909" t="s">
        <v>1748</v>
      </c>
      <c r="H5909" s="165" t="str">
        <f>IF(ISBLANK('Q 6'!$I$69),"",IF('Q 6'!$I$69="&lt;please select&gt;","",'Q 6'!$I$69))</f>
        <v>0</v>
      </c>
    </row>
    <row r="5910" spans="1:8" x14ac:dyDescent="0.3">
      <c r="A5910" t="s">
        <v>1961</v>
      </c>
      <c r="B5910" t="s">
        <v>1971</v>
      </c>
      <c r="C5910">
        <v>3</v>
      </c>
      <c r="D5910" t="s">
        <v>1447</v>
      </c>
      <c r="E5910" t="s">
        <v>1972</v>
      </c>
      <c r="F5910" t="s">
        <v>1748</v>
      </c>
      <c r="H5910" s="165" t="str">
        <f>IF(ISBLANK('Q 6'!$G$71),"",IF('Q 6'!$G$71="&lt;please select&gt;","",'Q 6'!$G$71))</f>
        <v>0</v>
      </c>
    </row>
    <row r="5911" spans="1:8" x14ac:dyDescent="0.3">
      <c r="A5911" t="s">
        <v>1961</v>
      </c>
      <c r="B5911" t="s">
        <v>1971</v>
      </c>
      <c r="C5911">
        <v>3</v>
      </c>
      <c r="D5911" t="s">
        <v>1447</v>
      </c>
      <c r="E5911" t="s">
        <v>1973</v>
      </c>
      <c r="F5911" t="s">
        <v>1748</v>
      </c>
      <c r="H5911" s="165" t="str">
        <f>IF(ISBLANK('Q 6'!$H$71),"",IF('Q 6'!$H$71="&lt;please select&gt;","",'Q 6'!$H$71))</f>
        <v>0</v>
      </c>
    </row>
    <row r="5912" spans="1:8" x14ac:dyDescent="0.3">
      <c r="A5912" t="s">
        <v>1961</v>
      </c>
      <c r="B5912" t="s">
        <v>1971</v>
      </c>
      <c r="C5912">
        <v>3</v>
      </c>
      <c r="D5912" t="s">
        <v>1447</v>
      </c>
      <c r="E5912" t="s">
        <v>1974</v>
      </c>
      <c r="F5912" t="s">
        <v>1748</v>
      </c>
      <c r="H5912" s="165" t="str">
        <f>IF(ISBLANK('Q 6'!$I$71),"",IF('Q 6'!$I$71="&lt;please select&gt;","",'Q 6'!$I$71))</f>
        <v>0</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18</v>
      </c>
    </row>
    <row r="6194" spans="1:11" x14ac:dyDescent="0.3">
      <c r="A6194" t="s">
        <v>1975</v>
      </c>
      <c r="B6194" t="s">
        <v>1983</v>
      </c>
      <c r="C6194">
        <v>2</v>
      </c>
      <c r="D6194" t="s">
        <v>1447</v>
      </c>
      <c r="E6194" t="s">
        <v>1984</v>
      </c>
      <c r="F6194" t="s">
        <v>1748</v>
      </c>
      <c r="H6194" s="165" t="str">
        <f>IF(ISBLANK('Q 6'!H126),"",IF('Q 6'!H126="&lt;please select&gt;","",'Q 6'!H126))</f>
        <v>0</v>
      </c>
    </row>
    <row r="6195" spans="1:11" x14ac:dyDescent="0.3">
      <c r="A6195" t="s">
        <v>1975</v>
      </c>
      <c r="B6195" t="s">
        <v>1983</v>
      </c>
      <c r="C6195">
        <v>3</v>
      </c>
      <c r="D6195" t="s">
        <v>1447</v>
      </c>
      <c r="E6195" t="s">
        <v>1984</v>
      </c>
      <c r="F6195" t="s">
        <v>1748</v>
      </c>
      <c r="H6195" s="165" t="str">
        <f>IF(ISBLANK('Q 6'!H127),"",IF('Q 6'!H127="&lt;please select&gt;","",'Q 6'!H127))</f>
        <v>0</v>
      </c>
    </row>
    <row r="6196" spans="1:11" x14ac:dyDescent="0.3">
      <c r="A6196" t="s">
        <v>1975</v>
      </c>
      <c r="B6196" t="s">
        <v>1983</v>
      </c>
      <c r="C6196">
        <v>4</v>
      </c>
      <c r="D6196" t="s">
        <v>1447</v>
      </c>
      <c r="E6196" t="s">
        <v>1984</v>
      </c>
      <c r="F6196" t="s">
        <v>1748</v>
      </c>
      <c r="H6196" s="165" t="str">
        <f>IF(ISBLANK('Q 6'!H128),"",IF('Q 6'!H128="&lt;please select&gt;","",'Q 6'!H128))</f>
        <v>0</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20 - Combustion of fuels as specified in Annex I of Directive 2003/87/EC</v>
      </c>
    </row>
    <row r="6199" spans="1:11" x14ac:dyDescent="0.3">
      <c r="A6199" t="s">
        <v>1985</v>
      </c>
      <c r="B6199" t="s">
        <v>1987</v>
      </c>
      <c r="C6199">
        <v>2</v>
      </c>
      <c r="D6199" t="s">
        <v>1447</v>
      </c>
      <c r="E6199" t="s">
        <v>1988</v>
      </c>
      <c r="F6199" t="s">
        <v>1737</v>
      </c>
      <c r="K6199" t="str">
        <f>IF(ISBLANK('Q 6'!C134),"",IF('Q 6'!C134="&lt;please select&gt;","",'Q 6'!C134))</f>
        <v>20 - Combustion of fuels as specified in Annex I of Directive 2003/87/EC</v>
      </c>
    </row>
    <row r="6200" spans="1:11" x14ac:dyDescent="0.3">
      <c r="A6200" t="s">
        <v>1985</v>
      </c>
      <c r="B6200" t="s">
        <v>1987</v>
      </c>
      <c r="C6200">
        <v>3</v>
      </c>
      <c r="D6200" t="s">
        <v>1447</v>
      </c>
      <c r="E6200" t="s">
        <v>1988</v>
      </c>
      <c r="F6200" t="s">
        <v>1737</v>
      </c>
      <c r="K6200" t="str">
        <f>IF(ISBLANK('Q 6'!C135),"",IF('Q 6'!C135="&lt;please select&gt;","",'Q 6'!C135))</f>
        <v>20 - Combustion of fuels as specified in Annex I of Directive 2003/87/EC</v>
      </c>
    </row>
    <row r="6201" spans="1:11" x14ac:dyDescent="0.3">
      <c r="A6201" t="s">
        <v>1985</v>
      </c>
      <c r="B6201" t="s">
        <v>1987</v>
      </c>
      <c r="C6201">
        <v>4</v>
      </c>
      <c r="D6201" t="s">
        <v>1447</v>
      </c>
      <c r="E6201" t="s">
        <v>1988</v>
      </c>
      <c r="F6201" t="s">
        <v>1737</v>
      </c>
      <c r="K6201" t="str">
        <f>IF(ISBLANK('Q 6'!C136),"",IF('Q 6'!C136="&lt;please select&gt;","",'Q 6'!C136))</f>
        <v>20 - Combustion of fuels as specified in Annex I of Directive 2003/87/EC</v>
      </c>
    </row>
    <row r="6202" spans="1:11" x14ac:dyDescent="0.3">
      <c r="A6202" t="s">
        <v>1985</v>
      </c>
      <c r="B6202" t="s">
        <v>1987</v>
      </c>
      <c r="C6202">
        <v>5</v>
      </c>
      <c r="D6202" t="s">
        <v>1447</v>
      </c>
      <c r="E6202" t="s">
        <v>1988</v>
      </c>
      <c r="F6202" t="s">
        <v>1737</v>
      </c>
      <c r="K6202" t="str">
        <f>IF(ISBLANK('Q 6'!C137),"",IF('Q 6'!C137="&lt;please select&gt;","",'Q 6'!C137))</f>
        <v>21 - Refining of mineral oil</v>
      </c>
    </row>
    <row r="6203" spans="1:11" x14ac:dyDescent="0.3">
      <c r="A6203" t="s">
        <v>1985</v>
      </c>
      <c r="B6203" t="s">
        <v>1987</v>
      </c>
      <c r="C6203">
        <v>6</v>
      </c>
      <c r="D6203" t="s">
        <v>1447</v>
      </c>
      <c r="E6203" t="s">
        <v>1988</v>
      </c>
      <c r="F6203" t="s">
        <v>1737</v>
      </c>
      <c r="K6203" t="str">
        <f>IF(ISBLANK('Q 6'!C138),"",IF('Q 6'!C138="&lt;please select&gt;","",'Q 6'!C138))</f>
        <v>21 - Refining of mineral oil</v>
      </c>
    </row>
    <row r="6204" spans="1:11" x14ac:dyDescent="0.3">
      <c r="A6204" t="s">
        <v>1985</v>
      </c>
      <c r="B6204" t="s">
        <v>1987</v>
      </c>
      <c r="C6204">
        <v>7</v>
      </c>
      <c r="D6204" t="s">
        <v>1447</v>
      </c>
      <c r="E6204" t="s">
        <v>1988</v>
      </c>
      <c r="F6204" t="s">
        <v>1737</v>
      </c>
      <c r="K6204" t="str">
        <f>IF(ISBLANK('Q 6'!C139),"",IF('Q 6'!C139="&lt;please select&gt;","",'Q 6'!C139))</f>
        <v>21 - Refining of mineral oil</v>
      </c>
    </row>
    <row r="6205" spans="1:11" x14ac:dyDescent="0.3">
      <c r="A6205" t="s">
        <v>1985</v>
      </c>
      <c r="B6205" t="s">
        <v>1987</v>
      </c>
      <c r="C6205">
        <v>8</v>
      </c>
      <c r="D6205" t="s">
        <v>1447</v>
      </c>
      <c r="E6205" t="s">
        <v>1988</v>
      </c>
      <c r="F6205" t="s">
        <v>1737</v>
      </c>
      <c r="K6205" t="str">
        <f>IF(ISBLANK('Q 6'!C140),"",IF('Q 6'!C140="&lt;please select&gt;","",'Q 6'!C140))</f>
        <v xml:space="preserve">22 - Production of coke </v>
      </c>
    </row>
    <row r="6206" spans="1:11" x14ac:dyDescent="0.3">
      <c r="A6206" t="s">
        <v>1985</v>
      </c>
      <c r="B6206" t="s">
        <v>1987</v>
      </c>
      <c r="C6206">
        <v>9</v>
      </c>
      <c r="D6206" t="s">
        <v>1447</v>
      </c>
      <c r="E6206" t="s">
        <v>1988</v>
      </c>
      <c r="F6206" t="s">
        <v>1737</v>
      </c>
      <c r="K6206" t="str">
        <f>IF(ISBLANK('Q 6'!C141),"",IF('Q 6'!C141="&lt;please select&gt;","",'Q 6'!C141))</f>
        <v xml:space="preserve">22 - Production of coke </v>
      </c>
    </row>
    <row r="6207" spans="1:11" x14ac:dyDescent="0.3">
      <c r="A6207" t="s">
        <v>1985</v>
      </c>
      <c r="B6207" t="s">
        <v>1987</v>
      </c>
      <c r="C6207">
        <v>10</v>
      </c>
      <c r="D6207" t="s">
        <v>1447</v>
      </c>
      <c r="E6207" t="s">
        <v>1988</v>
      </c>
      <c r="F6207" t="s">
        <v>1737</v>
      </c>
      <c r="K6207" t="str">
        <f>IF(ISBLANK('Q 6'!C142),"",IF('Q 6'!C142="&lt;please select&gt;","",'Q 6'!C142))</f>
        <v>24 - Production of pig iron or steel as specified in Annex I of Directive 2003/87/EC</v>
      </c>
    </row>
    <row r="6208" spans="1:11" x14ac:dyDescent="0.3">
      <c r="A6208" t="s">
        <v>1985</v>
      </c>
      <c r="B6208" t="s">
        <v>1987</v>
      </c>
      <c r="C6208">
        <v>11</v>
      </c>
      <c r="D6208" t="s">
        <v>1447</v>
      </c>
      <c r="E6208" t="s">
        <v>1988</v>
      </c>
      <c r="F6208" t="s">
        <v>1737</v>
      </c>
      <c r="K6208" t="str">
        <f>IF(ISBLANK('Q 6'!C143),"",IF('Q 6'!C143="&lt;please select&gt;","",'Q 6'!C143))</f>
        <v>24 - Production of pig iron or steel as specified in Annex I of Directive 2003/87/EC</v>
      </c>
    </row>
    <row r="6209" spans="1:11" x14ac:dyDescent="0.3">
      <c r="A6209" t="s">
        <v>1985</v>
      </c>
      <c r="B6209" t="s">
        <v>1987</v>
      </c>
      <c r="C6209">
        <v>12</v>
      </c>
      <c r="D6209" t="s">
        <v>1447</v>
      </c>
      <c r="E6209" t="s">
        <v>1988</v>
      </c>
      <c r="F6209" t="s">
        <v>1737</v>
      </c>
      <c r="K6209" t="str">
        <f>IF(ISBLANK('Q 6'!C144),"",IF('Q 6'!C144="&lt;please select&gt;","",'Q 6'!C144))</f>
        <v>25 - Production or processing of ferrous metals as specified in Annex I of Directive 2003/87/EC</v>
      </c>
    </row>
    <row r="6210" spans="1:11" x14ac:dyDescent="0.3">
      <c r="A6210" t="s">
        <v>1985</v>
      </c>
      <c r="B6210" t="s">
        <v>1987</v>
      </c>
      <c r="C6210">
        <v>13</v>
      </c>
      <c r="D6210" t="s">
        <v>1447</v>
      </c>
      <c r="E6210" t="s">
        <v>1988</v>
      </c>
      <c r="F6210" t="s">
        <v>1737</v>
      </c>
      <c r="K6210" t="str">
        <f>IF(ISBLANK('Q 6'!C145),"",IF('Q 6'!C145="&lt;please select&gt;","",'Q 6'!C145))</f>
        <v>25 - Production or processing of ferrous metals as specified in Annex I of Directive 2003/87/EC</v>
      </c>
    </row>
    <row r="6211" spans="1:11" x14ac:dyDescent="0.3">
      <c r="A6211" t="s">
        <v>1985</v>
      </c>
      <c r="B6211" t="s">
        <v>1987</v>
      </c>
      <c r="C6211">
        <v>14</v>
      </c>
      <c r="D6211" t="s">
        <v>1447</v>
      </c>
      <c r="E6211" t="s">
        <v>1988</v>
      </c>
      <c r="F6211" t="s">
        <v>1737</v>
      </c>
      <c r="K6211" t="str">
        <f>IF(ISBLANK('Q 6'!C146),"",IF('Q 6'!C146="&lt;please select&gt;","",'Q 6'!C146))</f>
        <v>28 - Production or processing of non-ferrous metals as specified in Annex I of Directive 2003/87/EC</v>
      </c>
    </row>
    <row r="6212" spans="1:11" x14ac:dyDescent="0.3">
      <c r="A6212" t="s">
        <v>1985</v>
      </c>
      <c r="B6212" t="s">
        <v>1987</v>
      </c>
      <c r="C6212">
        <v>15</v>
      </c>
      <c r="D6212" t="s">
        <v>1447</v>
      </c>
      <c r="E6212" t="s">
        <v>1988</v>
      </c>
      <c r="F6212" t="s">
        <v>1737</v>
      </c>
      <c r="K6212" t="str">
        <f>IF(ISBLANK('Q 6'!C147),"",IF('Q 6'!C147="&lt;please select&gt;","",'Q 6'!C147))</f>
        <v>28 - Production or processing of non-ferrous metals as specified in Annex I of Directive 2003/87/EC</v>
      </c>
    </row>
    <row r="6213" spans="1:11" x14ac:dyDescent="0.3">
      <c r="A6213" t="s">
        <v>1985</v>
      </c>
      <c r="B6213" t="s">
        <v>1987</v>
      </c>
      <c r="C6213">
        <v>16</v>
      </c>
      <c r="D6213" t="s">
        <v>1447</v>
      </c>
      <c r="E6213" t="s">
        <v>1988</v>
      </c>
      <c r="F6213" t="s">
        <v>1737</v>
      </c>
      <c r="K6213" t="str">
        <f>IF(ISBLANK('Q 6'!C148),"",IF('Q 6'!C148="&lt;please select&gt;","",'Q 6'!C148))</f>
        <v>28 - Production or processing of non-ferrous metals as specified in Annex I of Directive 2003/87/EC</v>
      </c>
    </row>
    <row r="6214" spans="1:11" x14ac:dyDescent="0.3">
      <c r="A6214" t="s">
        <v>1985</v>
      </c>
      <c r="B6214" t="s">
        <v>1987</v>
      </c>
      <c r="C6214">
        <v>17</v>
      </c>
      <c r="D6214" t="s">
        <v>1447</v>
      </c>
      <c r="E6214" t="s">
        <v>1988</v>
      </c>
      <c r="F6214" t="s">
        <v>1737</v>
      </c>
      <c r="K6214" t="str">
        <f>IF(ISBLANK('Q 6'!C149),"",IF('Q 6'!C149="&lt;please select&gt;","",'Q 6'!C149))</f>
        <v>29 - Production of cement clinker in rotary kilns as specified in Annex I of Directive 2003/87/ EC</v>
      </c>
    </row>
    <row r="6215" spans="1:11" x14ac:dyDescent="0.3">
      <c r="A6215" t="s">
        <v>1985</v>
      </c>
      <c r="B6215" t="s">
        <v>1987</v>
      </c>
      <c r="C6215">
        <v>18</v>
      </c>
      <c r="D6215" t="s">
        <v>1447</v>
      </c>
      <c r="E6215" t="s">
        <v>1988</v>
      </c>
      <c r="F6215" t="s">
        <v>1737</v>
      </c>
      <c r="K6215" t="str">
        <f>IF(ISBLANK('Q 6'!C150),"",IF('Q 6'!C150="&lt;please select&gt;","",'Q 6'!C150))</f>
        <v>29 - Production of cement clinker in rotary kilns as specified in Annex I of Directive 2003/87/ EC</v>
      </c>
    </row>
    <row r="6216" spans="1:11" x14ac:dyDescent="0.3">
      <c r="A6216" t="s">
        <v>1985</v>
      </c>
      <c r="B6216" t="s">
        <v>1987</v>
      </c>
      <c r="C6216">
        <v>19</v>
      </c>
      <c r="D6216" t="s">
        <v>1447</v>
      </c>
      <c r="E6216" t="s">
        <v>1988</v>
      </c>
      <c r="F6216" t="s">
        <v>1737</v>
      </c>
      <c r="K6216" t="str">
        <f>IF(ISBLANK('Q 6'!C151),"",IF('Q 6'!C151="&lt;please select&gt;","",'Q 6'!C151))</f>
        <v>30 - Production of lime or calcination of dolomite or magnesite as specified in Annex I of Directive 2003/87/ EC</v>
      </c>
    </row>
    <row r="6217" spans="1:11" x14ac:dyDescent="0.3">
      <c r="A6217" t="s">
        <v>1985</v>
      </c>
      <c r="B6217" t="s">
        <v>1987</v>
      </c>
      <c r="C6217">
        <v>20</v>
      </c>
      <c r="D6217" t="s">
        <v>1447</v>
      </c>
      <c r="E6217" t="s">
        <v>1988</v>
      </c>
      <c r="F6217" t="s">
        <v>1737</v>
      </c>
      <c r="K6217" t="str">
        <f>IF(ISBLANK('Q 6'!C152),"",IF('Q 6'!C152="&lt;please select&gt;","",'Q 6'!C152))</f>
        <v>31 - Manufacture of glass as specified in Annex I of Directive 2003/87/EC</v>
      </c>
    </row>
    <row r="6218" spans="1:11" x14ac:dyDescent="0.3">
      <c r="A6218" t="s">
        <v>1985</v>
      </c>
      <c r="B6218" t="s">
        <v>1987</v>
      </c>
      <c r="C6218">
        <v>21</v>
      </c>
      <c r="D6218" t="s">
        <v>1447</v>
      </c>
      <c r="E6218" t="s">
        <v>1988</v>
      </c>
      <c r="F6218" t="s">
        <v>1737</v>
      </c>
      <c r="K6218" t="str">
        <f>IF(ISBLANK('Q 6'!C153),"",IF('Q 6'!C153="&lt;please select&gt;","",'Q 6'!C153))</f>
        <v>31 - Manufacture of glass as specified in Annex I of Directive 2003/87/EC</v>
      </c>
    </row>
    <row r="6219" spans="1:11" x14ac:dyDescent="0.3">
      <c r="A6219" t="s">
        <v>1985</v>
      </c>
      <c r="B6219" t="s">
        <v>1987</v>
      </c>
      <c r="C6219">
        <v>22</v>
      </c>
      <c r="D6219" t="s">
        <v>1447</v>
      </c>
      <c r="E6219" t="s">
        <v>1988</v>
      </c>
      <c r="F6219" t="s">
        <v>1737</v>
      </c>
      <c r="K6219" t="str">
        <f>IF(ISBLANK('Q 6'!C154),"",IF('Q 6'!C154="&lt;please select&gt;","",'Q 6'!C154))</f>
        <v>31 - Manufacture of glass as specified in Annex I of Directive 2003/87/EC</v>
      </c>
    </row>
    <row r="6220" spans="1:11" x14ac:dyDescent="0.3">
      <c r="A6220" t="s">
        <v>1985</v>
      </c>
      <c r="B6220" t="s">
        <v>1987</v>
      </c>
      <c r="C6220">
        <v>23</v>
      </c>
      <c r="D6220" t="s">
        <v>1447</v>
      </c>
      <c r="E6220" t="s">
        <v>1988</v>
      </c>
      <c r="F6220" t="s">
        <v>1737</v>
      </c>
      <c r="K6220" t="str">
        <f>IF(ISBLANK('Q 6'!C155),"",IF('Q 6'!C155="&lt;please select&gt;","",'Q 6'!C155))</f>
        <v>32 - Manufacture of ceramic products as specified in Annex I of Directive 2003/87/EC</v>
      </c>
    </row>
    <row r="6221" spans="1:11" x14ac:dyDescent="0.3">
      <c r="A6221" t="s">
        <v>1985</v>
      </c>
      <c r="B6221" t="s">
        <v>1987</v>
      </c>
      <c r="C6221">
        <v>24</v>
      </c>
      <c r="D6221" t="s">
        <v>1447</v>
      </c>
      <c r="E6221" t="s">
        <v>1988</v>
      </c>
      <c r="F6221" t="s">
        <v>1737</v>
      </c>
      <c r="K6221" t="str">
        <f>IF(ISBLANK('Q 6'!C156),"",IF('Q 6'!C156="&lt;please select&gt;","",'Q 6'!C156))</f>
        <v>32 - Manufacture of ceramic products as specified in Annex I of Directive 2003/87/EC</v>
      </c>
    </row>
    <row r="6222" spans="1:11" x14ac:dyDescent="0.3">
      <c r="A6222" t="s">
        <v>1985</v>
      </c>
      <c r="B6222" t="s">
        <v>1987</v>
      </c>
      <c r="C6222">
        <v>25</v>
      </c>
      <c r="D6222" t="s">
        <v>1447</v>
      </c>
      <c r="E6222" t="s">
        <v>1988</v>
      </c>
      <c r="F6222" t="s">
        <v>1737</v>
      </c>
      <c r="K6222" t="str">
        <f>IF(ISBLANK('Q 6'!C157),"",IF('Q 6'!C157="&lt;please select&gt;","",'Q 6'!C157))</f>
        <v>31 - Manufacture of glass as specified in Annex I of Directive 2003/87/EC</v>
      </c>
    </row>
    <row r="6223" spans="1:11" x14ac:dyDescent="0.3">
      <c r="A6223" t="s">
        <v>1985</v>
      </c>
      <c r="B6223" t="s">
        <v>1987</v>
      </c>
      <c r="C6223">
        <v>26</v>
      </c>
      <c r="D6223" t="s">
        <v>1447</v>
      </c>
      <c r="E6223" t="s">
        <v>1988</v>
      </c>
      <c r="F6223" t="s">
        <v>1737</v>
      </c>
      <c r="K6223" t="str">
        <f>IF(ISBLANK('Q 6'!C158),"",IF('Q 6'!C158="&lt;please select&gt;","",'Q 6'!C158))</f>
        <v>32 - Manufacture of ceramic products as specified in Annex I of Directive 2003/87/EC</v>
      </c>
    </row>
    <row r="6224" spans="1:11" x14ac:dyDescent="0.3">
      <c r="A6224" t="s">
        <v>1985</v>
      </c>
      <c r="B6224" t="s">
        <v>1987</v>
      </c>
      <c r="C6224">
        <v>27</v>
      </c>
      <c r="D6224" t="s">
        <v>1447</v>
      </c>
      <c r="E6224" t="s">
        <v>1988</v>
      </c>
      <c r="F6224" t="s">
        <v>1737</v>
      </c>
      <c r="K6224" t="str">
        <f>IF(ISBLANK('Q 6'!C159),"",IF('Q 6'!C159="&lt;please select&gt;","",'Q 6'!C159))</f>
        <v>33 - Manufacture of mineral wool insulation material using glass, rock or slag as specified in Annex I of Directive 2003/87/EC</v>
      </c>
    </row>
    <row r="6225" spans="1:11" x14ac:dyDescent="0.3">
      <c r="A6225" t="s">
        <v>1985</v>
      </c>
      <c r="B6225" t="s">
        <v>1987</v>
      </c>
      <c r="C6225">
        <v>28</v>
      </c>
      <c r="D6225" t="s">
        <v>1447</v>
      </c>
      <c r="E6225" t="s">
        <v>1988</v>
      </c>
      <c r="F6225" t="s">
        <v>1737</v>
      </c>
      <c r="K6225" t="str">
        <f>IF(ISBLANK('Q 6'!C160),"",IF('Q 6'!C160="&lt;please select&gt;","",'Q 6'!C160))</f>
        <v>33 - Manufacture of mineral wool insulation material using glass, rock or slag as specified in Annex I of Directive 2003/87/EC</v>
      </c>
    </row>
    <row r="6226" spans="1:11" x14ac:dyDescent="0.3">
      <c r="A6226" t="s">
        <v>1985</v>
      </c>
      <c r="B6226" t="s">
        <v>1987</v>
      </c>
      <c r="C6226">
        <v>29</v>
      </c>
      <c r="D6226" t="s">
        <v>1447</v>
      </c>
      <c r="E6226" t="s">
        <v>1988</v>
      </c>
      <c r="F6226" t="s">
        <v>1737</v>
      </c>
      <c r="K6226" t="str">
        <f>IF(ISBLANK('Q 6'!C161),"",IF('Q 6'!C161="&lt;please select&gt;","",'Q 6'!C161))</f>
        <v>33 - Manufacture of mineral wool insulation material using glass, rock or slag as specified in Annex I of Directive 2003/87/EC</v>
      </c>
    </row>
    <row r="6227" spans="1:11" x14ac:dyDescent="0.3">
      <c r="A6227" t="s">
        <v>1985</v>
      </c>
      <c r="B6227" t="s">
        <v>1987</v>
      </c>
      <c r="C6227">
        <v>30</v>
      </c>
      <c r="D6227" t="s">
        <v>1447</v>
      </c>
      <c r="E6227" t="s">
        <v>1988</v>
      </c>
      <c r="F6227" t="s">
        <v>1737</v>
      </c>
      <c r="K6227" t="str">
        <f>IF(ISBLANK('Q 6'!C162),"",IF('Q 6'!C162="&lt;please select&gt;","",'Q 6'!C162))</f>
        <v>34 - Drying or calcination of gypsum or production of plaster boards and other gypsum products, as specified in Annex I of Directive 2003/87/EC</v>
      </c>
    </row>
    <row r="6228" spans="1:11" x14ac:dyDescent="0.3">
      <c r="A6228" t="s">
        <v>1985</v>
      </c>
      <c r="B6228" t="s">
        <v>1987</v>
      </c>
      <c r="C6228">
        <v>31</v>
      </c>
      <c r="D6228" t="s">
        <v>1447</v>
      </c>
      <c r="E6228" t="s">
        <v>1988</v>
      </c>
      <c r="F6228" t="s">
        <v>1737</v>
      </c>
      <c r="K6228" t="str">
        <f>IF(ISBLANK('Q 6'!C163),"",IF('Q 6'!C163="&lt;please select&gt;","",'Q 6'!C163))</f>
        <v>35 - Production of pulp as specified in Annex I of Directive 2003/87/EC</v>
      </c>
    </row>
    <row r="6229" spans="1:11" x14ac:dyDescent="0.3">
      <c r="A6229" t="s">
        <v>1985</v>
      </c>
      <c r="B6229" t="s">
        <v>1987</v>
      </c>
      <c r="C6229">
        <v>32</v>
      </c>
      <c r="D6229" t="s">
        <v>1447</v>
      </c>
      <c r="E6229" t="s">
        <v>1988</v>
      </c>
      <c r="F6229" t="s">
        <v>1737</v>
      </c>
      <c r="K6229" t="str">
        <f>IF(ISBLANK('Q 6'!C164),"",IF('Q 6'!C164="&lt;please select&gt;","",'Q 6'!C164))</f>
        <v>35 - Production of pulp as specified in Annex I of Directive 2003/87/EC</v>
      </c>
    </row>
    <row r="6230" spans="1:11" x14ac:dyDescent="0.3">
      <c r="A6230" t="s">
        <v>1985</v>
      </c>
      <c r="B6230" t="s">
        <v>1987</v>
      </c>
      <c r="C6230">
        <v>33</v>
      </c>
      <c r="D6230" t="s">
        <v>1447</v>
      </c>
      <c r="E6230" t="s">
        <v>1988</v>
      </c>
      <c r="F6230" t="s">
        <v>1737</v>
      </c>
      <c r="K6230" t="str">
        <f>IF(ISBLANK('Q 6'!C165),"",IF('Q 6'!C165="&lt;please select&gt;","",'Q 6'!C165))</f>
        <v xml:space="preserve">36 - Production of paper or cardboard as specified in Annex I of Directive 2003/87/EC </v>
      </c>
    </row>
    <row r="6231" spans="1:11" x14ac:dyDescent="0.3">
      <c r="A6231" t="s">
        <v>1985</v>
      </c>
      <c r="B6231" t="s">
        <v>1987</v>
      </c>
      <c r="C6231">
        <v>34</v>
      </c>
      <c r="D6231" t="s">
        <v>1447</v>
      </c>
      <c r="E6231" t="s">
        <v>1988</v>
      </c>
      <c r="F6231" t="s">
        <v>1737</v>
      </c>
      <c r="K6231" t="str">
        <f>IF(ISBLANK('Q 6'!C166),"",IF('Q 6'!C166="&lt;please select&gt;","",'Q 6'!C166))</f>
        <v xml:space="preserve">36 - Production of paper or cardboard as specified in Annex I of Directive 2003/87/EC </v>
      </c>
    </row>
    <row r="6232" spans="1:11" x14ac:dyDescent="0.3">
      <c r="A6232" t="s">
        <v>1985</v>
      </c>
      <c r="B6232" t="s">
        <v>1987</v>
      </c>
      <c r="C6232">
        <v>35</v>
      </c>
      <c r="D6232" t="s">
        <v>1447</v>
      </c>
      <c r="E6232" t="s">
        <v>1988</v>
      </c>
      <c r="F6232" t="s">
        <v>1737</v>
      </c>
      <c r="K6232" t="str">
        <f>IF(ISBLANK('Q 6'!C167),"",IF('Q 6'!C167="&lt;please select&gt;","",'Q 6'!C167))</f>
        <v xml:space="preserve">38 - Production of nitric acid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Non-compliance with Implementing Regulation (EU) 2018/2066</v>
      </c>
    </row>
    <row r="6289" spans="1:11" x14ac:dyDescent="0.3">
      <c r="A6289" t="s">
        <v>1985</v>
      </c>
      <c r="B6289" t="s">
        <v>1987</v>
      </c>
      <c r="C6289">
        <v>2</v>
      </c>
      <c r="D6289" t="s">
        <v>1447</v>
      </c>
      <c r="E6289" t="s">
        <v>1989</v>
      </c>
      <c r="F6289" t="s">
        <v>1737</v>
      </c>
      <c r="K6289" t="str">
        <f>IF(ISBLANK('Q 6'!E134),"",IF('Q 6'!E134="&lt;please select&gt;","",'Q 6'!E134))</f>
        <v>Non-conformities not leading to a negative verification opinion statement</v>
      </c>
    </row>
    <row r="6290" spans="1:11" x14ac:dyDescent="0.3">
      <c r="A6290" t="s">
        <v>1985</v>
      </c>
      <c r="B6290" t="s">
        <v>1987</v>
      </c>
      <c r="C6290">
        <v>3</v>
      </c>
      <c r="D6290" t="s">
        <v>1447</v>
      </c>
      <c r="E6290" t="s">
        <v>1989</v>
      </c>
      <c r="F6290" t="s">
        <v>1737</v>
      </c>
      <c r="K6290" t="str">
        <f>IF(ISBLANK('Q 6'!E135),"",IF('Q 6'!E135="&lt;please select&gt;","",'Q 6'!E135))</f>
        <v>Non-material misstatements</v>
      </c>
    </row>
    <row r="6291" spans="1:11" x14ac:dyDescent="0.3">
      <c r="A6291" t="s">
        <v>1985</v>
      </c>
      <c r="B6291" t="s">
        <v>1987</v>
      </c>
      <c r="C6291">
        <v>4</v>
      </c>
      <c r="D6291" t="s">
        <v>1447</v>
      </c>
      <c r="E6291" t="s">
        <v>1989</v>
      </c>
      <c r="F6291" t="s">
        <v>1737</v>
      </c>
      <c r="K6291" t="str">
        <f>IF(ISBLANK('Q 6'!E136),"",IF('Q 6'!E136="&lt;please select&gt;","",'Q 6'!E136))</f>
        <v>Recommendations for improvement</v>
      </c>
    </row>
    <row r="6292" spans="1:11" x14ac:dyDescent="0.3">
      <c r="A6292" t="s">
        <v>1985</v>
      </c>
      <c r="B6292" t="s">
        <v>1987</v>
      </c>
      <c r="C6292">
        <v>5</v>
      </c>
      <c r="D6292" t="s">
        <v>1447</v>
      </c>
      <c r="E6292" t="s">
        <v>1989</v>
      </c>
      <c r="F6292" t="s">
        <v>1737</v>
      </c>
      <c r="K6292" t="str">
        <f>IF(ISBLANK('Q 6'!E137),"",IF('Q 6'!E137="&lt;please select&gt;","",'Q 6'!E137))</f>
        <v>Non-compliance with Implementing Regulation (EU) 2018/2066</v>
      </c>
    </row>
    <row r="6293" spans="1:11" x14ac:dyDescent="0.3">
      <c r="A6293" t="s">
        <v>1985</v>
      </c>
      <c r="B6293" t="s">
        <v>1987</v>
      </c>
      <c r="C6293">
        <v>6</v>
      </c>
      <c r="D6293" t="s">
        <v>1447</v>
      </c>
      <c r="E6293" t="s">
        <v>1989</v>
      </c>
      <c r="F6293" t="s">
        <v>1737</v>
      </c>
      <c r="K6293" t="str">
        <f>IF(ISBLANK('Q 6'!E138),"",IF('Q 6'!E138="&lt;please select&gt;","",'Q 6'!E138))</f>
        <v>Non-conformities not leading to a negative verification opinion statement</v>
      </c>
    </row>
    <row r="6294" spans="1:11" x14ac:dyDescent="0.3">
      <c r="A6294" t="s">
        <v>1985</v>
      </c>
      <c r="B6294" t="s">
        <v>1987</v>
      </c>
      <c r="C6294">
        <v>7</v>
      </c>
      <c r="D6294" t="s">
        <v>1447</v>
      </c>
      <c r="E6294" t="s">
        <v>1989</v>
      </c>
      <c r="F6294" t="s">
        <v>1737</v>
      </c>
      <c r="K6294" t="str">
        <f>IF(ISBLANK('Q 6'!E139),"",IF('Q 6'!E139="&lt;please select&gt;","",'Q 6'!E139))</f>
        <v>Recommendations for improvement</v>
      </c>
    </row>
    <row r="6295" spans="1:11" x14ac:dyDescent="0.3">
      <c r="A6295" t="s">
        <v>1985</v>
      </c>
      <c r="B6295" t="s">
        <v>1987</v>
      </c>
      <c r="C6295">
        <v>8</v>
      </c>
      <c r="D6295" t="s">
        <v>1447</v>
      </c>
      <c r="E6295" t="s">
        <v>1989</v>
      </c>
      <c r="F6295" t="s">
        <v>1737</v>
      </c>
      <c r="K6295" t="str">
        <f>IF(ISBLANK('Q 6'!E140),"",IF('Q 6'!E140="&lt;please select&gt;","",'Q 6'!E140))</f>
        <v>Non-compliance with Implementing Regulation (EU) 2018/2066</v>
      </c>
    </row>
    <row r="6296" spans="1:11" x14ac:dyDescent="0.3">
      <c r="A6296" t="s">
        <v>1985</v>
      </c>
      <c r="B6296" t="s">
        <v>1987</v>
      </c>
      <c r="C6296">
        <v>9</v>
      </c>
      <c r="D6296" t="s">
        <v>1447</v>
      </c>
      <c r="E6296" t="s">
        <v>1989</v>
      </c>
      <c r="F6296" t="s">
        <v>1737</v>
      </c>
      <c r="K6296" t="str">
        <f>IF(ISBLANK('Q 6'!E141),"",IF('Q 6'!E141="&lt;please select&gt;","",'Q 6'!E141))</f>
        <v>Recommendations for improvement</v>
      </c>
    </row>
    <row r="6297" spans="1:11" x14ac:dyDescent="0.3">
      <c r="A6297" t="s">
        <v>1985</v>
      </c>
      <c r="B6297" t="s">
        <v>1987</v>
      </c>
      <c r="C6297">
        <v>10</v>
      </c>
      <c r="D6297" t="s">
        <v>1447</v>
      </c>
      <c r="E6297" t="s">
        <v>1989</v>
      </c>
      <c r="F6297" t="s">
        <v>1737</v>
      </c>
      <c r="K6297" t="str">
        <f>IF(ISBLANK('Q 6'!E142),"",IF('Q 6'!E142="&lt;please select&gt;","",'Q 6'!E142))</f>
        <v>Non-compliance with Implementing Regulation (EU) 2018/2066</v>
      </c>
    </row>
    <row r="6298" spans="1:11" x14ac:dyDescent="0.3">
      <c r="A6298" t="s">
        <v>1985</v>
      </c>
      <c r="B6298" t="s">
        <v>1987</v>
      </c>
      <c r="C6298">
        <v>11</v>
      </c>
      <c r="D6298" t="s">
        <v>1447</v>
      </c>
      <c r="E6298" t="s">
        <v>1989</v>
      </c>
      <c r="F6298" t="s">
        <v>1737</v>
      </c>
      <c r="K6298" t="str">
        <f>IF(ISBLANK('Q 6'!E143),"",IF('Q 6'!E143="&lt;please select&gt;","",'Q 6'!E143))</f>
        <v>Recommendations for improvement</v>
      </c>
    </row>
    <row r="6299" spans="1:11" x14ac:dyDescent="0.3">
      <c r="A6299" t="s">
        <v>1985</v>
      </c>
      <c r="B6299" t="s">
        <v>1987</v>
      </c>
      <c r="C6299">
        <v>12</v>
      </c>
      <c r="D6299" t="s">
        <v>1447</v>
      </c>
      <c r="E6299" t="s">
        <v>1989</v>
      </c>
      <c r="F6299" t="s">
        <v>1737</v>
      </c>
      <c r="K6299" t="str">
        <f>IF(ISBLANK('Q 6'!E144),"",IF('Q 6'!E144="&lt;please select&gt;","",'Q 6'!E144))</f>
        <v>Non-compliance with Implementing Regulation (EU) 2018/2066</v>
      </c>
    </row>
    <row r="6300" spans="1:11" x14ac:dyDescent="0.3">
      <c r="A6300" t="s">
        <v>1985</v>
      </c>
      <c r="B6300" t="s">
        <v>1987</v>
      </c>
      <c r="C6300">
        <v>13</v>
      </c>
      <c r="D6300" t="s">
        <v>1447</v>
      </c>
      <c r="E6300" t="s">
        <v>1989</v>
      </c>
      <c r="F6300" t="s">
        <v>1737</v>
      </c>
      <c r="K6300" t="str">
        <f>IF(ISBLANK('Q 6'!E145),"",IF('Q 6'!E145="&lt;please select&gt;","",'Q 6'!E145))</f>
        <v>Recommendations for improvement</v>
      </c>
    </row>
    <row r="6301" spans="1:11" x14ac:dyDescent="0.3">
      <c r="A6301" t="s">
        <v>1985</v>
      </c>
      <c r="B6301" t="s">
        <v>1987</v>
      </c>
      <c r="C6301">
        <v>14</v>
      </c>
      <c r="D6301" t="s">
        <v>1447</v>
      </c>
      <c r="E6301" t="s">
        <v>1989</v>
      </c>
      <c r="F6301" t="s">
        <v>1737</v>
      </c>
      <c r="K6301" t="str">
        <f>IF(ISBLANK('Q 6'!E146),"",IF('Q 6'!E146="&lt;please select&gt;","",'Q 6'!E146))</f>
        <v>Non-compliance with Implementing Regulation (EU) 2018/2066</v>
      </c>
    </row>
    <row r="6302" spans="1:11" x14ac:dyDescent="0.3">
      <c r="A6302" t="s">
        <v>1985</v>
      </c>
      <c r="B6302" t="s">
        <v>1987</v>
      </c>
      <c r="C6302">
        <v>15</v>
      </c>
      <c r="D6302" t="s">
        <v>1447</v>
      </c>
      <c r="E6302" t="s">
        <v>1989</v>
      </c>
      <c r="F6302" t="s">
        <v>1737</v>
      </c>
      <c r="K6302" t="str">
        <f>IF(ISBLANK('Q 6'!E147),"",IF('Q 6'!E147="&lt;please select&gt;","",'Q 6'!E147))</f>
        <v>Non-conformities not leading to a negative verification opinion statement</v>
      </c>
    </row>
    <row r="6303" spans="1:11" x14ac:dyDescent="0.3">
      <c r="A6303" t="s">
        <v>1985</v>
      </c>
      <c r="B6303" t="s">
        <v>1987</v>
      </c>
      <c r="C6303">
        <v>16</v>
      </c>
      <c r="D6303" t="s">
        <v>1447</v>
      </c>
      <c r="E6303" t="s">
        <v>1989</v>
      </c>
      <c r="F6303" t="s">
        <v>1737</v>
      </c>
      <c r="K6303" t="str">
        <f>IF(ISBLANK('Q 6'!E148),"",IF('Q 6'!E148="&lt;please select&gt;","",'Q 6'!E148))</f>
        <v>Recommendations for improvement</v>
      </c>
    </row>
    <row r="6304" spans="1:11" x14ac:dyDescent="0.3">
      <c r="A6304" t="s">
        <v>1985</v>
      </c>
      <c r="B6304" t="s">
        <v>1987</v>
      </c>
      <c r="C6304">
        <v>17</v>
      </c>
      <c r="D6304" t="s">
        <v>1447</v>
      </c>
      <c r="E6304" t="s">
        <v>1989</v>
      </c>
      <c r="F6304" t="s">
        <v>1737</v>
      </c>
      <c r="K6304" t="str">
        <f>IF(ISBLANK('Q 6'!E149),"",IF('Q 6'!E149="&lt;please select&gt;","",'Q 6'!E149))</f>
        <v>Non-compliance with Implementing Regulation (EU) 2018/2066</v>
      </c>
    </row>
    <row r="6305" spans="1:11" x14ac:dyDescent="0.3">
      <c r="A6305" t="s">
        <v>1985</v>
      </c>
      <c r="B6305" t="s">
        <v>1987</v>
      </c>
      <c r="C6305">
        <v>18</v>
      </c>
      <c r="D6305" t="s">
        <v>1447</v>
      </c>
      <c r="E6305" t="s">
        <v>1989</v>
      </c>
      <c r="F6305" t="s">
        <v>1737</v>
      </c>
      <c r="K6305" t="str">
        <f>IF(ISBLANK('Q 6'!E150),"",IF('Q 6'!E150="&lt;please select&gt;","",'Q 6'!E150))</f>
        <v>Recommendations for improvement</v>
      </c>
    </row>
    <row r="6306" spans="1:11" x14ac:dyDescent="0.3">
      <c r="A6306" t="s">
        <v>1985</v>
      </c>
      <c r="B6306" t="s">
        <v>1987</v>
      </c>
      <c r="C6306">
        <v>19</v>
      </c>
      <c r="D6306" t="s">
        <v>1447</v>
      </c>
      <c r="E6306" t="s">
        <v>1989</v>
      </c>
      <c r="F6306" t="s">
        <v>1737</v>
      </c>
      <c r="K6306" t="str">
        <f>IF(ISBLANK('Q 6'!E151),"",IF('Q 6'!E151="&lt;please select&gt;","",'Q 6'!E151))</f>
        <v>Recommendations for improvement</v>
      </c>
    </row>
    <row r="6307" spans="1:11" x14ac:dyDescent="0.3">
      <c r="A6307" t="s">
        <v>1985</v>
      </c>
      <c r="B6307" t="s">
        <v>1987</v>
      </c>
      <c r="C6307">
        <v>20</v>
      </c>
      <c r="D6307" t="s">
        <v>1447</v>
      </c>
      <c r="E6307" t="s">
        <v>1989</v>
      </c>
      <c r="F6307" t="s">
        <v>1737</v>
      </c>
      <c r="K6307" t="str">
        <f>IF(ISBLANK('Q 6'!E152),"",IF('Q 6'!E152="&lt;please select&gt;","",'Q 6'!E152))</f>
        <v>Non-compliance with Implementing Regulation (EU) 2018/2066</v>
      </c>
    </row>
    <row r="6308" spans="1:11" x14ac:dyDescent="0.3">
      <c r="A6308" t="s">
        <v>1985</v>
      </c>
      <c r="B6308" t="s">
        <v>1987</v>
      </c>
      <c r="C6308">
        <v>21</v>
      </c>
      <c r="D6308" t="s">
        <v>1447</v>
      </c>
      <c r="E6308" t="s">
        <v>1989</v>
      </c>
      <c r="F6308" t="s">
        <v>1737</v>
      </c>
      <c r="K6308" t="str">
        <f>IF(ISBLANK('Q 6'!E153),"",IF('Q 6'!E153="&lt;please select&gt;","",'Q 6'!E153))</f>
        <v>Non-conformities not leading to a negative verification opinion statement</v>
      </c>
    </row>
    <row r="6309" spans="1:11" x14ac:dyDescent="0.3">
      <c r="A6309" t="s">
        <v>1985</v>
      </c>
      <c r="B6309" t="s">
        <v>1987</v>
      </c>
      <c r="C6309">
        <v>22</v>
      </c>
      <c r="D6309" t="s">
        <v>1447</v>
      </c>
      <c r="E6309" t="s">
        <v>1989</v>
      </c>
      <c r="F6309" t="s">
        <v>1737</v>
      </c>
      <c r="K6309" t="str">
        <f>IF(ISBLANK('Q 6'!E154),"",IF('Q 6'!E154="&lt;please select&gt;","",'Q 6'!E154))</f>
        <v>Recommendations for improvement</v>
      </c>
    </row>
    <row r="6310" spans="1:11" x14ac:dyDescent="0.3">
      <c r="A6310" t="s">
        <v>1985</v>
      </c>
      <c r="B6310" t="s">
        <v>1987</v>
      </c>
      <c r="C6310">
        <v>23</v>
      </c>
      <c r="D6310" t="s">
        <v>1447</v>
      </c>
      <c r="E6310" t="s">
        <v>1989</v>
      </c>
      <c r="F6310" t="s">
        <v>1737</v>
      </c>
      <c r="K6310" t="str">
        <f>IF(ISBLANK('Q 6'!E155),"",IF('Q 6'!E155="&lt;please select&gt;","",'Q 6'!E155))</f>
        <v>Non-compliance with Implementing Regulation (EU) 2018/2066</v>
      </c>
    </row>
    <row r="6311" spans="1:11" x14ac:dyDescent="0.3">
      <c r="A6311" t="s">
        <v>1985</v>
      </c>
      <c r="B6311" t="s">
        <v>1987</v>
      </c>
      <c r="C6311">
        <v>24</v>
      </c>
      <c r="D6311" t="s">
        <v>1447</v>
      </c>
      <c r="E6311" t="s">
        <v>1989</v>
      </c>
      <c r="F6311" t="s">
        <v>1737</v>
      </c>
      <c r="K6311" t="str">
        <f>IF(ISBLANK('Q 6'!E156),"",IF('Q 6'!E156="&lt;please select&gt;","",'Q 6'!E156))</f>
        <v>Non-conformities not leading to a negative verification opinion statement</v>
      </c>
    </row>
    <row r="6312" spans="1:11" x14ac:dyDescent="0.3">
      <c r="A6312" t="s">
        <v>1985</v>
      </c>
      <c r="B6312" t="s">
        <v>1987</v>
      </c>
      <c r="C6312">
        <v>25</v>
      </c>
      <c r="D6312" t="s">
        <v>1447</v>
      </c>
      <c r="E6312" t="s">
        <v>1989</v>
      </c>
      <c r="F6312" t="s">
        <v>1737</v>
      </c>
      <c r="K6312" t="str">
        <f>IF(ISBLANK('Q 6'!E157),"",IF('Q 6'!E157="&lt;please select&gt;","",'Q 6'!E157))</f>
        <v>Non-material misstatements</v>
      </c>
    </row>
    <row r="6313" spans="1:11" x14ac:dyDescent="0.3">
      <c r="A6313" t="s">
        <v>1985</v>
      </c>
      <c r="B6313" t="s">
        <v>1987</v>
      </c>
      <c r="C6313">
        <v>26</v>
      </c>
      <c r="D6313" t="s">
        <v>1447</v>
      </c>
      <c r="E6313" t="s">
        <v>1989</v>
      </c>
      <c r="F6313" t="s">
        <v>1737</v>
      </c>
      <c r="K6313" t="str">
        <f>IF(ISBLANK('Q 6'!E158),"",IF('Q 6'!E158="&lt;please select&gt;","",'Q 6'!E158))</f>
        <v>Recommendations for improvement</v>
      </c>
    </row>
    <row r="6314" spans="1:11" x14ac:dyDescent="0.3">
      <c r="A6314" t="s">
        <v>1985</v>
      </c>
      <c r="B6314" t="s">
        <v>1987</v>
      </c>
      <c r="C6314">
        <v>27</v>
      </c>
      <c r="D6314" t="s">
        <v>1447</v>
      </c>
      <c r="E6314" t="s">
        <v>1989</v>
      </c>
      <c r="F6314" t="s">
        <v>1737</v>
      </c>
      <c r="K6314" t="str">
        <f>IF(ISBLANK('Q 6'!E159),"",IF('Q 6'!E159="&lt;please select&gt;","",'Q 6'!E159))</f>
        <v>Non-compliance with Implementing Regulation (EU) 2018/2066</v>
      </c>
    </row>
    <row r="6315" spans="1:11" x14ac:dyDescent="0.3">
      <c r="A6315" t="s">
        <v>1985</v>
      </c>
      <c r="B6315" t="s">
        <v>1987</v>
      </c>
      <c r="C6315">
        <v>28</v>
      </c>
      <c r="D6315" t="s">
        <v>1447</v>
      </c>
      <c r="E6315" t="s">
        <v>1989</v>
      </c>
      <c r="F6315" t="s">
        <v>1737</v>
      </c>
      <c r="K6315" t="str">
        <f>IF(ISBLANK('Q 6'!E160),"",IF('Q 6'!E160="&lt;please select&gt;","",'Q 6'!E160))</f>
        <v>Non-conformities not leading to a negative verification opinion statement</v>
      </c>
    </row>
    <row r="6316" spans="1:11" x14ac:dyDescent="0.3">
      <c r="A6316" t="s">
        <v>1985</v>
      </c>
      <c r="B6316" t="s">
        <v>1987</v>
      </c>
      <c r="C6316">
        <v>29</v>
      </c>
      <c r="D6316" t="s">
        <v>1447</v>
      </c>
      <c r="E6316" t="s">
        <v>1989</v>
      </c>
      <c r="F6316" t="s">
        <v>1737</v>
      </c>
      <c r="K6316" t="str">
        <f>IF(ISBLANK('Q 6'!E161),"",IF('Q 6'!E161="&lt;please select&gt;","",'Q 6'!E161))</f>
        <v>Recommendations for improvement</v>
      </c>
    </row>
    <row r="6317" spans="1:11" x14ac:dyDescent="0.3">
      <c r="A6317" t="s">
        <v>1985</v>
      </c>
      <c r="B6317" t="s">
        <v>1987</v>
      </c>
      <c r="C6317">
        <v>30</v>
      </c>
      <c r="D6317" t="s">
        <v>1447</v>
      </c>
      <c r="E6317" t="s">
        <v>1989</v>
      </c>
      <c r="F6317" t="s">
        <v>1737</v>
      </c>
      <c r="K6317" t="str">
        <f>IF(ISBLANK('Q 6'!E162),"",IF('Q 6'!E162="&lt;please select&gt;","",'Q 6'!E162))</f>
        <v>Non-compliance with Implementing Regulation (EU) 2018/2066</v>
      </c>
    </row>
    <row r="6318" spans="1:11" x14ac:dyDescent="0.3">
      <c r="A6318" t="s">
        <v>1985</v>
      </c>
      <c r="B6318" t="s">
        <v>1987</v>
      </c>
      <c r="C6318">
        <v>31</v>
      </c>
      <c r="D6318" t="s">
        <v>1447</v>
      </c>
      <c r="E6318" t="s">
        <v>1989</v>
      </c>
      <c r="F6318" t="s">
        <v>1737</v>
      </c>
      <c r="K6318" t="str">
        <f>IF(ISBLANK('Q 6'!E163),"",IF('Q 6'!E163="&lt;please select&gt;","",'Q 6'!E163))</f>
        <v>Non-compliance with Implementing Regulation (EU) 2018/2066</v>
      </c>
    </row>
    <row r="6319" spans="1:11" x14ac:dyDescent="0.3">
      <c r="A6319" t="s">
        <v>1985</v>
      </c>
      <c r="B6319" t="s">
        <v>1987</v>
      </c>
      <c r="C6319">
        <v>32</v>
      </c>
      <c r="D6319" t="s">
        <v>1447</v>
      </c>
      <c r="E6319" t="s">
        <v>1989</v>
      </c>
      <c r="F6319" t="s">
        <v>1737</v>
      </c>
      <c r="K6319" t="str">
        <f>IF(ISBLANK('Q 6'!E164),"",IF('Q 6'!E164="&lt;please select&gt;","",'Q 6'!E164))</f>
        <v>Recommendations for improvement</v>
      </c>
    </row>
    <row r="6320" spans="1:11" x14ac:dyDescent="0.3">
      <c r="A6320" t="s">
        <v>1985</v>
      </c>
      <c r="B6320" t="s">
        <v>1987</v>
      </c>
      <c r="C6320">
        <v>33</v>
      </c>
      <c r="D6320" t="s">
        <v>1447</v>
      </c>
      <c r="E6320" t="s">
        <v>1989</v>
      </c>
      <c r="F6320" t="s">
        <v>1737</v>
      </c>
      <c r="K6320" t="str">
        <f>IF(ISBLANK('Q 6'!E165),"",IF('Q 6'!E165="&lt;please select&gt;","",'Q 6'!E165))</f>
        <v>Non-compliance with Implementing Regulation (EU) 2018/2066</v>
      </c>
    </row>
    <row r="6321" spans="1:11" x14ac:dyDescent="0.3">
      <c r="A6321" t="s">
        <v>1985</v>
      </c>
      <c r="B6321" t="s">
        <v>1987</v>
      </c>
      <c r="C6321">
        <v>34</v>
      </c>
      <c r="D6321" t="s">
        <v>1447</v>
      </c>
      <c r="E6321" t="s">
        <v>1989</v>
      </c>
      <c r="F6321" t="s">
        <v>1737</v>
      </c>
      <c r="K6321" t="str">
        <f>IF(ISBLANK('Q 6'!E166),"",IF('Q 6'!E166="&lt;please select&gt;","",'Q 6'!E166))</f>
        <v>Recommendations for improvement</v>
      </c>
    </row>
    <row r="6322" spans="1:11" x14ac:dyDescent="0.3">
      <c r="A6322" t="s">
        <v>1985</v>
      </c>
      <c r="B6322" t="s">
        <v>1987</v>
      </c>
      <c r="C6322">
        <v>35</v>
      </c>
      <c r="D6322" t="s">
        <v>1447</v>
      </c>
      <c r="E6322" t="s">
        <v>1989</v>
      </c>
      <c r="F6322" t="s">
        <v>1737</v>
      </c>
      <c r="K6322" t="str">
        <f>IF(ISBLANK('Q 6'!E167),"",IF('Q 6'!E167="&lt;please select&gt;","",'Q 6'!E167))</f>
        <v>Non-material misstatements</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44</v>
      </c>
    </row>
    <row r="6379" spans="1:11" x14ac:dyDescent="0.3">
      <c r="A6379" t="s">
        <v>1985</v>
      </c>
      <c r="B6379" t="s">
        <v>1987</v>
      </c>
      <c r="C6379">
        <v>2</v>
      </c>
      <c r="D6379" t="s">
        <v>1447</v>
      </c>
      <c r="E6379" t="s">
        <v>1798</v>
      </c>
      <c r="F6379" t="s">
        <v>1748</v>
      </c>
      <c r="H6379" s="165" t="str">
        <f>IF(ISBLANK('Q 6'!G134),"",IF('Q 6'!G134="&lt;please select&gt;","",'Q 6'!G134))</f>
        <v>10</v>
      </c>
    </row>
    <row r="6380" spans="1:11" x14ac:dyDescent="0.3">
      <c r="A6380" t="s">
        <v>1985</v>
      </c>
      <c r="B6380" t="s">
        <v>1987</v>
      </c>
      <c r="C6380">
        <v>3</v>
      </c>
      <c r="D6380" t="s">
        <v>1447</v>
      </c>
      <c r="E6380" t="s">
        <v>1798</v>
      </c>
      <c r="F6380" t="s">
        <v>1748</v>
      </c>
      <c r="H6380" s="165" t="str">
        <f>IF(ISBLANK('Q 6'!G135),"",IF('Q 6'!G135="&lt;please select&gt;","",'Q 6'!G135))</f>
        <v>7</v>
      </c>
    </row>
    <row r="6381" spans="1:11" x14ac:dyDescent="0.3">
      <c r="A6381" t="s">
        <v>1985</v>
      </c>
      <c r="B6381" t="s">
        <v>1987</v>
      </c>
      <c r="C6381">
        <v>4</v>
      </c>
      <c r="D6381" t="s">
        <v>1447</v>
      </c>
      <c r="E6381" t="s">
        <v>1798</v>
      </c>
      <c r="F6381" t="s">
        <v>1748</v>
      </c>
      <c r="H6381" s="165" t="str">
        <f>IF(ISBLANK('Q 6'!G136),"",IF('Q 6'!G136="&lt;please select&gt;","",'Q 6'!G136))</f>
        <v>60</v>
      </c>
    </row>
    <row r="6382" spans="1:11" x14ac:dyDescent="0.3">
      <c r="A6382" t="s">
        <v>1985</v>
      </c>
      <c r="B6382" t="s">
        <v>1987</v>
      </c>
      <c r="C6382">
        <v>5</v>
      </c>
      <c r="D6382" t="s">
        <v>1447</v>
      </c>
      <c r="E6382" t="s">
        <v>1798</v>
      </c>
      <c r="F6382" t="s">
        <v>1748</v>
      </c>
      <c r="H6382" s="165" t="str">
        <f>IF(ISBLANK('Q 6'!G137),"",IF('Q 6'!G137="&lt;please select&gt;","",'Q 6'!G137))</f>
        <v>1</v>
      </c>
    </row>
    <row r="6383" spans="1:11" x14ac:dyDescent="0.3">
      <c r="A6383" t="s">
        <v>1985</v>
      </c>
      <c r="B6383" t="s">
        <v>1987</v>
      </c>
      <c r="C6383">
        <v>6</v>
      </c>
      <c r="D6383" t="s">
        <v>1447</v>
      </c>
      <c r="E6383" t="s">
        <v>1798</v>
      </c>
      <c r="F6383" t="s">
        <v>1748</v>
      </c>
      <c r="H6383" s="165" t="str">
        <f>IF(ISBLANK('Q 6'!G138),"",IF('Q 6'!G138="&lt;please select&gt;","",'Q 6'!G138))</f>
        <v>1</v>
      </c>
    </row>
    <row r="6384" spans="1:11" x14ac:dyDescent="0.3">
      <c r="A6384" t="s">
        <v>1985</v>
      </c>
      <c r="B6384" t="s">
        <v>1987</v>
      </c>
      <c r="C6384">
        <v>7</v>
      </c>
      <c r="D6384" t="s">
        <v>1447</v>
      </c>
      <c r="E6384" t="s">
        <v>1798</v>
      </c>
      <c r="F6384" t="s">
        <v>1748</v>
      </c>
      <c r="H6384" s="165" t="str">
        <f>IF(ISBLANK('Q 6'!G139),"",IF('Q 6'!G139="&lt;please select&gt;","",'Q 6'!G139))</f>
        <v>1</v>
      </c>
    </row>
    <row r="6385" spans="1:8" x14ac:dyDescent="0.3">
      <c r="A6385" t="s">
        <v>1985</v>
      </c>
      <c r="B6385" t="s">
        <v>1987</v>
      </c>
      <c r="C6385">
        <v>8</v>
      </c>
      <c r="D6385" t="s">
        <v>1447</v>
      </c>
      <c r="E6385" t="s">
        <v>1798</v>
      </c>
      <c r="F6385" t="s">
        <v>1748</v>
      </c>
      <c r="H6385" s="165" t="str">
        <f>IF(ISBLANK('Q 6'!G140),"",IF('Q 6'!G140="&lt;please select&gt;","",'Q 6'!G140))</f>
        <v>2</v>
      </c>
    </row>
    <row r="6386" spans="1:8" x14ac:dyDescent="0.3">
      <c r="A6386" t="s">
        <v>1985</v>
      </c>
      <c r="B6386" t="s">
        <v>1987</v>
      </c>
      <c r="C6386">
        <v>9</v>
      </c>
      <c r="D6386" t="s">
        <v>1447</v>
      </c>
      <c r="E6386" t="s">
        <v>1798</v>
      </c>
      <c r="F6386" t="s">
        <v>1748</v>
      </c>
      <c r="H6386" s="165" t="str">
        <f>IF(ISBLANK('Q 6'!G141),"",IF('Q 6'!G141="&lt;please select&gt;","",'Q 6'!G141))</f>
        <v>3</v>
      </c>
    </row>
    <row r="6387" spans="1:8" x14ac:dyDescent="0.3">
      <c r="A6387" t="s">
        <v>1985</v>
      </c>
      <c r="B6387" t="s">
        <v>1987</v>
      </c>
      <c r="C6387">
        <v>10</v>
      </c>
      <c r="D6387" t="s">
        <v>1447</v>
      </c>
      <c r="E6387" t="s">
        <v>1798</v>
      </c>
      <c r="F6387" t="s">
        <v>1748</v>
      </c>
      <c r="H6387" s="165" t="str">
        <f>IF(ISBLANK('Q 6'!G142),"",IF('Q 6'!G142="&lt;please select&gt;","",'Q 6'!G142))</f>
        <v>1</v>
      </c>
    </row>
    <row r="6388" spans="1:8" x14ac:dyDescent="0.3">
      <c r="A6388" t="s">
        <v>1985</v>
      </c>
      <c r="B6388" t="s">
        <v>1987</v>
      </c>
      <c r="C6388">
        <v>11</v>
      </c>
      <c r="D6388" t="s">
        <v>1447</v>
      </c>
      <c r="E6388" t="s">
        <v>1798</v>
      </c>
      <c r="F6388" t="s">
        <v>1748</v>
      </c>
      <c r="H6388" s="165" t="str">
        <f>IF(ISBLANK('Q 6'!G143),"",IF('Q 6'!G143="&lt;please select&gt;","",'Q 6'!G143))</f>
        <v>4</v>
      </c>
    </row>
    <row r="6389" spans="1:8" x14ac:dyDescent="0.3">
      <c r="A6389" t="s">
        <v>1985</v>
      </c>
      <c r="B6389" t="s">
        <v>1987</v>
      </c>
      <c r="C6389">
        <v>12</v>
      </c>
      <c r="D6389" t="s">
        <v>1447</v>
      </c>
      <c r="E6389" t="s">
        <v>1798</v>
      </c>
      <c r="F6389" t="s">
        <v>1748</v>
      </c>
      <c r="H6389" s="165" t="str">
        <f>IF(ISBLANK('Q 6'!G144),"",IF('Q 6'!G144="&lt;please select&gt;","",'Q 6'!G144))</f>
        <v>2</v>
      </c>
    </row>
    <row r="6390" spans="1:8" x14ac:dyDescent="0.3">
      <c r="A6390" t="s">
        <v>1985</v>
      </c>
      <c r="B6390" t="s">
        <v>1987</v>
      </c>
      <c r="C6390">
        <v>13</v>
      </c>
      <c r="D6390" t="s">
        <v>1447</v>
      </c>
      <c r="E6390" t="s">
        <v>1798</v>
      </c>
      <c r="F6390" t="s">
        <v>1748</v>
      </c>
      <c r="H6390" s="165" t="str">
        <f>IF(ISBLANK('Q 6'!G145),"",IF('Q 6'!G145="&lt;please select&gt;","",'Q 6'!G145))</f>
        <v>1</v>
      </c>
    </row>
    <row r="6391" spans="1:8" x14ac:dyDescent="0.3">
      <c r="A6391" t="s">
        <v>1985</v>
      </c>
      <c r="B6391" t="s">
        <v>1987</v>
      </c>
      <c r="C6391">
        <v>14</v>
      </c>
      <c r="D6391" t="s">
        <v>1447</v>
      </c>
      <c r="E6391" t="s">
        <v>1798</v>
      </c>
      <c r="F6391" t="s">
        <v>1748</v>
      </c>
      <c r="H6391" s="165" t="str">
        <f>IF(ISBLANK('Q 6'!G146),"",IF('Q 6'!G146="&lt;please select&gt;","",'Q 6'!G146))</f>
        <v>2</v>
      </c>
    </row>
    <row r="6392" spans="1:8" x14ac:dyDescent="0.3">
      <c r="A6392" t="s">
        <v>1985</v>
      </c>
      <c r="B6392" t="s">
        <v>1987</v>
      </c>
      <c r="C6392">
        <v>15</v>
      </c>
      <c r="D6392" t="s">
        <v>1447</v>
      </c>
      <c r="E6392" t="s">
        <v>1798</v>
      </c>
      <c r="F6392" t="s">
        <v>1748</v>
      </c>
      <c r="H6392" s="165" t="str">
        <f>IF(ISBLANK('Q 6'!G147),"",IF('Q 6'!G147="&lt;please select&gt;","",'Q 6'!G147))</f>
        <v>1</v>
      </c>
    </row>
    <row r="6393" spans="1:8" x14ac:dyDescent="0.3">
      <c r="A6393" t="s">
        <v>1985</v>
      </c>
      <c r="B6393" t="s">
        <v>1987</v>
      </c>
      <c r="C6393">
        <v>16</v>
      </c>
      <c r="D6393" t="s">
        <v>1447</v>
      </c>
      <c r="E6393" t="s">
        <v>1798</v>
      </c>
      <c r="F6393" t="s">
        <v>1748</v>
      </c>
      <c r="H6393" s="165" t="str">
        <f>IF(ISBLANK('Q 6'!G148),"",IF('Q 6'!G148="&lt;please select&gt;","",'Q 6'!G148))</f>
        <v>4</v>
      </c>
    </row>
    <row r="6394" spans="1:8" x14ac:dyDescent="0.3">
      <c r="A6394" t="s">
        <v>1985</v>
      </c>
      <c r="B6394" t="s">
        <v>1987</v>
      </c>
      <c r="C6394">
        <v>17</v>
      </c>
      <c r="D6394" t="s">
        <v>1447</v>
      </c>
      <c r="E6394" t="s">
        <v>1798</v>
      </c>
      <c r="F6394" t="s">
        <v>1748</v>
      </c>
      <c r="H6394" s="165" t="str">
        <f>IF(ISBLANK('Q 6'!G149),"",IF('Q 6'!G149="&lt;please select&gt;","",'Q 6'!G149))</f>
        <v>3</v>
      </c>
    </row>
    <row r="6395" spans="1:8" x14ac:dyDescent="0.3">
      <c r="A6395" t="s">
        <v>1985</v>
      </c>
      <c r="B6395" t="s">
        <v>1987</v>
      </c>
      <c r="C6395">
        <v>18</v>
      </c>
      <c r="D6395" t="s">
        <v>1447</v>
      </c>
      <c r="E6395" t="s">
        <v>1798</v>
      </c>
      <c r="F6395" t="s">
        <v>1748</v>
      </c>
      <c r="H6395" s="165" t="str">
        <f>IF(ISBLANK('Q 6'!G150),"",IF('Q 6'!G150="&lt;please select&gt;","",'Q 6'!G150))</f>
        <v>2</v>
      </c>
    </row>
    <row r="6396" spans="1:8" x14ac:dyDescent="0.3">
      <c r="A6396" t="s">
        <v>1985</v>
      </c>
      <c r="B6396" t="s">
        <v>1987</v>
      </c>
      <c r="C6396">
        <v>19</v>
      </c>
      <c r="D6396" t="s">
        <v>1447</v>
      </c>
      <c r="E6396" t="s">
        <v>1798</v>
      </c>
      <c r="F6396" t="s">
        <v>1748</v>
      </c>
      <c r="H6396" s="165" t="str">
        <f>IF(ISBLANK('Q 6'!G151),"",IF('Q 6'!G151="&lt;please select&gt;","",'Q 6'!G151))</f>
        <v>3</v>
      </c>
    </row>
    <row r="6397" spans="1:8" x14ac:dyDescent="0.3">
      <c r="A6397" t="s">
        <v>1985</v>
      </c>
      <c r="B6397" t="s">
        <v>1987</v>
      </c>
      <c r="C6397">
        <v>20</v>
      </c>
      <c r="D6397" t="s">
        <v>1447</v>
      </c>
      <c r="E6397" t="s">
        <v>1798</v>
      </c>
      <c r="F6397" t="s">
        <v>1748</v>
      </c>
      <c r="H6397" s="165" t="str">
        <f>IF(ISBLANK('Q 6'!G152),"",IF('Q 6'!G152="&lt;please select&gt;","",'Q 6'!G152))</f>
        <v>8</v>
      </c>
    </row>
    <row r="6398" spans="1:8" x14ac:dyDescent="0.3">
      <c r="A6398" t="s">
        <v>1985</v>
      </c>
      <c r="B6398" t="s">
        <v>1987</v>
      </c>
      <c r="C6398">
        <v>21</v>
      </c>
      <c r="D6398" t="s">
        <v>1447</v>
      </c>
      <c r="E6398" t="s">
        <v>1798</v>
      </c>
      <c r="F6398" t="s">
        <v>1748</v>
      </c>
      <c r="H6398" s="165" t="str">
        <f>IF(ISBLANK('Q 6'!G153),"",IF('Q 6'!G153="&lt;please select&gt;","",'Q 6'!G153))</f>
        <v>1</v>
      </c>
    </row>
    <row r="6399" spans="1:8" x14ac:dyDescent="0.3">
      <c r="A6399" t="s">
        <v>1985</v>
      </c>
      <c r="B6399" t="s">
        <v>1987</v>
      </c>
      <c r="C6399">
        <v>22</v>
      </c>
      <c r="D6399" t="s">
        <v>1447</v>
      </c>
      <c r="E6399" t="s">
        <v>1798</v>
      </c>
      <c r="F6399" t="s">
        <v>1748</v>
      </c>
      <c r="H6399" s="165" t="str">
        <f>IF(ISBLANK('Q 6'!G154),"",IF('Q 6'!G154="&lt;please select&gt;","",'Q 6'!G154))</f>
        <v>10</v>
      </c>
    </row>
    <row r="6400" spans="1:8" x14ac:dyDescent="0.3">
      <c r="A6400" t="s">
        <v>1985</v>
      </c>
      <c r="B6400" t="s">
        <v>1987</v>
      </c>
      <c r="C6400">
        <v>23</v>
      </c>
      <c r="D6400" t="s">
        <v>1447</v>
      </c>
      <c r="E6400" t="s">
        <v>1798</v>
      </c>
      <c r="F6400" t="s">
        <v>1748</v>
      </c>
      <c r="H6400" s="165" t="str">
        <f>IF(ISBLANK('Q 6'!G155),"",IF('Q 6'!G155="&lt;please select&gt;","",'Q 6'!G155))</f>
        <v>11</v>
      </c>
    </row>
    <row r="6401" spans="1:8" x14ac:dyDescent="0.3">
      <c r="A6401" t="s">
        <v>1985</v>
      </c>
      <c r="B6401" t="s">
        <v>1987</v>
      </c>
      <c r="C6401">
        <v>24</v>
      </c>
      <c r="D6401" t="s">
        <v>1447</v>
      </c>
      <c r="E6401" t="s">
        <v>1798</v>
      </c>
      <c r="F6401" t="s">
        <v>1748</v>
      </c>
      <c r="H6401" s="165" t="str">
        <f>IF(ISBLANK('Q 6'!G156),"",IF('Q 6'!G156="&lt;please select&gt;","",'Q 6'!G156))</f>
        <v>3</v>
      </c>
    </row>
    <row r="6402" spans="1:8" x14ac:dyDescent="0.3">
      <c r="A6402" t="s">
        <v>1985</v>
      </c>
      <c r="B6402" t="s">
        <v>1987</v>
      </c>
      <c r="C6402">
        <v>25</v>
      </c>
      <c r="D6402" t="s">
        <v>1447</v>
      </c>
      <c r="E6402" t="s">
        <v>1798</v>
      </c>
      <c r="F6402" t="s">
        <v>1748</v>
      </c>
      <c r="H6402" s="165" t="str">
        <f>IF(ISBLANK('Q 6'!G157),"",IF('Q 6'!G157="&lt;please select&gt;","",'Q 6'!G157))</f>
        <v>1</v>
      </c>
    </row>
    <row r="6403" spans="1:8" x14ac:dyDescent="0.3">
      <c r="A6403" t="s">
        <v>1985</v>
      </c>
      <c r="B6403" t="s">
        <v>1987</v>
      </c>
      <c r="C6403">
        <v>26</v>
      </c>
      <c r="D6403" t="s">
        <v>1447</v>
      </c>
      <c r="E6403" t="s">
        <v>1798</v>
      </c>
      <c r="F6403" t="s">
        <v>1748</v>
      </c>
      <c r="H6403" s="165" t="str">
        <f>IF(ISBLANK('Q 6'!G158),"",IF('Q 6'!G158="&lt;please select&gt;","",'Q 6'!G158))</f>
        <v>12</v>
      </c>
    </row>
    <row r="6404" spans="1:8" x14ac:dyDescent="0.3">
      <c r="A6404" t="s">
        <v>1985</v>
      </c>
      <c r="B6404" t="s">
        <v>1987</v>
      </c>
      <c r="C6404">
        <v>27</v>
      </c>
      <c r="D6404" t="s">
        <v>1447</v>
      </c>
      <c r="E6404" t="s">
        <v>1798</v>
      </c>
      <c r="F6404" t="s">
        <v>1748</v>
      </c>
      <c r="H6404" s="165" t="str">
        <f>IF(ISBLANK('Q 6'!G159),"",IF('Q 6'!G159="&lt;please select&gt;","",'Q 6'!G159))</f>
        <v>3</v>
      </c>
    </row>
    <row r="6405" spans="1:8" x14ac:dyDescent="0.3">
      <c r="A6405" t="s">
        <v>1985</v>
      </c>
      <c r="B6405" t="s">
        <v>1987</v>
      </c>
      <c r="C6405">
        <v>28</v>
      </c>
      <c r="D6405" t="s">
        <v>1447</v>
      </c>
      <c r="E6405" t="s">
        <v>1798</v>
      </c>
      <c r="F6405" t="s">
        <v>1748</v>
      </c>
      <c r="H6405" s="165" t="str">
        <f>IF(ISBLANK('Q 6'!G160),"",IF('Q 6'!G160="&lt;please select&gt;","",'Q 6'!G160))</f>
        <v>1</v>
      </c>
    </row>
    <row r="6406" spans="1:8" x14ac:dyDescent="0.3">
      <c r="A6406" t="s">
        <v>1985</v>
      </c>
      <c r="B6406" t="s">
        <v>1987</v>
      </c>
      <c r="C6406">
        <v>29</v>
      </c>
      <c r="D6406" t="s">
        <v>1447</v>
      </c>
      <c r="E6406" t="s">
        <v>1798</v>
      </c>
      <c r="F6406" t="s">
        <v>1748</v>
      </c>
      <c r="H6406" s="165" t="str">
        <f>IF(ISBLANK('Q 6'!G161),"",IF('Q 6'!G161="&lt;please select&gt;","",'Q 6'!G161))</f>
        <v>2</v>
      </c>
    </row>
    <row r="6407" spans="1:8" x14ac:dyDescent="0.3">
      <c r="A6407" t="s">
        <v>1985</v>
      </c>
      <c r="B6407" t="s">
        <v>1987</v>
      </c>
      <c r="C6407">
        <v>30</v>
      </c>
      <c r="D6407" t="s">
        <v>1447</v>
      </c>
      <c r="E6407" t="s">
        <v>1798</v>
      </c>
      <c r="F6407" t="s">
        <v>1748</v>
      </c>
      <c r="H6407" s="165" t="str">
        <f>IF(ISBLANK('Q 6'!G162),"",IF('Q 6'!G162="&lt;please select&gt;","",'Q 6'!G162))</f>
        <v>1</v>
      </c>
    </row>
    <row r="6408" spans="1:8" x14ac:dyDescent="0.3">
      <c r="A6408" t="s">
        <v>1985</v>
      </c>
      <c r="B6408" t="s">
        <v>1987</v>
      </c>
      <c r="C6408">
        <v>31</v>
      </c>
      <c r="D6408" t="s">
        <v>1447</v>
      </c>
      <c r="E6408" t="s">
        <v>1798</v>
      </c>
      <c r="F6408" t="s">
        <v>1748</v>
      </c>
      <c r="H6408" s="165" t="str">
        <f>IF(ISBLANK('Q 6'!G163),"",IF('Q 6'!G163="&lt;please select&gt;","",'Q 6'!G163))</f>
        <v>1</v>
      </c>
    </row>
    <row r="6409" spans="1:8" x14ac:dyDescent="0.3">
      <c r="A6409" t="s">
        <v>1985</v>
      </c>
      <c r="B6409" t="s">
        <v>1987</v>
      </c>
      <c r="C6409">
        <v>32</v>
      </c>
      <c r="D6409" t="s">
        <v>1447</v>
      </c>
      <c r="E6409" t="s">
        <v>1798</v>
      </c>
      <c r="F6409" t="s">
        <v>1748</v>
      </c>
      <c r="H6409" s="165" t="str">
        <f>IF(ISBLANK('Q 6'!G164),"",IF('Q 6'!G164="&lt;please select&gt;","",'Q 6'!G164))</f>
        <v>1</v>
      </c>
    </row>
    <row r="6410" spans="1:8" x14ac:dyDescent="0.3">
      <c r="A6410" t="s">
        <v>1985</v>
      </c>
      <c r="B6410" t="s">
        <v>1987</v>
      </c>
      <c r="C6410">
        <v>33</v>
      </c>
      <c r="D6410" t="s">
        <v>1447</v>
      </c>
      <c r="E6410" t="s">
        <v>1798</v>
      </c>
      <c r="F6410" t="s">
        <v>1748</v>
      </c>
      <c r="H6410" s="165" t="str">
        <f>IF(ISBLANK('Q 6'!G165),"",IF('Q 6'!G165="&lt;please select&gt;","",'Q 6'!G165))</f>
        <v>10</v>
      </c>
    </row>
    <row r="6411" spans="1:8" x14ac:dyDescent="0.3">
      <c r="A6411" t="s">
        <v>1985</v>
      </c>
      <c r="B6411" t="s">
        <v>1987</v>
      </c>
      <c r="C6411">
        <v>34</v>
      </c>
      <c r="D6411" t="s">
        <v>1447</v>
      </c>
      <c r="E6411" t="s">
        <v>1798</v>
      </c>
      <c r="F6411" t="s">
        <v>1748</v>
      </c>
      <c r="H6411" s="165" t="str">
        <f>IF(ISBLANK('Q 6'!G166),"",IF('Q 6'!G166="&lt;please select&gt;","",'Q 6'!G166))</f>
        <v>5</v>
      </c>
    </row>
    <row r="6412" spans="1:8" x14ac:dyDescent="0.3">
      <c r="A6412" t="s">
        <v>1985</v>
      </c>
      <c r="B6412" t="s">
        <v>1987</v>
      </c>
      <c r="C6412">
        <v>35</v>
      </c>
      <c r="D6412" t="s">
        <v>1447</v>
      </c>
      <c r="E6412" t="s">
        <v>1798</v>
      </c>
      <c r="F6412" t="s">
        <v>1748</v>
      </c>
      <c r="H6412" s="165" t="str">
        <f>IF(ISBLANK('Q 6'!G167),"",IF('Q 6'!G167="&lt;please select&gt;","",'Q 6'!G167))</f>
        <v>1</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13</v>
      </c>
    </row>
    <row r="6469" spans="1:8" x14ac:dyDescent="0.3">
      <c r="A6469" t="s">
        <v>1985</v>
      </c>
      <c r="B6469" t="s">
        <v>1987</v>
      </c>
      <c r="C6469">
        <v>2</v>
      </c>
      <c r="D6469" t="s">
        <v>1447</v>
      </c>
      <c r="E6469" t="s">
        <v>1972</v>
      </c>
      <c r="F6469" t="s">
        <v>1748</v>
      </c>
      <c r="H6469" s="165" t="str">
        <f>IF(ISBLANK('Q 6'!H134),"",IF('Q 6'!H134="&lt;please select&gt;","",'Q 6'!H134))</f>
        <v>11</v>
      </c>
    </row>
    <row r="6470" spans="1:8" x14ac:dyDescent="0.3">
      <c r="A6470" t="s">
        <v>1985</v>
      </c>
      <c r="B6470" t="s">
        <v>1987</v>
      </c>
      <c r="C6470">
        <v>3</v>
      </c>
      <c r="D6470" t="s">
        <v>1447</v>
      </c>
      <c r="E6470" t="s">
        <v>1972</v>
      </c>
      <c r="F6470" t="s">
        <v>1748</v>
      </c>
      <c r="H6470" s="165" t="str">
        <f>IF(ISBLANK('Q 6'!H135),"",IF('Q 6'!H135="&lt;please select&gt;","",'Q 6'!H135))</f>
        <v>5</v>
      </c>
    </row>
    <row r="6471" spans="1:8" x14ac:dyDescent="0.3">
      <c r="A6471" t="s">
        <v>1985</v>
      </c>
      <c r="B6471" t="s">
        <v>1987</v>
      </c>
      <c r="C6471">
        <v>4</v>
      </c>
      <c r="D6471" t="s">
        <v>1447</v>
      </c>
      <c r="E6471" t="s">
        <v>1972</v>
      </c>
      <c r="F6471" t="s">
        <v>1748</v>
      </c>
      <c r="H6471" s="165" t="str">
        <f>IF(ISBLANK('Q 6'!H136),"",IF('Q 6'!H136="&lt;please select&gt;","",'Q 6'!H136))</f>
        <v>47</v>
      </c>
    </row>
    <row r="6472" spans="1:8" x14ac:dyDescent="0.3">
      <c r="A6472" t="s">
        <v>1985</v>
      </c>
      <c r="B6472" t="s">
        <v>1987</v>
      </c>
      <c r="C6472">
        <v>5</v>
      </c>
      <c r="D6472" t="s">
        <v>1447</v>
      </c>
      <c r="E6472" t="s">
        <v>1972</v>
      </c>
      <c r="F6472" t="s">
        <v>1748</v>
      </c>
      <c r="H6472" s="165" t="str">
        <f>IF(ISBLANK('Q 6'!H137),"",IF('Q 6'!H137="&lt;please select&gt;","",'Q 6'!H137))</f>
        <v>2</v>
      </c>
    </row>
    <row r="6473" spans="1:8" x14ac:dyDescent="0.3">
      <c r="A6473" t="s">
        <v>1985</v>
      </c>
      <c r="B6473" t="s">
        <v>1987</v>
      </c>
      <c r="C6473">
        <v>6</v>
      </c>
      <c r="D6473" t="s">
        <v>1447</v>
      </c>
      <c r="E6473" t="s">
        <v>1972</v>
      </c>
      <c r="F6473" t="s">
        <v>1748</v>
      </c>
      <c r="H6473" s="165" t="str">
        <f>IF(ISBLANK('Q 6'!H138),"",IF('Q 6'!H138="&lt;please select&gt;","",'Q 6'!H138))</f>
        <v>1</v>
      </c>
    </row>
    <row r="6474" spans="1:8" x14ac:dyDescent="0.3">
      <c r="A6474" t="s">
        <v>1985</v>
      </c>
      <c r="B6474" t="s">
        <v>1987</v>
      </c>
      <c r="C6474">
        <v>7</v>
      </c>
      <c r="D6474" t="s">
        <v>1447</v>
      </c>
      <c r="E6474" t="s">
        <v>1972</v>
      </c>
      <c r="F6474" t="s">
        <v>1748</v>
      </c>
      <c r="H6474" s="165" t="str">
        <f>IF(ISBLANK('Q 6'!H139),"",IF('Q 6'!H139="&lt;please select&gt;","",'Q 6'!H139))</f>
        <v>1</v>
      </c>
    </row>
    <row r="6475" spans="1:8" x14ac:dyDescent="0.3">
      <c r="A6475" t="s">
        <v>1985</v>
      </c>
      <c r="B6475" t="s">
        <v>1987</v>
      </c>
      <c r="C6475">
        <v>8</v>
      </c>
      <c r="D6475" t="s">
        <v>1447</v>
      </c>
      <c r="E6475" t="s">
        <v>1972</v>
      </c>
      <c r="F6475" t="s">
        <v>1748</v>
      </c>
      <c r="H6475" s="165" t="str">
        <f>IF(ISBLANK('Q 6'!H140),"",IF('Q 6'!H140="&lt;please select&gt;","",'Q 6'!H140))</f>
        <v>2</v>
      </c>
    </row>
    <row r="6476" spans="1:8" x14ac:dyDescent="0.3">
      <c r="A6476" t="s">
        <v>1985</v>
      </c>
      <c r="B6476" t="s">
        <v>1987</v>
      </c>
      <c r="C6476">
        <v>9</v>
      </c>
      <c r="D6476" t="s">
        <v>1447</v>
      </c>
      <c r="E6476" t="s">
        <v>1972</v>
      </c>
      <c r="F6476" t="s">
        <v>1748</v>
      </c>
      <c r="H6476" s="165" t="str">
        <f>IF(ISBLANK('Q 6'!H141),"",IF('Q 6'!H141="&lt;please select&gt;","",'Q 6'!H141))</f>
        <v>4</v>
      </c>
    </row>
    <row r="6477" spans="1:8" x14ac:dyDescent="0.3">
      <c r="A6477" t="s">
        <v>1985</v>
      </c>
      <c r="B6477" t="s">
        <v>1987</v>
      </c>
      <c r="C6477">
        <v>10</v>
      </c>
      <c r="D6477" t="s">
        <v>1447</v>
      </c>
      <c r="E6477" t="s">
        <v>1972</v>
      </c>
      <c r="F6477" t="s">
        <v>1748</v>
      </c>
      <c r="H6477" s="165" t="str">
        <f>IF(ISBLANK('Q 6'!H142),"",IF('Q 6'!H142="&lt;please select&gt;","",'Q 6'!H142))</f>
        <v>1</v>
      </c>
    </row>
    <row r="6478" spans="1:8" x14ac:dyDescent="0.3">
      <c r="A6478" t="s">
        <v>1985</v>
      </c>
      <c r="B6478" t="s">
        <v>1987</v>
      </c>
      <c r="C6478">
        <v>11</v>
      </c>
      <c r="D6478" t="s">
        <v>1447</v>
      </c>
      <c r="E6478" t="s">
        <v>1972</v>
      </c>
      <c r="F6478" t="s">
        <v>1748</v>
      </c>
      <c r="H6478" s="165" t="str">
        <f>IF(ISBLANK('Q 6'!H143),"",IF('Q 6'!H143="&lt;please select&gt;","",'Q 6'!H143))</f>
        <v>3</v>
      </c>
    </row>
    <row r="6479" spans="1:8" x14ac:dyDescent="0.3">
      <c r="A6479" t="s">
        <v>1985</v>
      </c>
      <c r="B6479" t="s">
        <v>1987</v>
      </c>
      <c r="C6479">
        <v>12</v>
      </c>
      <c r="D6479" t="s">
        <v>1447</v>
      </c>
      <c r="E6479" t="s">
        <v>1972</v>
      </c>
      <c r="F6479" t="s">
        <v>1748</v>
      </c>
      <c r="H6479" s="165" t="str">
        <f>IF(ISBLANK('Q 6'!H144),"",IF('Q 6'!H144="&lt;please select&gt;","",'Q 6'!H144))</f>
        <v>1</v>
      </c>
    </row>
    <row r="6480" spans="1:8" x14ac:dyDescent="0.3">
      <c r="A6480" t="s">
        <v>1985</v>
      </c>
      <c r="B6480" t="s">
        <v>1987</v>
      </c>
      <c r="C6480">
        <v>13</v>
      </c>
      <c r="D6480" t="s">
        <v>1447</v>
      </c>
      <c r="E6480" t="s">
        <v>1972</v>
      </c>
      <c r="F6480" t="s">
        <v>1748</v>
      </c>
      <c r="H6480" s="165" t="str">
        <f>IF(ISBLANK('Q 6'!H145),"",IF('Q 6'!H145="&lt;please select&gt;","",'Q 6'!H145))</f>
        <v>2</v>
      </c>
    </row>
    <row r="6481" spans="1:8" x14ac:dyDescent="0.3">
      <c r="A6481" t="s">
        <v>1985</v>
      </c>
      <c r="B6481" t="s">
        <v>1987</v>
      </c>
      <c r="C6481">
        <v>14</v>
      </c>
      <c r="D6481" t="s">
        <v>1447</v>
      </c>
      <c r="E6481" t="s">
        <v>1972</v>
      </c>
      <c r="F6481" t="s">
        <v>1748</v>
      </c>
      <c r="H6481" s="165" t="str">
        <f>IF(ISBLANK('Q 6'!H146),"",IF('Q 6'!H146="&lt;please select&gt;","",'Q 6'!H146))</f>
        <v>1</v>
      </c>
    </row>
    <row r="6482" spans="1:8" x14ac:dyDescent="0.3">
      <c r="A6482" t="s">
        <v>1985</v>
      </c>
      <c r="B6482" t="s">
        <v>1987</v>
      </c>
      <c r="C6482">
        <v>15</v>
      </c>
      <c r="D6482" t="s">
        <v>1447</v>
      </c>
      <c r="E6482" t="s">
        <v>1972</v>
      </c>
      <c r="F6482" t="s">
        <v>1748</v>
      </c>
      <c r="H6482" s="165" t="str">
        <f>IF(ISBLANK('Q 6'!H147),"",IF('Q 6'!H147="&lt;please select&gt;","",'Q 6'!H147))</f>
        <v>1</v>
      </c>
    </row>
    <row r="6483" spans="1:8" x14ac:dyDescent="0.3">
      <c r="A6483" t="s">
        <v>1985</v>
      </c>
      <c r="B6483" t="s">
        <v>1987</v>
      </c>
      <c r="C6483">
        <v>16</v>
      </c>
      <c r="D6483" t="s">
        <v>1447</v>
      </c>
      <c r="E6483" t="s">
        <v>1972</v>
      </c>
      <c r="F6483" t="s">
        <v>1748</v>
      </c>
      <c r="H6483" s="165" t="str">
        <f>IF(ISBLANK('Q 6'!H148),"",IF('Q 6'!H148="&lt;please select&gt;","",'Q 6'!H148))</f>
        <v>4</v>
      </c>
    </row>
    <row r="6484" spans="1:8" x14ac:dyDescent="0.3">
      <c r="A6484" t="s">
        <v>1985</v>
      </c>
      <c r="B6484" t="s">
        <v>1987</v>
      </c>
      <c r="C6484">
        <v>17</v>
      </c>
      <c r="D6484" t="s">
        <v>1447</v>
      </c>
      <c r="E6484" t="s">
        <v>1972</v>
      </c>
      <c r="F6484" t="s">
        <v>1748</v>
      </c>
      <c r="H6484" s="165" t="str">
        <f>IF(ISBLANK('Q 6'!H149),"",IF('Q 6'!H149="&lt;please select&gt;","",'Q 6'!H149))</f>
        <v>2</v>
      </c>
    </row>
    <row r="6485" spans="1:8" x14ac:dyDescent="0.3">
      <c r="A6485" t="s">
        <v>1985</v>
      </c>
      <c r="B6485" t="s">
        <v>1987</v>
      </c>
      <c r="C6485">
        <v>18</v>
      </c>
      <c r="D6485" t="s">
        <v>1447</v>
      </c>
      <c r="E6485" t="s">
        <v>1972</v>
      </c>
      <c r="F6485" t="s">
        <v>1748</v>
      </c>
      <c r="H6485" s="165" t="str">
        <f>IF(ISBLANK('Q 6'!H150),"",IF('Q 6'!H150="&lt;please select&gt;","",'Q 6'!H150))</f>
        <v>6</v>
      </c>
    </row>
    <row r="6486" spans="1:8" x14ac:dyDescent="0.3">
      <c r="A6486" t="s">
        <v>1985</v>
      </c>
      <c r="B6486" t="s">
        <v>1987</v>
      </c>
      <c r="C6486">
        <v>19</v>
      </c>
      <c r="D6486" t="s">
        <v>1447</v>
      </c>
      <c r="E6486" t="s">
        <v>1972</v>
      </c>
      <c r="F6486" t="s">
        <v>1748</v>
      </c>
      <c r="H6486" s="165" t="str">
        <f>IF(ISBLANK('Q 6'!H151),"",IF('Q 6'!H151="&lt;please select&gt;","",'Q 6'!H151))</f>
        <v>1</v>
      </c>
    </row>
    <row r="6487" spans="1:8" x14ac:dyDescent="0.3">
      <c r="A6487" t="s">
        <v>1985</v>
      </c>
      <c r="B6487" t="s">
        <v>1987</v>
      </c>
      <c r="C6487">
        <v>20</v>
      </c>
      <c r="D6487" t="s">
        <v>1447</v>
      </c>
      <c r="E6487" t="s">
        <v>1972</v>
      </c>
      <c r="F6487" t="s">
        <v>1748</v>
      </c>
      <c r="H6487" s="165" t="str">
        <f>IF(ISBLANK('Q 6'!H152),"",IF('Q 6'!H152="&lt;please select&gt;","",'Q 6'!H152))</f>
        <v>5</v>
      </c>
    </row>
    <row r="6488" spans="1:8" x14ac:dyDescent="0.3">
      <c r="A6488" t="s">
        <v>1985</v>
      </c>
      <c r="B6488" t="s">
        <v>1987</v>
      </c>
      <c r="C6488">
        <v>21</v>
      </c>
      <c r="D6488" t="s">
        <v>1447</v>
      </c>
      <c r="E6488" t="s">
        <v>1972</v>
      </c>
      <c r="F6488" t="s">
        <v>1748</v>
      </c>
      <c r="H6488" s="165" t="str">
        <f>IF(ISBLANK('Q 6'!H153),"",IF('Q 6'!H153="&lt;please select&gt;","",'Q 6'!H153))</f>
        <v>2</v>
      </c>
    </row>
    <row r="6489" spans="1:8" x14ac:dyDescent="0.3">
      <c r="A6489" t="s">
        <v>1985</v>
      </c>
      <c r="B6489" t="s">
        <v>1987</v>
      </c>
      <c r="C6489">
        <v>22</v>
      </c>
      <c r="D6489" t="s">
        <v>1447</v>
      </c>
      <c r="E6489" t="s">
        <v>1972</v>
      </c>
      <c r="F6489" t="s">
        <v>1748</v>
      </c>
      <c r="H6489" s="165" t="str">
        <f>IF(ISBLANK('Q 6'!H154),"",IF('Q 6'!H154="&lt;please select&gt;","",'Q 6'!H154))</f>
        <v>12</v>
      </c>
    </row>
    <row r="6490" spans="1:8" x14ac:dyDescent="0.3">
      <c r="A6490" t="s">
        <v>1985</v>
      </c>
      <c r="B6490" t="s">
        <v>1987</v>
      </c>
      <c r="C6490">
        <v>23</v>
      </c>
      <c r="D6490" t="s">
        <v>1447</v>
      </c>
      <c r="E6490" t="s">
        <v>1972</v>
      </c>
      <c r="F6490" t="s">
        <v>1748</v>
      </c>
      <c r="H6490" s="165" t="str">
        <f>IF(ISBLANK('Q 6'!H155),"",IF('Q 6'!H155="&lt;please select&gt;","",'Q 6'!H155))</f>
        <v>3</v>
      </c>
    </row>
    <row r="6491" spans="1:8" x14ac:dyDescent="0.3">
      <c r="A6491" t="s">
        <v>1985</v>
      </c>
      <c r="B6491" t="s">
        <v>1987</v>
      </c>
      <c r="C6491">
        <v>24</v>
      </c>
      <c r="D6491" t="s">
        <v>1447</v>
      </c>
      <c r="E6491" t="s">
        <v>1972</v>
      </c>
      <c r="F6491" t="s">
        <v>1748</v>
      </c>
      <c r="H6491" s="165" t="str">
        <f>IF(ISBLANK('Q 6'!H156),"",IF('Q 6'!H156="&lt;please select&gt;","",'Q 6'!H156))</f>
        <v>2</v>
      </c>
    </row>
    <row r="6492" spans="1:8" x14ac:dyDescent="0.3">
      <c r="A6492" t="s">
        <v>1985</v>
      </c>
      <c r="B6492" t="s">
        <v>1987</v>
      </c>
      <c r="C6492">
        <v>25</v>
      </c>
      <c r="D6492" t="s">
        <v>1447</v>
      </c>
      <c r="E6492" t="s">
        <v>1972</v>
      </c>
      <c r="F6492" t="s">
        <v>1748</v>
      </c>
      <c r="H6492" s="165" t="str">
        <f>IF(ISBLANK('Q 6'!H157),"",IF('Q 6'!H157="&lt;please select&gt;","",'Q 6'!H157))</f>
        <v>1</v>
      </c>
    </row>
    <row r="6493" spans="1:8" x14ac:dyDescent="0.3">
      <c r="A6493" t="s">
        <v>1985</v>
      </c>
      <c r="B6493" t="s">
        <v>1987</v>
      </c>
      <c r="C6493">
        <v>26</v>
      </c>
      <c r="D6493" t="s">
        <v>1447</v>
      </c>
      <c r="E6493" t="s">
        <v>1972</v>
      </c>
      <c r="F6493" t="s">
        <v>1748</v>
      </c>
      <c r="H6493" s="165" t="str">
        <f>IF(ISBLANK('Q 6'!H158),"",IF('Q 6'!H158="&lt;please select&gt;","",'Q 6'!H158))</f>
        <v>8</v>
      </c>
    </row>
    <row r="6494" spans="1:8" x14ac:dyDescent="0.3">
      <c r="A6494" t="s">
        <v>1985</v>
      </c>
      <c r="B6494" t="s">
        <v>1987</v>
      </c>
      <c r="C6494">
        <v>27</v>
      </c>
      <c r="D6494" t="s">
        <v>1447</v>
      </c>
      <c r="E6494" t="s">
        <v>1972</v>
      </c>
      <c r="F6494" t="s">
        <v>1748</v>
      </c>
      <c r="H6494" s="165" t="str">
        <f>IF(ISBLANK('Q 6'!H159),"",IF('Q 6'!H159="&lt;please select&gt;","",'Q 6'!H159))</f>
        <v>2</v>
      </c>
    </row>
    <row r="6495" spans="1:8" x14ac:dyDescent="0.3">
      <c r="A6495" t="s">
        <v>1985</v>
      </c>
      <c r="B6495" t="s">
        <v>1987</v>
      </c>
      <c r="C6495">
        <v>28</v>
      </c>
      <c r="D6495" t="s">
        <v>1447</v>
      </c>
      <c r="E6495" t="s">
        <v>1972</v>
      </c>
      <c r="F6495" t="s">
        <v>1748</v>
      </c>
      <c r="H6495" s="165" t="str">
        <f>IF(ISBLANK('Q 6'!H160),"",IF('Q 6'!H160="&lt;please select&gt;","",'Q 6'!H160))</f>
        <v>1</v>
      </c>
    </row>
    <row r="6496" spans="1:8" x14ac:dyDescent="0.3">
      <c r="A6496" t="s">
        <v>1985</v>
      </c>
      <c r="B6496" t="s">
        <v>1987</v>
      </c>
      <c r="C6496">
        <v>29</v>
      </c>
      <c r="D6496" t="s">
        <v>1447</v>
      </c>
      <c r="E6496" t="s">
        <v>1972</v>
      </c>
      <c r="F6496" t="s">
        <v>1748</v>
      </c>
      <c r="H6496" s="165" t="str">
        <f>IF(ISBLANK('Q 6'!H161),"",IF('Q 6'!H161="&lt;please select&gt;","",'Q 6'!H161))</f>
        <v>2</v>
      </c>
    </row>
    <row r="6497" spans="1:8" x14ac:dyDescent="0.3">
      <c r="A6497" t="s">
        <v>1985</v>
      </c>
      <c r="B6497" t="s">
        <v>1987</v>
      </c>
      <c r="C6497">
        <v>30</v>
      </c>
      <c r="D6497" t="s">
        <v>1447</v>
      </c>
      <c r="E6497" t="s">
        <v>1972</v>
      </c>
      <c r="F6497" t="s">
        <v>1748</v>
      </c>
      <c r="H6497" s="165" t="str">
        <f>IF(ISBLANK('Q 6'!H162),"",IF('Q 6'!H162="&lt;please select&gt;","",'Q 6'!H162))</f>
        <v>1</v>
      </c>
    </row>
    <row r="6498" spans="1:8" x14ac:dyDescent="0.3">
      <c r="A6498" t="s">
        <v>1985</v>
      </c>
      <c r="B6498" t="s">
        <v>1987</v>
      </c>
      <c r="C6498">
        <v>31</v>
      </c>
      <c r="D6498" t="s">
        <v>1447</v>
      </c>
      <c r="E6498" t="s">
        <v>1972</v>
      </c>
      <c r="F6498" t="s">
        <v>1748</v>
      </c>
      <c r="H6498" s="165" t="str">
        <f>IF(ISBLANK('Q 6'!H163),"",IF('Q 6'!H163="&lt;please select&gt;","",'Q 6'!H163))</f>
        <v>1</v>
      </c>
    </row>
    <row r="6499" spans="1:8" x14ac:dyDescent="0.3">
      <c r="A6499" t="s">
        <v>1985</v>
      </c>
      <c r="B6499" t="s">
        <v>1987</v>
      </c>
      <c r="C6499">
        <v>32</v>
      </c>
      <c r="D6499" t="s">
        <v>1447</v>
      </c>
      <c r="E6499" t="s">
        <v>1972</v>
      </c>
      <c r="F6499" t="s">
        <v>1748</v>
      </c>
      <c r="H6499" s="165" t="str">
        <f>IF(ISBLANK('Q 6'!H164),"",IF('Q 6'!H164="&lt;please select&gt;","",'Q 6'!H164))</f>
        <v>1</v>
      </c>
    </row>
    <row r="6500" spans="1:8" x14ac:dyDescent="0.3">
      <c r="A6500" t="s">
        <v>1985</v>
      </c>
      <c r="B6500" t="s">
        <v>1987</v>
      </c>
      <c r="C6500">
        <v>33</v>
      </c>
      <c r="D6500" t="s">
        <v>1447</v>
      </c>
      <c r="E6500" t="s">
        <v>1972</v>
      </c>
      <c r="F6500" t="s">
        <v>1748</v>
      </c>
      <c r="H6500" s="165" t="str">
        <f>IF(ISBLANK('Q 6'!H165),"",IF('Q 6'!H165="&lt;please select&gt;","",'Q 6'!H165))</f>
        <v>2</v>
      </c>
    </row>
    <row r="6501" spans="1:8" x14ac:dyDescent="0.3">
      <c r="A6501" t="s">
        <v>1985</v>
      </c>
      <c r="B6501" t="s">
        <v>1987</v>
      </c>
      <c r="C6501">
        <v>34</v>
      </c>
      <c r="D6501" t="s">
        <v>1447</v>
      </c>
      <c r="E6501" t="s">
        <v>1972</v>
      </c>
      <c r="F6501" t="s">
        <v>1748</v>
      </c>
      <c r="H6501" s="165" t="str">
        <f>IF(ISBLANK('Q 6'!H166),"",IF('Q 6'!H166="&lt;please select&gt;","",'Q 6'!H166))</f>
        <v>3</v>
      </c>
    </row>
    <row r="6502" spans="1:8" x14ac:dyDescent="0.3">
      <c r="A6502" t="s">
        <v>1985</v>
      </c>
      <c r="B6502" t="s">
        <v>1987</v>
      </c>
      <c r="C6502">
        <v>35</v>
      </c>
      <c r="D6502" t="s">
        <v>1447</v>
      </c>
      <c r="E6502" t="s">
        <v>1972</v>
      </c>
      <c r="F6502" t="s">
        <v>1748</v>
      </c>
      <c r="H6502" s="165" t="str">
        <f>IF(ISBLANK('Q 6'!H167),"",IF('Q 6'!H167="&lt;please select&gt;","",'Q 6'!H167))</f>
        <v>1</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0</v>
      </c>
    </row>
    <row r="6570" spans="1:9" x14ac:dyDescent="0.3">
      <c r="A6570" t="s">
        <v>1985</v>
      </c>
      <c r="B6570" t="s">
        <v>1987</v>
      </c>
      <c r="C6570">
        <v>13</v>
      </c>
      <c r="D6570" t="s">
        <v>1447</v>
      </c>
      <c r="E6570" t="s">
        <v>1990</v>
      </c>
      <c r="F6570" t="s">
        <v>1806</v>
      </c>
      <c r="I6570" s="166" t="str">
        <f>IF(ISBLANK('Q 6'!I145),"",IF('Q 6'!I145="&lt;please select&gt;","",'Q 6'!I145))</f>
        <v>0</v>
      </c>
    </row>
    <row r="6571" spans="1:9" x14ac:dyDescent="0.3">
      <c r="A6571" t="s">
        <v>1985</v>
      </c>
      <c r="B6571" t="s">
        <v>1987</v>
      </c>
      <c r="C6571">
        <v>14</v>
      </c>
      <c r="D6571" t="s">
        <v>1447</v>
      </c>
      <c r="E6571" t="s">
        <v>1990</v>
      </c>
      <c r="F6571" t="s">
        <v>1806</v>
      </c>
      <c r="I6571" s="166" t="str">
        <f>IF(ISBLANK('Q 6'!I146),"",IF('Q 6'!I146="&lt;please select&gt;","",'Q 6'!I146))</f>
        <v>0</v>
      </c>
    </row>
    <row r="6572" spans="1:9" x14ac:dyDescent="0.3">
      <c r="A6572" t="s">
        <v>1985</v>
      </c>
      <c r="B6572" t="s">
        <v>1987</v>
      </c>
      <c r="C6572">
        <v>15</v>
      </c>
      <c r="D6572" t="s">
        <v>1447</v>
      </c>
      <c r="E6572" t="s">
        <v>1990</v>
      </c>
      <c r="F6572" t="s">
        <v>1806</v>
      </c>
      <c r="I6572" s="166" t="str">
        <f>IF(ISBLANK('Q 6'!I147),"",IF('Q 6'!I147="&lt;please select&gt;","",'Q 6'!I147))</f>
        <v>0</v>
      </c>
    </row>
    <row r="6573" spans="1:9" x14ac:dyDescent="0.3">
      <c r="A6573" t="s">
        <v>1985</v>
      </c>
      <c r="B6573" t="s">
        <v>1987</v>
      </c>
      <c r="C6573">
        <v>16</v>
      </c>
      <c r="D6573" t="s">
        <v>1447</v>
      </c>
      <c r="E6573" t="s">
        <v>1990</v>
      </c>
      <c r="F6573" t="s">
        <v>1806</v>
      </c>
      <c r="I6573" s="166" t="str">
        <f>IF(ISBLANK('Q 6'!I148),"",IF('Q 6'!I148="&lt;please select&gt;","",'Q 6'!I148))</f>
        <v>0</v>
      </c>
    </row>
    <row r="6574" spans="1:9" x14ac:dyDescent="0.3">
      <c r="A6574" t="s">
        <v>1985</v>
      </c>
      <c r="B6574" t="s">
        <v>1987</v>
      </c>
      <c r="C6574">
        <v>17</v>
      </c>
      <c r="D6574" t="s">
        <v>1447</v>
      </c>
      <c r="E6574" t="s">
        <v>1990</v>
      </c>
      <c r="F6574" t="s">
        <v>1806</v>
      </c>
      <c r="I6574" s="166" t="str">
        <f>IF(ISBLANK('Q 6'!I149),"",IF('Q 6'!I149="&lt;please select&gt;","",'Q 6'!I149))</f>
        <v>0</v>
      </c>
    </row>
    <row r="6575" spans="1:9" x14ac:dyDescent="0.3">
      <c r="A6575" t="s">
        <v>1985</v>
      </c>
      <c r="B6575" t="s">
        <v>1987</v>
      </c>
      <c r="C6575">
        <v>18</v>
      </c>
      <c r="D6575" t="s">
        <v>1447</v>
      </c>
      <c r="E6575" t="s">
        <v>1990</v>
      </c>
      <c r="F6575" t="s">
        <v>1806</v>
      </c>
      <c r="I6575" s="166" t="str">
        <f>IF(ISBLANK('Q 6'!I150),"",IF('Q 6'!I150="&lt;please select&gt;","",'Q 6'!I150))</f>
        <v>0</v>
      </c>
    </row>
    <row r="6576" spans="1:9" x14ac:dyDescent="0.3">
      <c r="A6576" t="s">
        <v>1985</v>
      </c>
      <c r="B6576" t="s">
        <v>1987</v>
      </c>
      <c r="C6576">
        <v>19</v>
      </c>
      <c r="D6576" t="s">
        <v>1447</v>
      </c>
      <c r="E6576" t="s">
        <v>1990</v>
      </c>
      <c r="F6576" t="s">
        <v>1806</v>
      </c>
      <c r="I6576" s="166" t="str">
        <f>IF(ISBLANK('Q 6'!I151),"",IF('Q 6'!I151="&lt;please select&gt;","",'Q 6'!I151))</f>
        <v>0</v>
      </c>
    </row>
    <row r="6577" spans="1:9" x14ac:dyDescent="0.3">
      <c r="A6577" t="s">
        <v>1985</v>
      </c>
      <c r="B6577" t="s">
        <v>1987</v>
      </c>
      <c r="C6577">
        <v>20</v>
      </c>
      <c r="D6577" t="s">
        <v>1447</v>
      </c>
      <c r="E6577" t="s">
        <v>1990</v>
      </c>
      <c r="F6577" t="s">
        <v>1806</v>
      </c>
      <c r="I6577" s="166" t="str">
        <f>IF(ISBLANK('Q 6'!I152),"",IF('Q 6'!I152="&lt;please select&gt;","",'Q 6'!I152))</f>
        <v>0</v>
      </c>
    </row>
    <row r="6578" spans="1:9" x14ac:dyDescent="0.3">
      <c r="A6578" t="s">
        <v>1985</v>
      </c>
      <c r="B6578" t="s">
        <v>1987</v>
      </c>
      <c r="C6578">
        <v>21</v>
      </c>
      <c r="D6578" t="s">
        <v>1447</v>
      </c>
      <c r="E6578" t="s">
        <v>1990</v>
      </c>
      <c r="F6578" t="s">
        <v>1806</v>
      </c>
      <c r="I6578" s="166" t="str">
        <f>IF(ISBLANK('Q 6'!I153),"",IF('Q 6'!I153="&lt;please select&gt;","",'Q 6'!I153))</f>
        <v>0</v>
      </c>
    </row>
    <row r="6579" spans="1:9" x14ac:dyDescent="0.3">
      <c r="A6579" t="s">
        <v>1985</v>
      </c>
      <c r="B6579" t="s">
        <v>1987</v>
      </c>
      <c r="C6579">
        <v>22</v>
      </c>
      <c r="D6579" t="s">
        <v>1447</v>
      </c>
      <c r="E6579" t="s">
        <v>1990</v>
      </c>
      <c r="F6579" t="s">
        <v>1806</v>
      </c>
      <c r="I6579" s="166" t="str">
        <f>IF(ISBLANK('Q 6'!I154),"",IF('Q 6'!I154="&lt;please select&gt;","",'Q 6'!I154))</f>
        <v>0</v>
      </c>
    </row>
    <row r="6580" spans="1:9" x14ac:dyDescent="0.3">
      <c r="A6580" t="s">
        <v>1985</v>
      </c>
      <c r="B6580" t="s">
        <v>1987</v>
      </c>
      <c r="C6580">
        <v>23</v>
      </c>
      <c r="D6580" t="s">
        <v>1447</v>
      </c>
      <c r="E6580" t="s">
        <v>1990</v>
      </c>
      <c r="F6580" t="s">
        <v>1806</v>
      </c>
      <c r="I6580" s="166" t="str">
        <f>IF(ISBLANK('Q 6'!I155),"",IF('Q 6'!I155="&lt;please select&gt;","",'Q 6'!I155))</f>
        <v>0</v>
      </c>
    </row>
    <row r="6581" spans="1:9" x14ac:dyDescent="0.3">
      <c r="A6581" t="s">
        <v>1985</v>
      </c>
      <c r="B6581" t="s">
        <v>1987</v>
      </c>
      <c r="C6581">
        <v>24</v>
      </c>
      <c r="D6581" t="s">
        <v>1447</v>
      </c>
      <c r="E6581" t="s">
        <v>1990</v>
      </c>
      <c r="F6581" t="s">
        <v>1806</v>
      </c>
      <c r="I6581" s="166" t="str">
        <f>IF(ISBLANK('Q 6'!I156),"",IF('Q 6'!I156="&lt;please select&gt;","",'Q 6'!I156))</f>
        <v>0</v>
      </c>
    </row>
    <row r="6582" spans="1:9" x14ac:dyDescent="0.3">
      <c r="A6582" t="s">
        <v>1985</v>
      </c>
      <c r="B6582" t="s">
        <v>1987</v>
      </c>
      <c r="C6582">
        <v>25</v>
      </c>
      <c r="D6582" t="s">
        <v>1447</v>
      </c>
      <c r="E6582" t="s">
        <v>1990</v>
      </c>
      <c r="F6582" t="s">
        <v>1806</v>
      </c>
      <c r="I6582" s="166" t="str">
        <f>IF(ISBLANK('Q 6'!I157),"",IF('Q 6'!I157="&lt;please select&gt;","",'Q 6'!I157))</f>
        <v>0</v>
      </c>
    </row>
    <row r="6583" spans="1:9" x14ac:dyDescent="0.3">
      <c r="A6583" t="s">
        <v>1985</v>
      </c>
      <c r="B6583" t="s">
        <v>1987</v>
      </c>
      <c r="C6583">
        <v>26</v>
      </c>
      <c r="D6583" t="s">
        <v>1447</v>
      </c>
      <c r="E6583" t="s">
        <v>1990</v>
      </c>
      <c r="F6583" t="s">
        <v>1806</v>
      </c>
      <c r="I6583" s="166" t="str">
        <f>IF(ISBLANK('Q 6'!I158),"",IF('Q 6'!I158="&lt;please select&gt;","",'Q 6'!I158))</f>
        <v>0</v>
      </c>
    </row>
    <row r="6584" spans="1:9" x14ac:dyDescent="0.3">
      <c r="A6584" t="s">
        <v>1985</v>
      </c>
      <c r="B6584" t="s">
        <v>1987</v>
      </c>
      <c r="C6584">
        <v>27</v>
      </c>
      <c r="D6584" t="s">
        <v>1447</v>
      </c>
      <c r="E6584" t="s">
        <v>1990</v>
      </c>
      <c r="F6584" t="s">
        <v>1806</v>
      </c>
      <c r="I6584" s="166" t="str">
        <f>IF(ISBLANK('Q 6'!I159),"",IF('Q 6'!I159="&lt;please select&gt;","",'Q 6'!I159))</f>
        <v>0</v>
      </c>
    </row>
    <row r="6585" spans="1:9" x14ac:dyDescent="0.3">
      <c r="A6585" t="s">
        <v>1985</v>
      </c>
      <c r="B6585" t="s">
        <v>1987</v>
      </c>
      <c r="C6585">
        <v>28</v>
      </c>
      <c r="D6585" t="s">
        <v>1447</v>
      </c>
      <c r="E6585" t="s">
        <v>1990</v>
      </c>
      <c r="F6585" t="s">
        <v>1806</v>
      </c>
      <c r="I6585" s="166" t="str">
        <f>IF(ISBLANK('Q 6'!I160),"",IF('Q 6'!I160="&lt;please select&gt;","",'Q 6'!I160))</f>
        <v>0</v>
      </c>
    </row>
    <row r="6586" spans="1:9" x14ac:dyDescent="0.3">
      <c r="A6586" t="s">
        <v>1985</v>
      </c>
      <c r="B6586" t="s">
        <v>1987</v>
      </c>
      <c r="C6586">
        <v>29</v>
      </c>
      <c r="D6586" t="s">
        <v>1447</v>
      </c>
      <c r="E6586" t="s">
        <v>1990</v>
      </c>
      <c r="F6586" t="s">
        <v>1806</v>
      </c>
      <c r="I6586" s="166" t="str">
        <f>IF(ISBLANK('Q 6'!I161),"",IF('Q 6'!I161="&lt;please select&gt;","",'Q 6'!I161))</f>
        <v>0</v>
      </c>
    </row>
    <row r="6587" spans="1:9" x14ac:dyDescent="0.3">
      <c r="A6587" t="s">
        <v>1985</v>
      </c>
      <c r="B6587" t="s">
        <v>1987</v>
      </c>
      <c r="C6587">
        <v>30</v>
      </c>
      <c r="D6587" t="s">
        <v>1447</v>
      </c>
      <c r="E6587" t="s">
        <v>1990</v>
      </c>
      <c r="F6587" t="s">
        <v>1806</v>
      </c>
      <c r="I6587" s="166" t="str">
        <f>IF(ISBLANK('Q 6'!I162),"",IF('Q 6'!I162="&lt;please select&gt;","",'Q 6'!I162))</f>
        <v>0</v>
      </c>
    </row>
    <row r="6588" spans="1:9" x14ac:dyDescent="0.3">
      <c r="A6588" t="s">
        <v>1985</v>
      </c>
      <c r="B6588" t="s">
        <v>1987</v>
      </c>
      <c r="C6588">
        <v>31</v>
      </c>
      <c r="D6588" t="s">
        <v>1447</v>
      </c>
      <c r="E6588" t="s">
        <v>1990</v>
      </c>
      <c r="F6588" t="s">
        <v>1806</v>
      </c>
      <c r="I6588" s="166" t="str">
        <f>IF(ISBLANK('Q 6'!I163),"",IF('Q 6'!I163="&lt;please select&gt;","",'Q 6'!I163))</f>
        <v>0</v>
      </c>
    </row>
    <row r="6589" spans="1:9" x14ac:dyDescent="0.3">
      <c r="A6589" t="s">
        <v>1985</v>
      </c>
      <c r="B6589" t="s">
        <v>1987</v>
      </c>
      <c r="C6589">
        <v>32</v>
      </c>
      <c r="D6589" t="s">
        <v>1447</v>
      </c>
      <c r="E6589" t="s">
        <v>1990</v>
      </c>
      <c r="F6589" t="s">
        <v>1806</v>
      </c>
      <c r="I6589" s="166" t="str">
        <f>IF(ISBLANK('Q 6'!I164),"",IF('Q 6'!I164="&lt;please select&gt;","",'Q 6'!I164))</f>
        <v>0</v>
      </c>
    </row>
    <row r="6590" spans="1:9" x14ac:dyDescent="0.3">
      <c r="A6590" t="s">
        <v>1985</v>
      </c>
      <c r="B6590" t="s">
        <v>1987</v>
      </c>
      <c r="C6590">
        <v>33</v>
      </c>
      <c r="D6590" t="s">
        <v>1447</v>
      </c>
      <c r="E6590" t="s">
        <v>1990</v>
      </c>
      <c r="F6590" t="s">
        <v>1806</v>
      </c>
      <c r="I6590" s="166" t="str">
        <f>IF(ISBLANK('Q 6'!I165),"",IF('Q 6'!I165="&lt;please select&gt;","",'Q 6'!I165))</f>
        <v>0</v>
      </c>
    </row>
    <row r="6591" spans="1:9" x14ac:dyDescent="0.3">
      <c r="A6591" t="s">
        <v>1985</v>
      </c>
      <c r="B6591" t="s">
        <v>1987</v>
      </c>
      <c r="C6591">
        <v>34</v>
      </c>
      <c r="D6591" t="s">
        <v>1447</v>
      </c>
      <c r="E6591" t="s">
        <v>1990</v>
      </c>
      <c r="F6591" t="s">
        <v>1806</v>
      </c>
      <c r="I6591" s="166" t="str">
        <f>IF(ISBLANK('Q 6'!I166),"",IF('Q 6'!I166="&lt;please select&gt;","",'Q 6'!I166))</f>
        <v>0</v>
      </c>
    </row>
    <row r="6592" spans="1:9" x14ac:dyDescent="0.3">
      <c r="A6592" t="s">
        <v>1985</v>
      </c>
      <c r="B6592" t="s">
        <v>1987</v>
      </c>
      <c r="C6592">
        <v>35</v>
      </c>
      <c r="D6592" t="s">
        <v>1447</v>
      </c>
      <c r="E6592" t="s">
        <v>1990</v>
      </c>
      <c r="F6592" t="s">
        <v>1806</v>
      </c>
      <c r="I6592" s="166" t="str">
        <f>IF(ISBLANK('Q 6'!I167),"",IF('Q 6'!I167="&lt;please select&gt;","",'Q 6'!I167))</f>
        <v>0</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0</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
      </c>
    </row>
    <row r="6655" spans="1:11" x14ac:dyDescent="0.3">
      <c r="A6655" t="s">
        <v>1991</v>
      </c>
      <c r="B6655" t="s">
        <v>1993</v>
      </c>
      <c r="C6655">
        <v>5</v>
      </c>
      <c r="D6655" t="s">
        <v>1447</v>
      </c>
      <c r="E6655" t="s">
        <v>1995</v>
      </c>
      <c r="F6655" t="s">
        <v>1791</v>
      </c>
      <c r="J6655" t="str">
        <f>IF(ISBLANK('Q 6'!$I$233),"",IF('Q 6'!$I$233="&lt;please select&gt;","",'Q 6'!$I$233))</f>
        <v/>
      </c>
    </row>
    <row r="6656" spans="1:11" x14ac:dyDescent="0.3">
      <c r="A6656" t="s">
        <v>1991</v>
      </c>
      <c r="B6656" t="s">
        <v>1993</v>
      </c>
      <c r="C6656">
        <v>5</v>
      </c>
      <c r="D6656" t="s">
        <v>1447</v>
      </c>
      <c r="E6656" t="s">
        <v>1996</v>
      </c>
      <c r="F6656" t="s">
        <v>1737</v>
      </c>
      <c r="K6656" t="str">
        <f>IF(ISBLANK('Q 6'!$H$233),"",IF('Q 6'!$H$233="&lt;please select&gt;","",'Q 6'!$H$233))</f>
        <v>% of installations</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
      </c>
    </row>
    <row r="6661" spans="1:11" x14ac:dyDescent="0.3">
      <c r="A6661" t="s">
        <v>1991</v>
      </c>
      <c r="B6661" t="s">
        <v>1999</v>
      </c>
      <c r="C6661">
        <v>2</v>
      </c>
      <c r="D6661" t="s">
        <v>1419</v>
      </c>
      <c r="E6661" t="s">
        <v>2000</v>
      </c>
      <c r="F6661" t="s">
        <v>1791</v>
      </c>
      <c r="J6661" t="str">
        <f>IF(ISBLANK('Q 6'!G237),"",IF('Q 6'!G237="&lt;please select&gt;","",'Q 6'!G237))</f>
        <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Yes</v>
      </c>
    </row>
    <row r="6724" spans="1:11" x14ac:dyDescent="0.3">
      <c r="A6724" t="s">
        <v>2001</v>
      </c>
      <c r="B6724" t="s">
        <v>2006</v>
      </c>
      <c r="C6724">
        <v>0</v>
      </c>
      <c r="D6724" t="s">
        <v>1447</v>
      </c>
      <c r="E6724" t="s">
        <v>2006</v>
      </c>
      <c r="F6724" t="s">
        <v>1748</v>
      </c>
      <c r="H6724" s="165" t="str">
        <f>IF(ISBLANK('Q 6'!$H$268),"",IF('Q 6'!$H$268="&lt;please select&gt;","",'Q 6'!$H$268))</f>
        <v>13</v>
      </c>
    </row>
    <row r="6725" spans="1:11" x14ac:dyDescent="0.3">
      <c r="A6725" t="s">
        <v>2007</v>
      </c>
      <c r="B6725" t="s">
        <v>2008</v>
      </c>
      <c r="C6725">
        <v>0</v>
      </c>
      <c r="D6725" t="s">
        <v>1447</v>
      </c>
      <c r="E6725" t="s">
        <v>2008</v>
      </c>
      <c r="F6725" t="s">
        <v>1759</v>
      </c>
      <c r="K6725" t="str">
        <f>IF(ISBLANK('Q 6'!$I$270),"",IF('Q 6'!$I$270="&lt;please select&gt;","",'Q 6'!$I$270))</f>
        <v>Yes</v>
      </c>
    </row>
    <row r="6726" spans="1:11" x14ac:dyDescent="0.3">
      <c r="A6726" t="s">
        <v>2007</v>
      </c>
      <c r="B6726" t="s">
        <v>2009</v>
      </c>
      <c r="C6726">
        <v>1</v>
      </c>
      <c r="D6726" t="s">
        <v>1447</v>
      </c>
      <c r="E6726" t="s">
        <v>2010</v>
      </c>
      <c r="F6726" t="s">
        <v>1741</v>
      </c>
      <c r="G6726" t="str">
        <f>IF(ISBLANK('Q 6'!C276),"",IF('Q 6'!C276="&lt;please select&gt;","",'Q 6'!C276))</f>
        <v>COVID-19</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52</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Generic authorisation under Article 34a(4) of Commission Regulation 2018/2067</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xml:space="preserve">BSI Group Polska uzyskało w dniu 04.02.2021 upoważnienie MKiŚ do przeprowadzania wirtualnych wizyt w obiektach bez konieczności indywidualnego zatwierdzenia, o którym mowa w art. 34a ust. 3 rozporządzenia 2018/2067.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nd</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1</v>
      </c>
    </row>
    <row r="6926" spans="1:10" x14ac:dyDescent="0.3">
      <c r="A6926" t="s">
        <v>2014</v>
      </c>
      <c r="B6926" t="s">
        <v>2020</v>
      </c>
      <c r="C6926">
        <v>2</v>
      </c>
      <c r="D6926" t="s">
        <v>1447</v>
      </c>
      <c r="E6926" t="s">
        <v>1984</v>
      </c>
      <c r="F6926" t="s">
        <v>1748</v>
      </c>
      <c r="H6926" s="165" t="str">
        <f>IF(ISBLANK('Q 6'!H324),"",IF('Q 6'!H324="&lt;please select&gt;","",'Q 6'!H324))</f>
        <v/>
      </c>
    </row>
    <row r="6927" spans="1:10" x14ac:dyDescent="0.3">
      <c r="A6927" t="s">
        <v>2014</v>
      </c>
      <c r="B6927" t="s">
        <v>2020</v>
      </c>
      <c r="C6927">
        <v>3</v>
      </c>
      <c r="D6927" t="s">
        <v>1447</v>
      </c>
      <c r="E6927" t="s">
        <v>1984</v>
      </c>
      <c r="F6927" t="s">
        <v>1748</v>
      </c>
      <c r="H6927" s="165" t="str">
        <f>IF(ISBLANK('Q 6'!H325),"",IF('Q 6'!H325="&lt;please select&gt;","",'Q 6'!H325))</f>
        <v/>
      </c>
    </row>
    <row r="6928" spans="1:10" x14ac:dyDescent="0.3">
      <c r="A6928" t="s">
        <v>2014</v>
      </c>
      <c r="B6928" t="s">
        <v>2020</v>
      </c>
      <c r="C6928">
        <v>4</v>
      </c>
      <c r="D6928" t="s">
        <v>1447</v>
      </c>
      <c r="E6928" t="s">
        <v>1984</v>
      </c>
      <c r="F6928" t="s">
        <v>1748</v>
      </c>
      <c r="H6928" s="165" t="str">
        <f>IF(ISBLANK('Q 6'!H326),"",IF('Q 6'!H326="&lt;please select&gt;","",'Q 6'!H326))</f>
        <v/>
      </c>
    </row>
    <row r="6929" spans="1:11" x14ac:dyDescent="0.3">
      <c r="A6929" t="s">
        <v>2021</v>
      </c>
      <c r="B6929" t="s">
        <v>2022</v>
      </c>
      <c r="C6929">
        <v>0</v>
      </c>
      <c r="D6929" t="s">
        <v>1447</v>
      </c>
      <c r="E6929" t="s">
        <v>2022</v>
      </c>
      <c r="F6929" t="s">
        <v>1759</v>
      </c>
      <c r="K6929" t="str">
        <f>IF(ISBLANK('Q 6'!$I$328),"",IF('Q 6'!$I$328="&lt;please select&gt;","",'Q 6'!$I$328))</f>
        <v>No</v>
      </c>
    </row>
    <row r="6930" spans="1:11" x14ac:dyDescent="0.3">
      <c r="A6930" t="s">
        <v>2021</v>
      </c>
      <c r="B6930" t="s">
        <v>2023</v>
      </c>
      <c r="C6930">
        <v>1</v>
      </c>
      <c r="D6930" t="s">
        <v>1447</v>
      </c>
      <c r="E6930" t="s">
        <v>1989</v>
      </c>
      <c r="F6930" t="s">
        <v>1737</v>
      </c>
      <c r="K6930" t="str">
        <f>IF(ISBLANK('Q 6'!C332),"",IF('Q 6'!C332="&lt;please select&gt;","",'Q 6'!C332))</f>
        <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Yes</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0</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Brak danych niezbędnych do kontroli krzyżowej</v>
      </c>
    </row>
    <row r="6964" spans="1:11" x14ac:dyDescent="0.3">
      <c r="A6964" t="s">
        <v>2026</v>
      </c>
      <c r="B6964" t="s">
        <v>2028</v>
      </c>
      <c r="C6964">
        <v>4</v>
      </c>
      <c r="D6964" t="s">
        <v>1447</v>
      </c>
      <c r="E6964" t="s">
        <v>1995</v>
      </c>
      <c r="F6964" t="s">
        <v>1791</v>
      </c>
      <c r="J6964" t="str">
        <f>IF(ISBLANK('Q 6'!$I$355),"",IF('Q 6'!$I$355="&lt;please select&gt;","",'Q 6'!$I$355))</f>
        <v>Szczegółowej analizie poddano wyłącznie wykaz połączeń przedstawiony w zakładce Załącznik (punkt 11 raportu rocznego).</v>
      </c>
    </row>
    <row r="6965" spans="1:11" x14ac:dyDescent="0.3">
      <c r="A6965" t="s">
        <v>2026</v>
      </c>
      <c r="B6965" t="s">
        <v>2028</v>
      </c>
      <c r="C6965">
        <v>4</v>
      </c>
      <c r="D6965" t="s">
        <v>1447</v>
      </c>
      <c r="E6965" t="s">
        <v>1996</v>
      </c>
      <c r="F6965" t="s">
        <v>1737</v>
      </c>
      <c r="K6965" t="str">
        <f>IF(ISBLANK('Q 6'!$H$355),"",IF('Q 6'!$H$355="&lt;please select&gt;","",'Q 6'!$H$355))</f>
        <v>% of aircraft operators</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nd</v>
      </c>
    </row>
    <row r="6970" spans="1:11" x14ac:dyDescent="0.3">
      <c r="A6970" t="s">
        <v>2026</v>
      </c>
      <c r="B6970" t="s">
        <v>2030</v>
      </c>
      <c r="C6970">
        <v>2</v>
      </c>
      <c r="D6970" t="s">
        <v>1419</v>
      </c>
      <c r="E6970" t="s">
        <v>2000</v>
      </c>
      <c r="F6970" t="s">
        <v>1791</v>
      </c>
      <c r="J6970" t="str">
        <f>IF(ISBLANK('Q 6'!$G$359),"",IF('Q 6'!$G$359="&lt;please select&gt;","",'Q 6'!$G$359))</f>
        <v>nd</v>
      </c>
    </row>
    <row r="6971" spans="1:11" x14ac:dyDescent="0.3">
      <c r="A6971" t="s">
        <v>2026</v>
      </c>
      <c r="B6971" t="s">
        <v>2031</v>
      </c>
      <c r="C6971">
        <v>1</v>
      </c>
      <c r="D6971" t="s">
        <v>1447</v>
      </c>
      <c r="E6971" t="s">
        <v>1994</v>
      </c>
      <c r="F6971" t="s">
        <v>1806</v>
      </c>
      <c r="I6971" s="166" t="str">
        <f>IF(ISBLANK('Q 6'!G364),"",IF('Q 6'!G364="&lt;please select&gt;","",'Q 6'!G364))</f>
        <v>0</v>
      </c>
    </row>
    <row r="6972" spans="1:11" x14ac:dyDescent="0.3">
      <c r="A6972" t="s">
        <v>2026</v>
      </c>
      <c r="B6972" t="s">
        <v>2031</v>
      </c>
      <c r="C6972">
        <v>2</v>
      </c>
      <c r="D6972" t="s">
        <v>1447</v>
      </c>
      <c r="E6972" t="s">
        <v>1994</v>
      </c>
      <c r="F6972" t="s">
        <v>1806</v>
      </c>
      <c r="I6972" s="166" t="str">
        <f>IF(ISBLANK('Q 6'!G365),"",IF('Q 6'!G365="&lt;please select&gt;","",'Q 6'!G365))</f>
        <v>0</v>
      </c>
    </row>
    <row r="6973" spans="1:11" x14ac:dyDescent="0.3">
      <c r="A6973" t="s">
        <v>2026</v>
      </c>
      <c r="B6973" t="s">
        <v>2031</v>
      </c>
      <c r="C6973">
        <v>3</v>
      </c>
      <c r="D6973" t="s">
        <v>1447</v>
      </c>
      <c r="E6973" t="s">
        <v>1994</v>
      </c>
      <c r="F6973" t="s">
        <v>1806</v>
      </c>
      <c r="I6973" s="166" t="str">
        <f>IF(ISBLANK('Q 6'!G366),"",IF('Q 6'!G366="&lt;please select&gt;","",'Q 6'!G366))</f>
        <v>0</v>
      </c>
    </row>
    <row r="6974" spans="1:11" x14ac:dyDescent="0.3">
      <c r="A6974" t="s">
        <v>2026</v>
      </c>
      <c r="B6974" t="s">
        <v>2031</v>
      </c>
      <c r="C6974">
        <v>4</v>
      </c>
      <c r="D6974" t="s">
        <v>1447</v>
      </c>
      <c r="E6974" t="s">
        <v>1994</v>
      </c>
      <c r="F6974" t="s">
        <v>1806</v>
      </c>
      <c r="I6974" s="166" t="str">
        <f>IF(ISBLANK('Q 6'!G367),"",IF('Q 6'!G367="&lt;please select&gt;","",'Q 6'!G367))</f>
        <v>0</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of aircraft operators</v>
      </c>
    </row>
    <row r="6978" spans="1:11" x14ac:dyDescent="0.3">
      <c r="A6978" t="s">
        <v>2026</v>
      </c>
      <c r="B6978" t="s">
        <v>2032</v>
      </c>
      <c r="C6978">
        <v>1</v>
      </c>
      <c r="D6978" t="s">
        <v>1447</v>
      </c>
      <c r="E6978" t="s">
        <v>1998</v>
      </c>
      <c r="F6978" t="s">
        <v>1748</v>
      </c>
      <c r="H6978" s="165" t="str">
        <f>IF(ISBLANK('Q 6'!$G$368),"",IF('Q 6'!$G$368="&lt;please select&gt;","",'Q 6'!$G$368))</f>
        <v>0</v>
      </c>
    </row>
    <row r="6979" spans="1:11" x14ac:dyDescent="0.3">
      <c r="A6979" t="s">
        <v>2026</v>
      </c>
      <c r="B6979" t="s">
        <v>2032</v>
      </c>
      <c r="C6979">
        <v>2</v>
      </c>
      <c r="D6979" t="s">
        <v>1447</v>
      </c>
      <c r="E6979" t="s">
        <v>1998</v>
      </c>
      <c r="F6979" t="s">
        <v>1748</v>
      </c>
      <c r="H6979" s="165" t="str">
        <f>IF(ISBLANK('Q 6'!$G$369),"",IF('Q 6'!$G$369="&lt;please select&gt;","",'Q 6'!$G$369))</f>
        <v>0</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nd</v>
      </c>
    </row>
    <row r="6982" spans="1:11" x14ac:dyDescent="0.3">
      <c r="A6982" t="s">
        <v>2034</v>
      </c>
      <c r="B6982" t="s">
        <v>2035</v>
      </c>
      <c r="C6982">
        <v>0</v>
      </c>
      <c r="D6982" t="s">
        <v>1447</v>
      </c>
      <c r="E6982" t="s">
        <v>2035</v>
      </c>
      <c r="F6982" t="s">
        <v>1759</v>
      </c>
      <c r="K6982" t="str">
        <f>IF(ISBLANK('Q 6'!$I$373),"",IF('Q 6'!$I$373="&lt;please select&gt;","",'Q 6'!$I$373))</f>
        <v>Yes</v>
      </c>
    </row>
    <row r="6983" spans="1:11" x14ac:dyDescent="0.3">
      <c r="A6983" t="s">
        <v>2034</v>
      </c>
      <c r="B6983" t="s">
        <v>2036</v>
      </c>
      <c r="C6983">
        <v>0</v>
      </c>
      <c r="D6983" t="s">
        <v>1447</v>
      </c>
      <c r="E6983" t="s">
        <v>2036</v>
      </c>
      <c r="F6983" t="s">
        <v>1748</v>
      </c>
      <c r="H6983" t="str">
        <f>IF(ISBLANK('Q 6'!$H$375),"",IF('Q 6'!$H$375="&lt;please select&gt;","",'Q 6'!$H$375))</f>
        <v>2</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Obostrzenia COVID19.</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5</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Generic authorisation under Article 34a(4) of Commission Regulation 2018/2067</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Tak</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Brak danych</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Yes</v>
      </c>
    </row>
    <row r="7174" spans="1:11" x14ac:dyDescent="0.3">
      <c r="A7174" t="s">
        <v>2055</v>
      </c>
      <c r="B7174" t="s">
        <v>2057</v>
      </c>
      <c r="C7174">
        <v>1</v>
      </c>
      <c r="D7174" t="s">
        <v>1447</v>
      </c>
      <c r="E7174" t="s">
        <v>2058</v>
      </c>
      <c r="F7174" t="s">
        <v>1806</v>
      </c>
      <c r="I7174" s="165" t="str">
        <f>IF(ISBLANK('Q 8'!G20),"",IF('Q 8'!G20="&lt;please select&gt;","",'Q 8'!G20))</f>
        <v>2.13</v>
      </c>
    </row>
    <row r="7175" spans="1:11" x14ac:dyDescent="0.3">
      <c r="A7175" t="s">
        <v>2055</v>
      </c>
      <c r="B7175" t="s">
        <v>2057</v>
      </c>
      <c r="C7175">
        <v>2</v>
      </c>
      <c r="D7175" t="s">
        <v>1447</v>
      </c>
      <c r="E7175" t="s">
        <v>2058</v>
      </c>
      <c r="F7175" t="s">
        <v>1806</v>
      </c>
      <c r="I7175" s="165" t="str">
        <f>IF(ISBLANK('Q 8'!G21),"",IF('Q 8'!G21="&lt;please select&gt;","",'Q 8'!G21))</f>
        <v>1.07</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Yes</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154</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Yes</v>
      </c>
    </row>
    <row r="7189" spans="1:11" x14ac:dyDescent="0.3">
      <c r="A7189" t="s">
        <v>2064</v>
      </c>
      <c r="B7189" t="s">
        <v>2066</v>
      </c>
      <c r="C7189">
        <v>1</v>
      </c>
      <c r="D7189" t="s">
        <v>1447</v>
      </c>
      <c r="E7189" t="s">
        <v>2067</v>
      </c>
      <c r="F7189" t="s">
        <v>1748</v>
      </c>
      <c r="H7189" s="165" t="str">
        <f>IF(ISBLANK('Q 8'!$C$40),"",IF('Q 8'!$C$40="&lt;please select&gt;","",'Q 8'!$C$40))</f>
        <v>11</v>
      </c>
    </row>
    <row r="7190" spans="1:11" x14ac:dyDescent="0.3">
      <c r="A7190" t="s">
        <v>2064</v>
      </c>
      <c r="B7190" t="s">
        <v>2066</v>
      </c>
      <c r="C7190">
        <v>1</v>
      </c>
      <c r="D7190" t="s">
        <v>1447</v>
      </c>
      <c r="E7190" t="s">
        <v>2068</v>
      </c>
      <c r="F7190" t="s">
        <v>1748</v>
      </c>
      <c r="H7190" s="165" t="str">
        <f>IF(ISBLANK('Q 8'!$G$40),"",IF('Q 8'!$G$40="&lt;please select&gt;","",'Q 8'!$G$40))</f>
        <v>8</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Yes</v>
      </c>
    </row>
    <row r="7195" spans="1:11" x14ac:dyDescent="0.3">
      <c r="A7195" t="s">
        <v>2064</v>
      </c>
      <c r="B7195" t="s">
        <v>2072</v>
      </c>
      <c r="C7195">
        <v>1</v>
      </c>
      <c r="D7195" t="s">
        <v>1447</v>
      </c>
      <c r="E7195" t="s">
        <v>2067</v>
      </c>
      <c r="F7195" t="s">
        <v>1748</v>
      </c>
      <c r="H7195" s="165" t="str">
        <f>IF(ISBLANK('Q 8'!$C$50),"",IF('Q 8'!$C$50="&lt;please select&gt;","",'Q 8'!$C$50))</f>
        <v>9</v>
      </c>
    </row>
    <row r="7196" spans="1:11" x14ac:dyDescent="0.3">
      <c r="A7196" t="s">
        <v>2064</v>
      </c>
      <c r="B7196" t="s">
        <v>2072</v>
      </c>
      <c r="C7196">
        <v>1</v>
      </c>
      <c r="D7196" t="s">
        <v>1447</v>
      </c>
      <c r="E7196" t="s">
        <v>2068</v>
      </c>
      <c r="F7196" t="s">
        <v>1748</v>
      </c>
      <c r="H7196" s="165" t="str">
        <f>IF(ISBLANK('Q 8'!$G$50),"",IF('Q 8'!$G$50="&lt;please select&gt;","",'Q 8'!$G$50))</f>
        <v>5</v>
      </c>
    </row>
    <row r="7197" spans="1:11" x14ac:dyDescent="0.3">
      <c r="A7197" t="s">
        <v>2073</v>
      </c>
      <c r="B7197" t="s">
        <v>2074</v>
      </c>
      <c r="C7197">
        <v>1</v>
      </c>
      <c r="D7197" t="s">
        <v>1447</v>
      </c>
      <c r="E7197" t="s">
        <v>1798</v>
      </c>
      <c r="F7197" t="s">
        <v>1748</v>
      </c>
      <c r="H7197" s="165" t="str">
        <f>IF(ISBLANK('Q 8'!$G54),"",IF('Q 8'!$G54="&lt;please select&gt;","",'Q 8'!$G54))</f>
        <v/>
      </c>
    </row>
    <row r="7198" spans="1:11" x14ac:dyDescent="0.3">
      <c r="A7198" t="s">
        <v>2073</v>
      </c>
      <c r="B7198" t="s">
        <v>2074</v>
      </c>
      <c r="C7198">
        <v>2</v>
      </c>
      <c r="D7198" t="s">
        <v>1447</v>
      </c>
      <c r="E7198" t="s">
        <v>1798</v>
      </c>
      <c r="F7198" t="s">
        <v>1748</v>
      </c>
      <c r="H7198" s="165" t="str">
        <f>IF(ISBLANK('Q 8'!$G55),"",IF('Q 8'!$G55="&lt;please select&gt;","",'Q 8'!$G55))</f>
        <v>24</v>
      </c>
    </row>
    <row r="7199" spans="1:11" x14ac:dyDescent="0.3">
      <c r="A7199" t="s">
        <v>2073</v>
      </c>
      <c r="B7199" t="s">
        <v>2074</v>
      </c>
      <c r="C7199">
        <v>3</v>
      </c>
      <c r="D7199" t="s">
        <v>1447</v>
      </c>
      <c r="E7199" t="s">
        <v>1798</v>
      </c>
      <c r="F7199" t="s">
        <v>1748</v>
      </c>
      <c r="H7199" s="165" t="str">
        <f>IF(ISBLANK('Q 8'!$G56),"",IF('Q 8'!$G56="&lt;please select&gt;","",'Q 8'!$G56))</f>
        <v/>
      </c>
    </row>
    <row r="7200" spans="1:11" x14ac:dyDescent="0.3">
      <c r="A7200" t="s">
        <v>2073</v>
      </c>
      <c r="B7200" t="s">
        <v>2074</v>
      </c>
      <c r="C7200">
        <v>4</v>
      </c>
      <c r="D7200" t="s">
        <v>1447</v>
      </c>
      <c r="E7200" t="s">
        <v>1798</v>
      </c>
      <c r="F7200" t="s">
        <v>1748</v>
      </c>
      <c r="H7200" s="165" t="str">
        <f>IF(ISBLANK('Q 8'!$G57),"",IF('Q 8'!$G57="&lt;please select&gt;","",'Q 8'!$G57))</f>
        <v/>
      </c>
    </row>
    <row r="7201" spans="1:11" x14ac:dyDescent="0.3">
      <c r="A7201" t="s">
        <v>2073</v>
      </c>
      <c r="B7201" t="s">
        <v>2074</v>
      </c>
      <c r="C7201">
        <v>5</v>
      </c>
      <c r="D7201" t="s">
        <v>1447</v>
      </c>
      <c r="E7201" t="s">
        <v>1798</v>
      </c>
      <c r="F7201" t="s">
        <v>1748</v>
      </c>
      <c r="H7201" s="165" t="str">
        <f>IF(ISBLANK('Q 8'!$G58),"",IF('Q 8'!$G58="&lt;please select&gt;","",'Q 8'!$G58))</f>
        <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0</v>
      </c>
    </row>
    <row r="7214" spans="1:11" x14ac:dyDescent="0.3">
      <c r="A7214" t="s">
        <v>2080</v>
      </c>
      <c r="B7214" t="s">
        <v>2081</v>
      </c>
      <c r="C7214">
        <v>2</v>
      </c>
      <c r="D7214" t="s">
        <v>1447</v>
      </c>
      <c r="E7214" t="s">
        <v>1798</v>
      </c>
      <c r="F7214" t="s">
        <v>1748</v>
      </c>
      <c r="H7214" s="165" t="str">
        <f>IF(ISBLANK('Q 8'!$H76),"",IF('Q 8'!$H76="&lt;please select&gt;","",'Q 8'!$H76))</f>
        <v>0</v>
      </c>
    </row>
    <row r="7215" spans="1:11" x14ac:dyDescent="0.3">
      <c r="A7215" t="s">
        <v>2080</v>
      </c>
      <c r="B7215" t="s">
        <v>2081</v>
      </c>
      <c r="C7215">
        <v>3</v>
      </c>
      <c r="D7215" t="s">
        <v>1447</v>
      </c>
      <c r="E7215" t="s">
        <v>1798</v>
      </c>
      <c r="F7215" t="s">
        <v>1748</v>
      </c>
      <c r="H7215" s="165" t="str">
        <f>IF(ISBLANK('Q 8'!$H77),"",IF('Q 8'!$H77="&lt;please select&gt;","",'Q 8'!$H77))</f>
        <v>0</v>
      </c>
    </row>
    <row r="7216" spans="1:11" x14ac:dyDescent="0.3">
      <c r="A7216" t="s">
        <v>2082</v>
      </c>
      <c r="B7216" t="s">
        <v>2083</v>
      </c>
      <c r="C7216">
        <v>0</v>
      </c>
      <c r="D7216" t="s">
        <v>1447</v>
      </c>
      <c r="E7216" t="s">
        <v>2083</v>
      </c>
      <c r="F7216" t="s">
        <v>1759</v>
      </c>
      <c r="K7216" t="str">
        <f>IF(ISBLANK('Q 8'!$I$80),"",IF('Q 8'!$I$80="&lt;please select&gt;","",'Q 8'!$I$80))</f>
        <v>Yes</v>
      </c>
    </row>
    <row r="7217" spans="1:11" x14ac:dyDescent="0.3">
      <c r="A7217" t="s">
        <v>2082</v>
      </c>
      <c r="B7217" t="s">
        <v>2084</v>
      </c>
      <c r="C7217">
        <v>1</v>
      </c>
      <c r="D7217" t="s">
        <v>1447</v>
      </c>
      <c r="E7217" t="s">
        <v>1988</v>
      </c>
      <c r="F7217" t="s">
        <v>1737</v>
      </c>
      <c r="K7217" t="str">
        <f>IF(ISBLANK('Q 8'!$C83),"",IF('Q 8'!$C83="&lt;please select&gt;","",'Q 8'!$C83))</f>
        <v>20 - Combustion of fuels as specified in Annex I of Directive 2003/87/EC</v>
      </c>
    </row>
    <row r="7218" spans="1:11" x14ac:dyDescent="0.3">
      <c r="A7218" t="s">
        <v>2082</v>
      </c>
      <c r="B7218" t="s">
        <v>2084</v>
      </c>
      <c r="C7218">
        <v>2</v>
      </c>
      <c r="D7218" t="s">
        <v>1447</v>
      </c>
      <c r="E7218" t="s">
        <v>1988</v>
      </c>
      <c r="F7218" t="s">
        <v>1737</v>
      </c>
      <c r="K7218" t="str">
        <f>IF(ISBLANK('Q 8'!$C84),"",IF('Q 8'!$C84="&lt;please select&gt;","",'Q 8'!$C84))</f>
        <v>29 - Production of cement clinker in rotary kilns as specified in Annex I of Directive 2003/87/ EC</v>
      </c>
    </row>
    <row r="7219" spans="1:11" x14ac:dyDescent="0.3">
      <c r="A7219" t="s">
        <v>2082</v>
      </c>
      <c r="B7219" t="s">
        <v>2084</v>
      </c>
      <c r="C7219">
        <v>3</v>
      </c>
      <c r="D7219" t="s">
        <v>1447</v>
      </c>
      <c r="E7219" t="s">
        <v>1988</v>
      </c>
      <c r="F7219" t="s">
        <v>1737</v>
      </c>
      <c r="K7219" t="str">
        <f>IF(ISBLANK('Q 8'!$C85),"",IF('Q 8'!$C85="&lt;please select&gt;","",'Q 8'!$C85))</f>
        <v xml:space="preserve">36 - Production of paper or cardboard as specified in Annex I of Directive 2003/87/EC </v>
      </c>
    </row>
    <row r="7220" spans="1:11" x14ac:dyDescent="0.3">
      <c r="A7220" t="s">
        <v>2082</v>
      </c>
      <c r="B7220" t="s">
        <v>2084</v>
      </c>
      <c r="C7220">
        <v>4</v>
      </c>
      <c r="D7220" t="s">
        <v>1447</v>
      </c>
      <c r="E7220" t="s">
        <v>1988</v>
      </c>
      <c r="F7220" t="s">
        <v>1737</v>
      </c>
      <c r="K7220" t="str">
        <f>IF(ISBLANK('Q 8'!$C86),"",IF('Q 8'!$C86="&lt;please select&gt;","",'Q 8'!$C86))</f>
        <v>33 - Manufacture of mineral wool insulation material using glass, rock or slag as specified in Annex I of Directive 2003/87/EC</v>
      </c>
    </row>
    <row r="7221" spans="1:11" x14ac:dyDescent="0.3">
      <c r="A7221" t="s">
        <v>2082</v>
      </c>
      <c r="B7221" t="s">
        <v>2084</v>
      </c>
      <c r="C7221">
        <v>5</v>
      </c>
      <c r="D7221" t="s">
        <v>1447</v>
      </c>
      <c r="E7221" t="s">
        <v>1988</v>
      </c>
      <c r="F7221" t="s">
        <v>1737</v>
      </c>
      <c r="K7221" t="str">
        <f>IF(ISBLANK('Q 8'!$C87),"",IF('Q 8'!$C87="&lt;please select&gt;","",'Q 8'!$C87))</f>
        <v>28 - Production or processing of non-ferrous metals as specified in Annex I of Directive 2003/87/EC</v>
      </c>
    </row>
    <row r="7222" spans="1:11" x14ac:dyDescent="0.3">
      <c r="A7222" t="s">
        <v>2082</v>
      </c>
      <c r="B7222" t="s">
        <v>2084</v>
      </c>
      <c r="C7222">
        <v>6</v>
      </c>
      <c r="D7222" t="s">
        <v>1447</v>
      </c>
      <c r="E7222" t="s">
        <v>1988</v>
      </c>
      <c r="F7222" t="s">
        <v>1737</v>
      </c>
      <c r="K7222" t="str">
        <f>IF(ISBLANK('Q 8'!$C88),"",IF('Q 8'!$C88="&lt;please select&gt;","",'Q 8'!$C88))</f>
        <v xml:space="preserve">42 - Production of bulk organic chemicals as specified in Annex I of Directive 2003/87/EC </v>
      </c>
    </row>
    <row r="7223" spans="1:11" x14ac:dyDescent="0.3">
      <c r="A7223" t="s">
        <v>2082</v>
      </c>
      <c r="B7223" t="s">
        <v>2084</v>
      </c>
      <c r="C7223">
        <v>7</v>
      </c>
      <c r="D7223" t="s">
        <v>1447</v>
      </c>
      <c r="E7223" t="s">
        <v>1988</v>
      </c>
      <c r="F7223" t="s">
        <v>1737</v>
      </c>
      <c r="K7223" t="str">
        <f>IF(ISBLANK('Q 8'!$C89),"",IF('Q 8'!$C89="&lt;please select&gt;","",'Q 8'!$C89))</f>
        <v>31 - Manufacture of glass as specified in Annex I of Directive 2003/87/EC</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Non-material misstatements</v>
      </c>
    </row>
    <row r="7268" spans="1:11" x14ac:dyDescent="0.3">
      <c r="A7268" t="s">
        <v>2082</v>
      </c>
      <c r="B7268" t="s">
        <v>2084</v>
      </c>
      <c r="C7268">
        <v>2</v>
      </c>
      <c r="D7268" t="s">
        <v>1447</v>
      </c>
      <c r="E7268" t="s">
        <v>1989</v>
      </c>
      <c r="F7268" t="s">
        <v>1737</v>
      </c>
      <c r="K7268" t="str">
        <f>IF(ISBLANK('Q 8'!$E84),"",IF('Q 8'!$E84="&lt;please select&gt;","",'Q 8'!$E84))</f>
        <v>Non-material misstatements</v>
      </c>
    </row>
    <row r="7269" spans="1:11" x14ac:dyDescent="0.3">
      <c r="A7269" t="s">
        <v>2082</v>
      </c>
      <c r="B7269" t="s">
        <v>2084</v>
      </c>
      <c r="C7269">
        <v>3</v>
      </c>
      <c r="D7269" t="s">
        <v>1447</v>
      </c>
      <c r="E7269" t="s">
        <v>1989</v>
      </c>
      <c r="F7269" t="s">
        <v>1737</v>
      </c>
      <c r="K7269" t="str">
        <f>IF(ISBLANK('Q 8'!$E85),"",IF('Q 8'!$E85="&lt;please select&gt;","",'Q 8'!$E85))</f>
        <v>Non-material misstatements</v>
      </c>
    </row>
    <row r="7270" spans="1:11" x14ac:dyDescent="0.3">
      <c r="A7270" t="s">
        <v>2082</v>
      </c>
      <c r="B7270" t="s">
        <v>2084</v>
      </c>
      <c r="C7270">
        <v>4</v>
      </c>
      <c r="D7270" t="s">
        <v>1447</v>
      </c>
      <c r="E7270" t="s">
        <v>1989</v>
      </c>
      <c r="F7270" t="s">
        <v>1737</v>
      </c>
      <c r="K7270" t="str">
        <f>IF(ISBLANK('Q 8'!$E86),"",IF('Q 8'!$E86="&lt;please select&gt;","",'Q 8'!$E86))</f>
        <v>Non-material misstatements</v>
      </c>
    </row>
    <row r="7271" spans="1:11" x14ac:dyDescent="0.3">
      <c r="A7271" t="s">
        <v>2082</v>
      </c>
      <c r="B7271" t="s">
        <v>2084</v>
      </c>
      <c r="C7271">
        <v>5</v>
      </c>
      <c r="D7271" t="s">
        <v>1447</v>
      </c>
      <c r="E7271" t="s">
        <v>1989</v>
      </c>
      <c r="F7271" t="s">
        <v>1737</v>
      </c>
      <c r="K7271" t="str">
        <f>IF(ISBLANK('Q 8'!$E87),"",IF('Q 8'!$E87="&lt;please select&gt;","",'Q 8'!$E87))</f>
        <v>Non-material misstatements</v>
      </c>
    </row>
    <row r="7272" spans="1:11" x14ac:dyDescent="0.3">
      <c r="A7272" t="s">
        <v>2082</v>
      </c>
      <c r="B7272" t="s">
        <v>2084</v>
      </c>
      <c r="C7272">
        <v>6</v>
      </c>
      <c r="D7272" t="s">
        <v>1447</v>
      </c>
      <c r="E7272" t="s">
        <v>1989</v>
      </c>
      <c r="F7272" t="s">
        <v>1737</v>
      </c>
      <c r="K7272" t="str">
        <f>IF(ISBLANK('Q 8'!$E88),"",IF('Q 8'!$E88="&lt;please select&gt;","",'Q 8'!$E88))</f>
        <v>Non-material misstatements</v>
      </c>
    </row>
    <row r="7273" spans="1:11" x14ac:dyDescent="0.3">
      <c r="A7273" t="s">
        <v>2082</v>
      </c>
      <c r="B7273" t="s">
        <v>2084</v>
      </c>
      <c r="C7273">
        <v>7</v>
      </c>
      <c r="D7273" t="s">
        <v>1447</v>
      </c>
      <c r="E7273" t="s">
        <v>1989</v>
      </c>
      <c r="F7273" t="s">
        <v>1737</v>
      </c>
      <c r="K7273" t="str">
        <f>IF(ISBLANK('Q 8'!$E89),"",IF('Q 8'!$E89="&lt;please select&gt;","",'Q 8'!$E89))</f>
        <v>Non-material misstatements</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4</v>
      </c>
    </row>
    <row r="7318" spans="1:11" x14ac:dyDescent="0.3">
      <c r="A7318" t="s">
        <v>2082</v>
      </c>
      <c r="B7318" t="s">
        <v>2084</v>
      </c>
      <c r="C7318">
        <v>2</v>
      </c>
      <c r="D7318" t="s">
        <v>1447</v>
      </c>
      <c r="E7318" t="s">
        <v>1798</v>
      </c>
      <c r="F7318" t="s">
        <v>1748</v>
      </c>
      <c r="H7318" s="165" t="str">
        <f>IF(ISBLANK('Q 8'!F84),"",IF('Q 8'!F84="&lt;please select&gt;","",'Q 8'!F84))</f>
        <v>1</v>
      </c>
    </row>
    <row r="7319" spans="1:11" x14ac:dyDescent="0.3">
      <c r="A7319" t="s">
        <v>2082</v>
      </c>
      <c r="B7319" t="s">
        <v>2084</v>
      </c>
      <c r="C7319">
        <v>3</v>
      </c>
      <c r="D7319" t="s">
        <v>1447</v>
      </c>
      <c r="E7319" t="s">
        <v>1798</v>
      </c>
      <c r="F7319" t="s">
        <v>1748</v>
      </c>
      <c r="H7319" s="165" t="str">
        <f>IF(ISBLANK('Q 8'!F85),"",IF('Q 8'!F85="&lt;please select&gt;","",'Q 8'!F85))</f>
        <v>1</v>
      </c>
    </row>
    <row r="7320" spans="1:11" x14ac:dyDescent="0.3">
      <c r="A7320" t="s">
        <v>2082</v>
      </c>
      <c r="B7320" t="s">
        <v>2084</v>
      </c>
      <c r="C7320">
        <v>4</v>
      </c>
      <c r="D7320" t="s">
        <v>1447</v>
      </c>
      <c r="E7320" t="s">
        <v>1798</v>
      </c>
      <c r="F7320" t="s">
        <v>1748</v>
      </c>
      <c r="H7320" s="165" t="str">
        <f>IF(ISBLANK('Q 8'!F86),"",IF('Q 8'!F86="&lt;please select&gt;","",'Q 8'!F86))</f>
        <v>4</v>
      </c>
    </row>
    <row r="7321" spans="1:11" x14ac:dyDescent="0.3">
      <c r="A7321" t="s">
        <v>2082</v>
      </c>
      <c r="B7321" t="s">
        <v>2084</v>
      </c>
      <c r="C7321">
        <v>5</v>
      </c>
      <c r="D7321" t="s">
        <v>1447</v>
      </c>
      <c r="E7321" t="s">
        <v>1798</v>
      </c>
      <c r="F7321" t="s">
        <v>1748</v>
      </c>
      <c r="H7321" s="165" t="str">
        <f>IF(ISBLANK('Q 8'!F87),"",IF('Q 8'!F87="&lt;please select&gt;","",'Q 8'!F87))</f>
        <v>1</v>
      </c>
    </row>
    <row r="7322" spans="1:11" x14ac:dyDescent="0.3">
      <c r="A7322" t="s">
        <v>2082</v>
      </c>
      <c r="B7322" t="s">
        <v>2084</v>
      </c>
      <c r="C7322">
        <v>6</v>
      </c>
      <c r="D7322" t="s">
        <v>1447</v>
      </c>
      <c r="E7322" t="s">
        <v>1798</v>
      </c>
      <c r="F7322" t="s">
        <v>1748</v>
      </c>
      <c r="H7322" s="165" t="str">
        <f>IF(ISBLANK('Q 8'!F88),"",IF('Q 8'!F88="&lt;please select&gt;","",'Q 8'!F88))</f>
        <v>1</v>
      </c>
    </row>
    <row r="7323" spans="1:11" x14ac:dyDescent="0.3">
      <c r="A7323" t="s">
        <v>2082</v>
      </c>
      <c r="B7323" t="s">
        <v>2084</v>
      </c>
      <c r="C7323">
        <v>7</v>
      </c>
      <c r="D7323" t="s">
        <v>1447</v>
      </c>
      <c r="E7323" t="s">
        <v>1798</v>
      </c>
      <c r="F7323" t="s">
        <v>1748</v>
      </c>
      <c r="H7323" s="165" t="str">
        <f>IF(ISBLANK('Q 8'!F89),"",IF('Q 8'!F89="&lt;please select&gt;","",'Q 8'!F89))</f>
        <v>1</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4</v>
      </c>
    </row>
    <row r="7368" spans="1:8" x14ac:dyDescent="0.3">
      <c r="A7368" t="s">
        <v>2082</v>
      </c>
      <c r="B7368" t="s">
        <v>2084</v>
      </c>
      <c r="C7368">
        <v>2</v>
      </c>
      <c r="D7368" t="s">
        <v>1447</v>
      </c>
      <c r="E7368" t="s">
        <v>1972</v>
      </c>
      <c r="F7368" t="s">
        <v>1748</v>
      </c>
      <c r="H7368" s="165" t="str">
        <f>IF(ISBLANK('Q 8'!$G84),"",IF('Q 8'!$G84="&lt;please select&gt;","",'Q 8'!$G84))</f>
        <v>1</v>
      </c>
    </row>
    <row r="7369" spans="1:8" x14ac:dyDescent="0.3">
      <c r="A7369" t="s">
        <v>2082</v>
      </c>
      <c r="B7369" t="s">
        <v>2084</v>
      </c>
      <c r="C7369">
        <v>3</v>
      </c>
      <c r="D7369" t="s">
        <v>1447</v>
      </c>
      <c r="E7369" t="s">
        <v>1972</v>
      </c>
      <c r="F7369" t="s">
        <v>1748</v>
      </c>
      <c r="H7369" s="165" t="str">
        <f>IF(ISBLANK('Q 8'!$G85),"",IF('Q 8'!$G85="&lt;please select&gt;","",'Q 8'!$G85))</f>
        <v>1</v>
      </c>
    </row>
    <row r="7370" spans="1:8" x14ac:dyDescent="0.3">
      <c r="A7370" t="s">
        <v>2082</v>
      </c>
      <c r="B7370" t="s">
        <v>2084</v>
      </c>
      <c r="C7370">
        <v>4</v>
      </c>
      <c r="D7370" t="s">
        <v>1447</v>
      </c>
      <c r="E7370" t="s">
        <v>1972</v>
      </c>
      <c r="F7370" t="s">
        <v>1748</v>
      </c>
      <c r="H7370" s="165" t="str">
        <f>IF(ISBLANK('Q 8'!$G86),"",IF('Q 8'!$G86="&lt;please select&gt;","",'Q 8'!$G86))</f>
        <v>4</v>
      </c>
    </row>
    <row r="7371" spans="1:8" x14ac:dyDescent="0.3">
      <c r="A7371" t="s">
        <v>2082</v>
      </c>
      <c r="B7371" t="s">
        <v>2084</v>
      </c>
      <c r="C7371">
        <v>5</v>
      </c>
      <c r="D7371" t="s">
        <v>1447</v>
      </c>
      <c r="E7371" t="s">
        <v>1972</v>
      </c>
      <c r="F7371" t="s">
        <v>1748</v>
      </c>
      <c r="H7371" s="165" t="str">
        <f>IF(ISBLANK('Q 8'!$G87),"",IF('Q 8'!$G87="&lt;please select&gt;","",'Q 8'!$G87))</f>
        <v>1</v>
      </c>
    </row>
    <row r="7372" spans="1:8" x14ac:dyDescent="0.3">
      <c r="A7372" t="s">
        <v>2082</v>
      </c>
      <c r="B7372" t="s">
        <v>2084</v>
      </c>
      <c r="C7372">
        <v>6</v>
      </c>
      <c r="D7372" t="s">
        <v>1447</v>
      </c>
      <c r="E7372" t="s">
        <v>1972</v>
      </c>
      <c r="F7372" t="s">
        <v>1748</v>
      </c>
      <c r="H7372" s="165" t="str">
        <f>IF(ISBLANK('Q 8'!$G88),"",IF('Q 8'!$G88="&lt;please select&gt;","",'Q 8'!$G88))</f>
        <v>1</v>
      </c>
    </row>
    <row r="7373" spans="1:8" x14ac:dyDescent="0.3">
      <c r="A7373" t="s">
        <v>2082</v>
      </c>
      <c r="B7373" t="s">
        <v>2084</v>
      </c>
      <c r="C7373">
        <v>7</v>
      </c>
      <c r="D7373" t="s">
        <v>1447</v>
      </c>
      <c r="E7373" t="s">
        <v>1972</v>
      </c>
      <c r="F7373" t="s">
        <v>1748</v>
      </c>
      <c r="H7373" s="165" t="str">
        <f>IF(ISBLANK('Q 8'!$G89),"",IF('Q 8'!$G89="&lt;please select&gt;","",'Q 8'!$G89))</f>
        <v>1</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0</v>
      </c>
    </row>
    <row r="7418" spans="1:8" x14ac:dyDescent="0.3">
      <c r="A7418" t="s">
        <v>2082</v>
      </c>
      <c r="B7418" t="s">
        <v>2084</v>
      </c>
      <c r="C7418">
        <v>2</v>
      </c>
      <c r="D7418" t="s">
        <v>1447</v>
      </c>
      <c r="E7418" t="s">
        <v>2085</v>
      </c>
      <c r="F7418" t="s">
        <v>1748</v>
      </c>
      <c r="H7418" s="165" t="str">
        <f>IF(ISBLANK('Q 8'!$H84),"",IF('Q 8'!$H84="&lt;please select&gt;","",'Q 8'!$H84))</f>
        <v>0</v>
      </c>
    </row>
    <row r="7419" spans="1:8" x14ac:dyDescent="0.3">
      <c r="A7419" t="s">
        <v>2082</v>
      </c>
      <c r="B7419" t="s">
        <v>2084</v>
      </c>
      <c r="C7419">
        <v>3</v>
      </c>
      <c r="D7419" t="s">
        <v>1447</v>
      </c>
      <c r="E7419" t="s">
        <v>2085</v>
      </c>
      <c r="F7419" t="s">
        <v>1748</v>
      </c>
      <c r="H7419" s="165" t="str">
        <f>IF(ISBLANK('Q 8'!$H85),"",IF('Q 8'!$H85="&lt;please select&gt;","",'Q 8'!$H85))</f>
        <v>0</v>
      </c>
    </row>
    <row r="7420" spans="1:8" x14ac:dyDescent="0.3">
      <c r="A7420" t="s">
        <v>2082</v>
      </c>
      <c r="B7420" t="s">
        <v>2084</v>
      </c>
      <c r="C7420">
        <v>4</v>
      </c>
      <c r="D7420" t="s">
        <v>1447</v>
      </c>
      <c r="E7420" t="s">
        <v>2085</v>
      </c>
      <c r="F7420" t="s">
        <v>1748</v>
      </c>
      <c r="H7420" s="165" t="str">
        <f>IF(ISBLANK('Q 8'!$H86),"",IF('Q 8'!$H86="&lt;please select&gt;","",'Q 8'!$H86))</f>
        <v>0</v>
      </c>
    </row>
    <row r="7421" spans="1:8" x14ac:dyDescent="0.3">
      <c r="A7421" t="s">
        <v>2082</v>
      </c>
      <c r="B7421" t="s">
        <v>2084</v>
      </c>
      <c r="C7421">
        <v>5</v>
      </c>
      <c r="D7421" t="s">
        <v>1447</v>
      </c>
      <c r="E7421" t="s">
        <v>2085</v>
      </c>
      <c r="F7421" t="s">
        <v>1748</v>
      </c>
      <c r="H7421" s="165" t="str">
        <f>IF(ISBLANK('Q 8'!$H87),"",IF('Q 8'!$H87="&lt;please select&gt;","",'Q 8'!$H87))</f>
        <v>0</v>
      </c>
    </row>
    <row r="7422" spans="1:8" x14ac:dyDescent="0.3">
      <c r="A7422" t="s">
        <v>2082</v>
      </c>
      <c r="B7422" t="s">
        <v>2084</v>
      </c>
      <c r="C7422">
        <v>6</v>
      </c>
      <c r="D7422" t="s">
        <v>1447</v>
      </c>
      <c r="E7422" t="s">
        <v>2085</v>
      </c>
      <c r="F7422" t="s">
        <v>1748</v>
      </c>
      <c r="H7422" s="165" t="str">
        <f>IF(ISBLANK('Q 8'!$H88),"",IF('Q 8'!$H88="&lt;please select&gt;","",'Q 8'!$H88))</f>
        <v>0</v>
      </c>
    </row>
    <row r="7423" spans="1:8" x14ac:dyDescent="0.3">
      <c r="A7423" t="s">
        <v>2082</v>
      </c>
      <c r="B7423" t="s">
        <v>2084</v>
      </c>
      <c r="C7423">
        <v>7</v>
      </c>
      <c r="D7423" t="s">
        <v>1447</v>
      </c>
      <c r="E7423" t="s">
        <v>2085</v>
      </c>
      <c r="F7423" t="s">
        <v>1748</v>
      </c>
      <c r="H7423" s="165" t="str">
        <f>IF(ISBLANK('Q 8'!$H89),"",IF('Q 8'!$H89="&lt;please select&gt;","",'Q 8'!$H89))</f>
        <v>0</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5</v>
      </c>
    </row>
    <row r="7472" spans="1:11" x14ac:dyDescent="0.3">
      <c r="A7472" t="s">
        <v>2092</v>
      </c>
      <c r="B7472" t="s">
        <v>2093</v>
      </c>
      <c r="C7472">
        <v>2</v>
      </c>
      <c r="D7472" t="s">
        <v>1447</v>
      </c>
      <c r="E7472" t="s">
        <v>1798</v>
      </c>
      <c r="F7472" t="s">
        <v>1748</v>
      </c>
      <c r="H7472" s="165" t="str">
        <f>IF(ISBLANK('Q 8'!$F150),"",IF('Q 8'!$F150="&lt;please select&gt;","",'Q 8'!$F150))</f>
        <v/>
      </c>
    </row>
    <row r="7473" spans="1:11" x14ac:dyDescent="0.3">
      <c r="A7473" t="s">
        <v>2092</v>
      </c>
      <c r="B7473" t="s">
        <v>2093</v>
      </c>
      <c r="C7473">
        <v>3</v>
      </c>
      <c r="D7473" t="s">
        <v>1447</v>
      </c>
      <c r="E7473" t="s">
        <v>1798</v>
      </c>
      <c r="F7473" t="s">
        <v>1748</v>
      </c>
      <c r="H7473" s="165" t="str">
        <f>IF(ISBLANK('Q 8'!$F151),"",IF('Q 8'!$F151="&lt;please select&gt;","",'Q 8'!$F151))</f>
        <v/>
      </c>
    </row>
    <row r="7474" spans="1:11" x14ac:dyDescent="0.3">
      <c r="A7474" t="s">
        <v>2092</v>
      </c>
      <c r="B7474" t="s">
        <v>2093</v>
      </c>
      <c r="C7474">
        <v>4</v>
      </c>
      <c r="D7474" t="s">
        <v>1447</v>
      </c>
      <c r="E7474" t="s">
        <v>1798</v>
      </c>
      <c r="F7474" t="s">
        <v>1748</v>
      </c>
      <c r="H7474" s="165" t="str">
        <f>IF(ISBLANK('Q 8'!$F152),"",IF('Q 8'!$F152="&lt;please select&gt;","",'Q 8'!$F152))</f>
        <v/>
      </c>
    </row>
    <row r="7475" spans="1:11" x14ac:dyDescent="0.3">
      <c r="A7475" t="s">
        <v>2092</v>
      </c>
      <c r="B7475" t="s">
        <v>2093</v>
      </c>
      <c r="C7475">
        <v>1</v>
      </c>
      <c r="D7475" t="s">
        <v>1447</v>
      </c>
      <c r="E7475" t="s">
        <v>2094</v>
      </c>
      <c r="F7475" t="s">
        <v>1748</v>
      </c>
      <c r="H7475" s="165" t="str">
        <f>IF(ISBLANK('Q 8'!$H149),"",IF('Q 8'!$H149="&lt;please select&gt;","",'Q 8'!$H149))</f>
        <v>5</v>
      </c>
    </row>
    <row r="7476" spans="1:11" x14ac:dyDescent="0.3">
      <c r="A7476" t="s">
        <v>2092</v>
      </c>
      <c r="B7476" t="s">
        <v>2093</v>
      </c>
      <c r="C7476">
        <v>2</v>
      </c>
      <c r="D7476" t="s">
        <v>1447</v>
      </c>
      <c r="E7476" t="s">
        <v>2094</v>
      </c>
      <c r="F7476" t="s">
        <v>1748</v>
      </c>
      <c r="H7476" s="165" t="str">
        <f>IF(ISBLANK('Q 8'!$H150),"",IF('Q 8'!$H150="&lt;please select&gt;","",'Q 8'!$H150))</f>
        <v/>
      </c>
    </row>
    <row r="7477" spans="1:11" x14ac:dyDescent="0.3">
      <c r="A7477" t="s">
        <v>2092</v>
      </c>
      <c r="B7477" t="s">
        <v>2093</v>
      </c>
      <c r="C7477">
        <v>3</v>
      </c>
      <c r="D7477" t="s">
        <v>1447</v>
      </c>
      <c r="E7477" t="s">
        <v>2094</v>
      </c>
      <c r="F7477" t="s">
        <v>1748</v>
      </c>
      <c r="H7477" s="165" t="str">
        <f>IF(ISBLANK('Q 8'!$H151),"",IF('Q 8'!$H151="&lt;please select&gt;","",'Q 8'!$H151))</f>
        <v/>
      </c>
    </row>
    <row r="7478" spans="1:11" x14ac:dyDescent="0.3">
      <c r="A7478" t="s">
        <v>2092</v>
      </c>
      <c r="B7478" t="s">
        <v>2093</v>
      </c>
      <c r="C7478">
        <v>4</v>
      </c>
      <c r="D7478" t="s">
        <v>1447</v>
      </c>
      <c r="E7478" t="s">
        <v>2094</v>
      </c>
      <c r="F7478" t="s">
        <v>1748</v>
      </c>
      <c r="H7478" s="165" t="str">
        <f>IF(ISBLANK('Q 8'!$H152),"",IF('Q 8'!$H152="&lt;please select&gt;","",'Q 8'!$H152))</f>
        <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20 - Combustion of fuels as specified in Annex I of Directive 2003/87/EC</v>
      </c>
    </row>
    <row r="7481" spans="1:11" x14ac:dyDescent="0.3">
      <c r="A7481" t="s">
        <v>2096</v>
      </c>
      <c r="B7481" t="s">
        <v>2097</v>
      </c>
      <c r="C7481">
        <v>2</v>
      </c>
      <c r="D7481" t="s">
        <v>1447</v>
      </c>
      <c r="E7481" t="s">
        <v>1988</v>
      </c>
      <c r="F7481" t="s">
        <v>1737</v>
      </c>
      <c r="K7481" t="str">
        <f>IF(ISBLANK('Q 8'!$C158),"",IF('Q 8'!$C158="&lt;please select&gt;","",'Q 8'!$C158))</f>
        <v>30 - Production of lime or calcination of dolomite or magnesite as specified in Annex I of Directive 2003/87/ EC</v>
      </c>
    </row>
    <row r="7482" spans="1:11" x14ac:dyDescent="0.3">
      <c r="A7482" t="s">
        <v>2096</v>
      </c>
      <c r="B7482" t="s">
        <v>2097</v>
      </c>
      <c r="C7482">
        <v>3</v>
      </c>
      <c r="D7482" t="s">
        <v>1447</v>
      </c>
      <c r="E7482" t="s">
        <v>1988</v>
      </c>
      <c r="F7482" t="s">
        <v>1737</v>
      </c>
      <c r="K7482" t="str">
        <f>IF(ISBLANK('Q 8'!$C159),"",IF('Q 8'!$C159="&lt;please select&gt;","",'Q 8'!$C159))</f>
        <v>31 - Manufacture of glass as specified in Annex I of Directive 2003/87/EC</v>
      </c>
    </row>
    <row r="7483" spans="1:11" x14ac:dyDescent="0.3">
      <c r="A7483" t="s">
        <v>2096</v>
      </c>
      <c r="B7483" t="s">
        <v>2097</v>
      </c>
      <c r="C7483">
        <v>4</v>
      </c>
      <c r="D7483" t="s">
        <v>1447</v>
      </c>
      <c r="E7483" t="s">
        <v>1988</v>
      </c>
      <c r="F7483" t="s">
        <v>1737</v>
      </c>
      <c r="K7483" t="str">
        <f>IF(ISBLANK('Q 8'!$C160),"",IF('Q 8'!$C160="&lt;please select&gt;","",'Q 8'!$C160))</f>
        <v>32 - Manufacture of ceramic products as specified in Annex I of Directive 2003/87/EC</v>
      </c>
    </row>
    <row r="7484" spans="1:11" x14ac:dyDescent="0.3">
      <c r="A7484" t="s">
        <v>2096</v>
      </c>
      <c r="B7484" t="s">
        <v>2097</v>
      </c>
      <c r="C7484">
        <v>5</v>
      </c>
      <c r="D7484" t="s">
        <v>1447</v>
      </c>
      <c r="E7484" t="s">
        <v>1988</v>
      </c>
      <c r="F7484" t="s">
        <v>1737</v>
      </c>
      <c r="K7484" t="str">
        <f>IF(ISBLANK('Q 8'!$C161),"",IF('Q 8'!$C161="&lt;please select&gt;","",'Q 8'!$C161))</f>
        <v/>
      </c>
    </row>
    <row r="7485" spans="1:11" x14ac:dyDescent="0.3">
      <c r="A7485" t="s">
        <v>2096</v>
      </c>
      <c r="B7485" t="s">
        <v>2097</v>
      </c>
      <c r="C7485">
        <v>6</v>
      </c>
      <c r="D7485" t="s">
        <v>1447</v>
      </c>
      <c r="E7485" t="s">
        <v>1988</v>
      </c>
      <c r="F7485" t="s">
        <v>1737</v>
      </c>
      <c r="K7485" t="str">
        <f>IF(ISBLANK('Q 8'!$C162),"",IF('Q 8'!$C162="&lt;please select&gt;","",'Q 8'!$C162))</f>
        <v/>
      </c>
    </row>
    <row r="7486" spans="1:11" x14ac:dyDescent="0.3">
      <c r="A7486" t="s">
        <v>2096</v>
      </c>
      <c r="B7486" t="s">
        <v>2097</v>
      </c>
      <c r="C7486">
        <v>7</v>
      </c>
      <c r="D7486" t="s">
        <v>1447</v>
      </c>
      <c r="E7486" t="s">
        <v>1988</v>
      </c>
      <c r="F7486" t="s">
        <v>1737</v>
      </c>
      <c r="K7486" t="str">
        <f>IF(ISBLANK('Q 8'!$C163),"",IF('Q 8'!$C163="&lt;please select&gt;","",'Q 8'!$C163))</f>
        <v/>
      </c>
    </row>
    <row r="7487" spans="1:11" x14ac:dyDescent="0.3">
      <c r="A7487" t="s">
        <v>2096</v>
      </c>
      <c r="B7487" t="s">
        <v>2097</v>
      </c>
      <c r="C7487">
        <v>8</v>
      </c>
      <c r="D7487" t="s">
        <v>1447</v>
      </c>
      <c r="E7487" t="s">
        <v>1988</v>
      </c>
      <c r="F7487" t="s">
        <v>1737</v>
      </c>
      <c r="K7487" t="str">
        <f>IF(ISBLANK('Q 8'!$C164),"",IF('Q 8'!$C164="&lt;please select&gt;","",'Q 8'!$C164))</f>
        <v/>
      </c>
    </row>
    <row r="7488" spans="1:11" x14ac:dyDescent="0.3">
      <c r="A7488" t="s">
        <v>2096</v>
      </c>
      <c r="B7488" t="s">
        <v>2097</v>
      </c>
      <c r="C7488">
        <v>9</v>
      </c>
      <c r="D7488" t="s">
        <v>1447</v>
      </c>
      <c r="E7488" t="s">
        <v>1988</v>
      </c>
      <c r="F7488" t="s">
        <v>1737</v>
      </c>
      <c r="K7488" t="str">
        <f>IF(ISBLANK('Q 8'!$C165),"",IF('Q 8'!$C165="&lt;please select&gt;","",'Q 8'!$C165))</f>
        <v/>
      </c>
    </row>
    <row r="7489" spans="1:11" x14ac:dyDescent="0.3">
      <c r="A7489" t="s">
        <v>2096</v>
      </c>
      <c r="B7489" t="s">
        <v>2097</v>
      </c>
      <c r="C7489">
        <v>10</v>
      </c>
      <c r="D7489" t="s">
        <v>1447</v>
      </c>
      <c r="E7489" t="s">
        <v>1988</v>
      </c>
      <c r="F7489" t="s">
        <v>1737</v>
      </c>
      <c r="K7489" t="str">
        <f>IF(ISBLANK('Q 8'!$C166),"",IF('Q 8'!$C166="&lt;please select&gt;","",'Q 8'!$C166))</f>
        <v/>
      </c>
    </row>
    <row r="7490" spans="1:11" x14ac:dyDescent="0.3">
      <c r="A7490" t="s">
        <v>2096</v>
      </c>
      <c r="B7490" t="s">
        <v>2097</v>
      </c>
      <c r="C7490">
        <v>11</v>
      </c>
      <c r="D7490" t="s">
        <v>1447</v>
      </c>
      <c r="E7490" t="s">
        <v>1988</v>
      </c>
      <c r="F7490" t="s">
        <v>1737</v>
      </c>
      <c r="K7490" t="str">
        <f>IF(ISBLANK('Q 8'!$C167),"",IF('Q 8'!$C167="&lt;please select&gt;","",'Q 8'!$C167))</f>
        <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Non-material misstatements</v>
      </c>
    </row>
    <row r="7561" spans="1:11" x14ac:dyDescent="0.3">
      <c r="A7561" t="s">
        <v>2096</v>
      </c>
      <c r="B7561" t="s">
        <v>2097</v>
      </c>
      <c r="C7561">
        <v>2</v>
      </c>
      <c r="D7561" t="s">
        <v>1447</v>
      </c>
      <c r="E7561" t="s">
        <v>1989</v>
      </c>
      <c r="F7561" t="s">
        <v>1737</v>
      </c>
      <c r="K7561" t="str">
        <f>IF(ISBLANK('Q 8'!$E158),"",IF('Q 8'!$E158="&lt;please select&gt;","",'Q 8'!$E158))</f>
        <v>Non-material misstatements</v>
      </c>
    </row>
    <row r="7562" spans="1:11" x14ac:dyDescent="0.3">
      <c r="A7562" t="s">
        <v>2096</v>
      </c>
      <c r="B7562" t="s">
        <v>2097</v>
      </c>
      <c r="C7562">
        <v>3</v>
      </c>
      <c r="D7562" t="s">
        <v>1447</v>
      </c>
      <c r="E7562" t="s">
        <v>1989</v>
      </c>
      <c r="F7562" t="s">
        <v>1737</v>
      </c>
      <c r="K7562" t="str">
        <f>IF(ISBLANK('Q 8'!$E159),"",IF('Q 8'!$E159="&lt;please select&gt;","",'Q 8'!$E159))</f>
        <v>Non-material misstatements</v>
      </c>
    </row>
    <row r="7563" spans="1:11" x14ac:dyDescent="0.3">
      <c r="A7563" t="s">
        <v>2096</v>
      </c>
      <c r="B7563" t="s">
        <v>2097</v>
      </c>
      <c r="C7563">
        <v>4</v>
      </c>
      <c r="D7563" t="s">
        <v>1447</v>
      </c>
      <c r="E7563" t="s">
        <v>1989</v>
      </c>
      <c r="F7563" t="s">
        <v>1737</v>
      </c>
      <c r="K7563" t="str">
        <f>IF(ISBLANK('Q 8'!$E160),"",IF('Q 8'!$E160="&lt;please select&gt;","",'Q 8'!$E160))</f>
        <v>Non-material misstatements</v>
      </c>
    </row>
    <row r="7564" spans="1:11" x14ac:dyDescent="0.3">
      <c r="A7564" t="s">
        <v>2096</v>
      </c>
      <c r="B7564" t="s">
        <v>2097</v>
      </c>
      <c r="C7564">
        <v>5</v>
      </c>
      <c r="D7564" t="s">
        <v>1447</v>
      </c>
      <c r="E7564" t="s">
        <v>1989</v>
      </c>
      <c r="F7564" t="s">
        <v>1737</v>
      </c>
      <c r="K7564" t="str">
        <f>IF(ISBLANK('Q 8'!$E161),"",IF('Q 8'!$E161="&lt;please select&gt;","",'Q 8'!$E161))</f>
        <v/>
      </c>
    </row>
    <row r="7565" spans="1:11" x14ac:dyDescent="0.3">
      <c r="A7565" t="s">
        <v>2096</v>
      </c>
      <c r="B7565" t="s">
        <v>2097</v>
      </c>
      <c r="C7565">
        <v>6</v>
      </c>
      <c r="D7565" t="s">
        <v>1447</v>
      </c>
      <c r="E7565" t="s">
        <v>1989</v>
      </c>
      <c r="F7565" t="s">
        <v>1737</v>
      </c>
      <c r="K7565" t="str">
        <f>IF(ISBLANK('Q 8'!$E162),"",IF('Q 8'!$E162="&lt;please select&gt;","",'Q 8'!$E162))</f>
        <v/>
      </c>
    </row>
    <row r="7566" spans="1:11" x14ac:dyDescent="0.3">
      <c r="A7566" t="s">
        <v>2096</v>
      </c>
      <c r="B7566" t="s">
        <v>2097</v>
      </c>
      <c r="C7566">
        <v>7</v>
      </c>
      <c r="D7566" t="s">
        <v>1447</v>
      </c>
      <c r="E7566" t="s">
        <v>1989</v>
      </c>
      <c r="F7566" t="s">
        <v>1737</v>
      </c>
      <c r="K7566" t="str">
        <f>IF(ISBLANK('Q 8'!$E163),"",IF('Q 8'!$E163="&lt;please select&gt;","",'Q 8'!$E163))</f>
        <v/>
      </c>
    </row>
    <row r="7567" spans="1:11" x14ac:dyDescent="0.3">
      <c r="A7567" t="s">
        <v>2096</v>
      </c>
      <c r="B7567" t="s">
        <v>2097</v>
      </c>
      <c r="C7567">
        <v>8</v>
      </c>
      <c r="D7567" t="s">
        <v>1447</v>
      </c>
      <c r="E7567" t="s">
        <v>1989</v>
      </c>
      <c r="F7567" t="s">
        <v>1737</v>
      </c>
      <c r="K7567" t="str">
        <f>IF(ISBLANK('Q 8'!$E164),"",IF('Q 8'!$E164="&lt;please select&gt;","",'Q 8'!$E164))</f>
        <v/>
      </c>
    </row>
    <row r="7568" spans="1:11" x14ac:dyDescent="0.3">
      <c r="A7568" t="s">
        <v>2096</v>
      </c>
      <c r="B7568" t="s">
        <v>2097</v>
      </c>
      <c r="C7568">
        <v>9</v>
      </c>
      <c r="D7568" t="s">
        <v>1447</v>
      </c>
      <c r="E7568" t="s">
        <v>1989</v>
      </c>
      <c r="F7568" t="s">
        <v>1737</v>
      </c>
      <c r="K7568" t="str">
        <f>IF(ISBLANK('Q 8'!$E165),"",IF('Q 8'!$E165="&lt;please select&gt;","",'Q 8'!$E165))</f>
        <v/>
      </c>
    </row>
    <row r="7569" spans="1:11" x14ac:dyDescent="0.3">
      <c r="A7569" t="s">
        <v>2096</v>
      </c>
      <c r="B7569" t="s">
        <v>2097</v>
      </c>
      <c r="C7569">
        <v>10</v>
      </c>
      <c r="D7569" t="s">
        <v>1447</v>
      </c>
      <c r="E7569" t="s">
        <v>1989</v>
      </c>
      <c r="F7569" t="s">
        <v>1737</v>
      </c>
      <c r="K7569" t="str">
        <f>IF(ISBLANK('Q 8'!$E166),"",IF('Q 8'!$E166="&lt;please select&gt;","",'Q 8'!$E166))</f>
        <v/>
      </c>
    </row>
    <row r="7570" spans="1:11" x14ac:dyDescent="0.3">
      <c r="A7570" t="s">
        <v>2096</v>
      </c>
      <c r="B7570" t="s">
        <v>2097</v>
      </c>
      <c r="C7570">
        <v>11</v>
      </c>
      <c r="D7570" t="s">
        <v>1447</v>
      </c>
      <c r="E7570" t="s">
        <v>1989</v>
      </c>
      <c r="F7570" t="s">
        <v>1737</v>
      </c>
      <c r="K7570" t="str">
        <f>IF(ISBLANK('Q 8'!$E167),"",IF('Q 8'!$E167="&lt;please select&gt;","",'Q 8'!$E167))</f>
        <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28</v>
      </c>
    </row>
    <row r="7641" spans="1:11" x14ac:dyDescent="0.3">
      <c r="A7641" t="s">
        <v>2096</v>
      </c>
      <c r="B7641" t="s">
        <v>2097</v>
      </c>
      <c r="C7641">
        <v>2</v>
      </c>
      <c r="D7641" t="s">
        <v>1447</v>
      </c>
      <c r="E7641" t="s">
        <v>1798</v>
      </c>
      <c r="F7641" t="s">
        <v>1748</v>
      </c>
      <c r="H7641" s="165" t="str">
        <f>IF(ISBLANK('Q 8'!$F158),"",IF('Q 8'!$F158="&lt;please select&gt;","",'Q 8'!$F158))</f>
        <v>1</v>
      </c>
    </row>
    <row r="7642" spans="1:11" x14ac:dyDescent="0.3">
      <c r="A7642" t="s">
        <v>2096</v>
      </c>
      <c r="B7642" t="s">
        <v>2097</v>
      </c>
      <c r="C7642">
        <v>3</v>
      </c>
      <c r="D7642" t="s">
        <v>1447</v>
      </c>
      <c r="E7642" t="s">
        <v>1798</v>
      </c>
      <c r="F7642" t="s">
        <v>1748</v>
      </c>
      <c r="H7642" s="165" t="str">
        <f>IF(ISBLANK('Q 8'!$F159),"",IF('Q 8'!$F159="&lt;please select&gt;","",'Q 8'!$F159))</f>
        <v>1</v>
      </c>
    </row>
    <row r="7643" spans="1:11" x14ac:dyDescent="0.3">
      <c r="A7643" t="s">
        <v>2096</v>
      </c>
      <c r="B7643" t="s">
        <v>2097</v>
      </c>
      <c r="C7643">
        <v>4</v>
      </c>
      <c r="D7643" t="s">
        <v>1447</v>
      </c>
      <c r="E7643" t="s">
        <v>1798</v>
      </c>
      <c r="F7643" t="s">
        <v>1748</v>
      </c>
      <c r="H7643" s="165" t="str">
        <f>IF(ISBLANK('Q 8'!$F160),"",IF('Q 8'!$F160="&lt;please select&gt;","",'Q 8'!$F160))</f>
        <v>1</v>
      </c>
    </row>
    <row r="7644" spans="1:11" x14ac:dyDescent="0.3">
      <c r="A7644" t="s">
        <v>2096</v>
      </c>
      <c r="B7644" t="s">
        <v>2097</v>
      </c>
      <c r="C7644">
        <v>5</v>
      </c>
      <c r="D7644" t="s">
        <v>1447</v>
      </c>
      <c r="E7644" t="s">
        <v>1798</v>
      </c>
      <c r="F7644" t="s">
        <v>1748</v>
      </c>
      <c r="H7644" s="165" t="str">
        <f>IF(ISBLANK('Q 8'!$F161),"",IF('Q 8'!$F161="&lt;please select&gt;","",'Q 8'!$F161))</f>
        <v/>
      </c>
    </row>
    <row r="7645" spans="1:11" x14ac:dyDescent="0.3">
      <c r="A7645" t="s">
        <v>2096</v>
      </c>
      <c r="B7645" t="s">
        <v>2097</v>
      </c>
      <c r="C7645">
        <v>6</v>
      </c>
      <c r="D7645" t="s">
        <v>1447</v>
      </c>
      <c r="E7645" t="s">
        <v>1798</v>
      </c>
      <c r="F7645" t="s">
        <v>1748</v>
      </c>
      <c r="H7645" s="165" t="str">
        <f>IF(ISBLANK('Q 8'!$F162),"",IF('Q 8'!$F162="&lt;please select&gt;","",'Q 8'!$F162))</f>
        <v/>
      </c>
    </row>
    <row r="7646" spans="1:11" x14ac:dyDescent="0.3">
      <c r="A7646" t="s">
        <v>2096</v>
      </c>
      <c r="B7646" t="s">
        <v>2097</v>
      </c>
      <c r="C7646">
        <v>7</v>
      </c>
      <c r="D7646" t="s">
        <v>1447</v>
      </c>
      <c r="E7646" t="s">
        <v>1798</v>
      </c>
      <c r="F7646" t="s">
        <v>1748</v>
      </c>
      <c r="H7646" s="165" t="str">
        <f>IF(ISBLANK('Q 8'!$F163),"",IF('Q 8'!$F163="&lt;please select&gt;","",'Q 8'!$F163))</f>
        <v/>
      </c>
    </row>
    <row r="7647" spans="1:11" x14ac:dyDescent="0.3">
      <c r="A7647" t="s">
        <v>2096</v>
      </c>
      <c r="B7647" t="s">
        <v>2097</v>
      </c>
      <c r="C7647">
        <v>8</v>
      </c>
      <c r="D7647" t="s">
        <v>1447</v>
      </c>
      <c r="E7647" t="s">
        <v>1798</v>
      </c>
      <c r="F7647" t="s">
        <v>1748</v>
      </c>
      <c r="H7647" s="165" t="str">
        <f>IF(ISBLANK('Q 8'!$F164),"",IF('Q 8'!$F164="&lt;please select&gt;","",'Q 8'!$F164))</f>
        <v/>
      </c>
    </row>
    <row r="7648" spans="1:11" x14ac:dyDescent="0.3">
      <c r="A7648" t="s">
        <v>2096</v>
      </c>
      <c r="B7648" t="s">
        <v>2097</v>
      </c>
      <c r="C7648">
        <v>9</v>
      </c>
      <c r="D7648" t="s">
        <v>1447</v>
      </c>
      <c r="E7648" t="s">
        <v>1798</v>
      </c>
      <c r="F7648" t="s">
        <v>1748</v>
      </c>
      <c r="H7648" s="165" t="str">
        <f>IF(ISBLANK('Q 8'!$F165),"",IF('Q 8'!$F165="&lt;please select&gt;","",'Q 8'!$F165))</f>
        <v/>
      </c>
    </row>
    <row r="7649" spans="1:8" x14ac:dyDescent="0.3">
      <c r="A7649" t="s">
        <v>2096</v>
      </c>
      <c r="B7649" t="s">
        <v>2097</v>
      </c>
      <c r="C7649">
        <v>10</v>
      </c>
      <c r="D7649" t="s">
        <v>1447</v>
      </c>
      <c r="E7649" t="s">
        <v>1798</v>
      </c>
      <c r="F7649" t="s">
        <v>1748</v>
      </c>
      <c r="H7649" s="165" t="str">
        <f>IF(ISBLANK('Q 8'!$F166),"",IF('Q 8'!$F166="&lt;please select&gt;","",'Q 8'!$F166))</f>
        <v/>
      </c>
    </row>
    <row r="7650" spans="1:8" x14ac:dyDescent="0.3">
      <c r="A7650" t="s">
        <v>2096</v>
      </c>
      <c r="B7650" t="s">
        <v>2097</v>
      </c>
      <c r="C7650">
        <v>11</v>
      </c>
      <c r="D7650" t="s">
        <v>1447</v>
      </c>
      <c r="E7650" t="s">
        <v>1798</v>
      </c>
      <c r="F7650" t="s">
        <v>1748</v>
      </c>
      <c r="H7650" s="165" t="str">
        <f>IF(ISBLANK('Q 8'!$F167),"",IF('Q 8'!$F167="&lt;please select&gt;","",'Q 8'!$F167))</f>
        <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37</v>
      </c>
    </row>
    <row r="7721" spans="1:8" x14ac:dyDescent="0.3">
      <c r="A7721" t="s">
        <v>2096</v>
      </c>
      <c r="B7721" t="s">
        <v>2097</v>
      </c>
      <c r="C7721">
        <v>2</v>
      </c>
      <c r="D7721" t="s">
        <v>1447</v>
      </c>
      <c r="E7721" t="s">
        <v>1972</v>
      </c>
      <c r="F7721" t="s">
        <v>1748</v>
      </c>
      <c r="H7721" s="165" t="str">
        <f>IF(ISBLANK('Q 8'!$G158),"",IF('Q 8'!$G158="&lt;please select&gt;","",'Q 8'!$G158))</f>
        <v>1</v>
      </c>
    </row>
    <row r="7722" spans="1:8" x14ac:dyDescent="0.3">
      <c r="A7722" t="s">
        <v>2096</v>
      </c>
      <c r="B7722" t="s">
        <v>2097</v>
      </c>
      <c r="C7722">
        <v>3</v>
      </c>
      <c r="D7722" t="s">
        <v>1447</v>
      </c>
      <c r="E7722" t="s">
        <v>1972</v>
      </c>
      <c r="F7722" t="s">
        <v>1748</v>
      </c>
      <c r="H7722" s="165" t="str">
        <f>IF(ISBLANK('Q 8'!$G159),"",IF('Q 8'!$G159="&lt;please select&gt;","",'Q 8'!$G159))</f>
        <v>1</v>
      </c>
    </row>
    <row r="7723" spans="1:8" x14ac:dyDescent="0.3">
      <c r="A7723" t="s">
        <v>2096</v>
      </c>
      <c r="B7723" t="s">
        <v>2097</v>
      </c>
      <c r="C7723">
        <v>4</v>
      </c>
      <c r="D7723" t="s">
        <v>1447</v>
      </c>
      <c r="E7723" t="s">
        <v>1972</v>
      </c>
      <c r="F7723" t="s">
        <v>1748</v>
      </c>
      <c r="H7723" s="165" t="str">
        <f>IF(ISBLANK('Q 8'!$G160),"",IF('Q 8'!$G160="&lt;please select&gt;","",'Q 8'!$G160))</f>
        <v>2</v>
      </c>
    </row>
    <row r="7724" spans="1:8" x14ac:dyDescent="0.3">
      <c r="A7724" t="s">
        <v>2096</v>
      </c>
      <c r="B7724" t="s">
        <v>2097</v>
      </c>
      <c r="C7724">
        <v>5</v>
      </c>
      <c r="D7724" t="s">
        <v>1447</v>
      </c>
      <c r="E7724" t="s">
        <v>1972</v>
      </c>
      <c r="F7724" t="s">
        <v>1748</v>
      </c>
      <c r="H7724" s="165" t="str">
        <f>IF(ISBLANK('Q 8'!$G161),"",IF('Q 8'!$G161="&lt;please select&gt;","",'Q 8'!$G161))</f>
        <v/>
      </c>
    </row>
    <row r="7725" spans="1:8" x14ac:dyDescent="0.3">
      <c r="A7725" t="s">
        <v>2096</v>
      </c>
      <c r="B7725" t="s">
        <v>2097</v>
      </c>
      <c r="C7725">
        <v>6</v>
      </c>
      <c r="D7725" t="s">
        <v>1447</v>
      </c>
      <c r="E7725" t="s">
        <v>1972</v>
      </c>
      <c r="F7725" t="s">
        <v>1748</v>
      </c>
      <c r="H7725" s="165" t="str">
        <f>IF(ISBLANK('Q 8'!$G162),"",IF('Q 8'!$G162="&lt;please select&gt;","",'Q 8'!$G162))</f>
        <v/>
      </c>
    </row>
    <row r="7726" spans="1:8" x14ac:dyDescent="0.3">
      <c r="A7726" t="s">
        <v>2096</v>
      </c>
      <c r="B7726" t="s">
        <v>2097</v>
      </c>
      <c r="C7726">
        <v>7</v>
      </c>
      <c r="D7726" t="s">
        <v>1447</v>
      </c>
      <c r="E7726" t="s">
        <v>1972</v>
      </c>
      <c r="F7726" t="s">
        <v>1748</v>
      </c>
      <c r="H7726" s="165" t="str">
        <f>IF(ISBLANK('Q 8'!$G163),"",IF('Q 8'!$G163="&lt;please select&gt;","",'Q 8'!$G163))</f>
        <v/>
      </c>
    </row>
    <row r="7727" spans="1:8" x14ac:dyDescent="0.3">
      <c r="A7727" t="s">
        <v>2096</v>
      </c>
      <c r="B7727" t="s">
        <v>2097</v>
      </c>
      <c r="C7727">
        <v>8</v>
      </c>
      <c r="D7727" t="s">
        <v>1447</v>
      </c>
      <c r="E7727" t="s">
        <v>1972</v>
      </c>
      <c r="F7727" t="s">
        <v>1748</v>
      </c>
      <c r="H7727" s="165" t="str">
        <f>IF(ISBLANK('Q 8'!$G164),"",IF('Q 8'!$G164="&lt;please select&gt;","",'Q 8'!$G164))</f>
        <v/>
      </c>
    </row>
    <row r="7728" spans="1:8" x14ac:dyDescent="0.3">
      <c r="A7728" t="s">
        <v>2096</v>
      </c>
      <c r="B7728" t="s">
        <v>2097</v>
      </c>
      <c r="C7728">
        <v>9</v>
      </c>
      <c r="D7728" t="s">
        <v>1447</v>
      </c>
      <c r="E7728" t="s">
        <v>1972</v>
      </c>
      <c r="F7728" t="s">
        <v>1748</v>
      </c>
      <c r="H7728" s="165" t="str">
        <f>IF(ISBLANK('Q 8'!$G165),"",IF('Q 8'!$G165="&lt;please select&gt;","",'Q 8'!$G165))</f>
        <v/>
      </c>
    </row>
    <row r="7729" spans="1:8" x14ac:dyDescent="0.3">
      <c r="A7729" t="s">
        <v>2096</v>
      </c>
      <c r="B7729" t="s">
        <v>2097</v>
      </c>
      <c r="C7729">
        <v>10</v>
      </c>
      <c r="D7729" t="s">
        <v>1447</v>
      </c>
      <c r="E7729" t="s">
        <v>1972</v>
      </c>
      <c r="F7729" t="s">
        <v>1748</v>
      </c>
      <c r="H7729" s="165" t="str">
        <f>IF(ISBLANK('Q 8'!$G166),"",IF('Q 8'!$G166="&lt;please select&gt;","",'Q 8'!$G166))</f>
        <v/>
      </c>
    </row>
    <row r="7730" spans="1:8" x14ac:dyDescent="0.3">
      <c r="A7730" t="s">
        <v>2096</v>
      </c>
      <c r="B7730" t="s">
        <v>2097</v>
      </c>
      <c r="C7730">
        <v>11</v>
      </c>
      <c r="D7730" t="s">
        <v>1447</v>
      </c>
      <c r="E7730" t="s">
        <v>1972</v>
      </c>
      <c r="F7730" t="s">
        <v>1748</v>
      </c>
      <c r="H7730" s="165" t="str">
        <f>IF(ISBLANK('Q 8'!$G167),"",IF('Q 8'!$G167="&lt;please select&gt;","",'Q 8'!$G167))</f>
        <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1</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
      </c>
    </row>
    <row r="7805" spans="1:8" x14ac:dyDescent="0.3">
      <c r="A7805" t="s">
        <v>2096</v>
      </c>
      <c r="B7805" t="s">
        <v>2097</v>
      </c>
      <c r="C7805">
        <v>6</v>
      </c>
      <c r="D7805" t="s">
        <v>1447</v>
      </c>
      <c r="E7805" t="s">
        <v>2094</v>
      </c>
      <c r="F7805" t="s">
        <v>1748</v>
      </c>
      <c r="H7805" s="165" t="str">
        <f>IF(ISBLANK('Q 8'!$H162),"",IF('Q 8'!$H162="&lt;please select&gt;","",'Q 8'!$H162))</f>
        <v/>
      </c>
    </row>
    <row r="7806" spans="1:8" x14ac:dyDescent="0.3">
      <c r="A7806" t="s">
        <v>2096</v>
      </c>
      <c r="B7806" t="s">
        <v>2097</v>
      </c>
      <c r="C7806">
        <v>7</v>
      </c>
      <c r="D7806" t="s">
        <v>1447</v>
      </c>
      <c r="E7806" t="s">
        <v>2094</v>
      </c>
      <c r="F7806" t="s">
        <v>1748</v>
      </c>
      <c r="H7806" s="165" t="str">
        <f>IF(ISBLANK('Q 8'!$H163),"",IF('Q 8'!$H163="&lt;please select&gt;","",'Q 8'!$H163))</f>
        <v/>
      </c>
    </row>
    <row r="7807" spans="1:8" x14ac:dyDescent="0.3">
      <c r="A7807" t="s">
        <v>2096</v>
      </c>
      <c r="B7807" t="s">
        <v>2097</v>
      </c>
      <c r="C7807">
        <v>8</v>
      </c>
      <c r="D7807" t="s">
        <v>1447</v>
      </c>
      <c r="E7807" t="s">
        <v>2094</v>
      </c>
      <c r="F7807" t="s">
        <v>1748</v>
      </c>
      <c r="H7807" s="165" t="str">
        <f>IF(ISBLANK('Q 8'!$H164),"",IF('Q 8'!$H164="&lt;please select&gt;","",'Q 8'!$H164))</f>
        <v/>
      </c>
    </row>
    <row r="7808" spans="1:8" x14ac:dyDescent="0.3">
      <c r="A7808" t="s">
        <v>2096</v>
      </c>
      <c r="B7808" t="s">
        <v>2097</v>
      </c>
      <c r="C7808">
        <v>9</v>
      </c>
      <c r="D7808" t="s">
        <v>1447</v>
      </c>
      <c r="E7808" t="s">
        <v>2094</v>
      </c>
      <c r="F7808" t="s">
        <v>1748</v>
      </c>
      <c r="H7808" s="165" t="str">
        <f>IF(ISBLANK('Q 8'!$H165),"",IF('Q 8'!$H165="&lt;please select&gt;","",'Q 8'!$H165))</f>
        <v/>
      </c>
    </row>
    <row r="7809" spans="1:8" x14ac:dyDescent="0.3">
      <c r="A7809" t="s">
        <v>2096</v>
      </c>
      <c r="B7809" t="s">
        <v>2097</v>
      </c>
      <c r="C7809">
        <v>10</v>
      </c>
      <c r="D7809" t="s">
        <v>1447</v>
      </c>
      <c r="E7809" t="s">
        <v>2094</v>
      </c>
      <c r="F7809" t="s">
        <v>1748</v>
      </c>
      <c r="H7809" s="165" t="str">
        <f>IF(ISBLANK('Q 8'!$H166),"",IF('Q 8'!$H166="&lt;please select&gt;","",'Q 8'!$H166))</f>
        <v/>
      </c>
    </row>
    <row r="7810" spans="1:8" x14ac:dyDescent="0.3">
      <c r="A7810" t="s">
        <v>2096</v>
      </c>
      <c r="B7810" t="s">
        <v>2097</v>
      </c>
      <c r="C7810">
        <v>11</v>
      </c>
      <c r="D7810" t="s">
        <v>1447</v>
      </c>
      <c r="E7810" t="s">
        <v>2094</v>
      </c>
      <c r="F7810" t="s">
        <v>1748</v>
      </c>
      <c r="H7810" s="165" t="str">
        <f>IF(ISBLANK('Q 8'!$H167),"",IF('Q 8'!$H167="&lt;please select&gt;","",'Q 8'!$H167))</f>
        <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Yes</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1</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Yes</v>
      </c>
    </row>
    <row r="7893" spans="1:11" x14ac:dyDescent="0.3">
      <c r="A7893" t="s">
        <v>2106</v>
      </c>
      <c r="B7893" t="s">
        <v>2108</v>
      </c>
      <c r="C7893">
        <v>1</v>
      </c>
      <c r="D7893" t="s">
        <v>1447</v>
      </c>
      <c r="E7893" t="s">
        <v>2010</v>
      </c>
      <c r="F7893" t="s">
        <v>1741</v>
      </c>
      <c r="G7893" t="str">
        <f>IF(ISBLANK('Q 8'!$C264),"",IF('Q 8'!$C264="&lt;please select&gt;","",'Q 8'!$C264))</f>
        <v>Obostrzenia COVID</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56</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Approval by competent authority</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Właściwy organ zezwolił na wirtualne wizyty w obiekcie bez potrzeby indywidualnego zatwierdzania zgodnie z art. 34a ust. 4 AVR</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
      </c>
    </row>
    <row r="7950" spans="1:9" x14ac:dyDescent="0.3">
      <c r="A7950" t="s">
        <v>2109</v>
      </c>
      <c r="B7950" t="s">
        <v>2110</v>
      </c>
      <c r="C7950">
        <v>2</v>
      </c>
      <c r="D7950" t="s">
        <v>1447</v>
      </c>
      <c r="E7950" t="s">
        <v>2112</v>
      </c>
      <c r="F7950" t="s">
        <v>1806</v>
      </c>
      <c r="I7950" s="165" t="str">
        <f>IF(ISBLANK('Q 8'!$F284),"",IF('Q 8'!$F284="&lt;please select&gt;","",'Q 8'!$F284))</f>
        <v/>
      </c>
    </row>
    <row r="7951" spans="1:9" x14ac:dyDescent="0.3">
      <c r="A7951" t="s">
        <v>2109</v>
      </c>
      <c r="B7951" t="s">
        <v>2110</v>
      </c>
      <c r="C7951">
        <v>3</v>
      </c>
      <c r="D7951" t="s">
        <v>1447</v>
      </c>
      <c r="E7951" t="s">
        <v>2112</v>
      </c>
      <c r="F7951" t="s">
        <v>1806</v>
      </c>
      <c r="I7951" s="165" t="str">
        <f>IF(ISBLANK('Q 8'!$F285),"",IF('Q 8'!$F285="&lt;please select&gt;","",'Q 8'!$F285))</f>
        <v/>
      </c>
    </row>
    <row r="7952" spans="1:9" x14ac:dyDescent="0.3">
      <c r="A7952" t="s">
        <v>2109</v>
      </c>
      <c r="B7952" t="s">
        <v>2110</v>
      </c>
      <c r="C7952">
        <v>4</v>
      </c>
      <c r="D7952" t="s">
        <v>1447</v>
      </c>
      <c r="E7952" t="s">
        <v>2112</v>
      </c>
      <c r="F7952" t="s">
        <v>1806</v>
      </c>
      <c r="I7952" s="165" t="str">
        <f>IF(ISBLANK('Q 8'!$F286),"",IF('Q 8'!$F286="&lt;please select&gt;","",'Q 8'!$F286))</f>
        <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Zgodnie z art. 4 i 5 rozporządzenia 2019/331 aby złożyć wniosek o bezpłatny przydział uprawnień do emisji prowadzący instalację musi posiadać zatwierdzony plan metodyki monitorowania. Brak zatwierdzonego planu monitorowania powoduje ze wniosek jest niekompletny i KOBiZE wzywa prowadzącego instalację do usunięcia braków w terminie nie dłuższym niż 14 dni od dnia doręczenia wezwania, zgodnie z art. 26b ust. 3 i art. 64 ust. 2a ustawy z dnia 12 czerwca 2015 r. o systemie handlu uprawnieniami do emisji (t.j. Dz.U. 2022 poz. 1092)</v>
      </c>
    </row>
    <row r="7974" spans="1:10" x14ac:dyDescent="0.3">
      <c r="A7974" t="s">
        <v>2109</v>
      </c>
      <c r="B7974" t="s">
        <v>2110</v>
      </c>
      <c r="C7974">
        <v>2</v>
      </c>
      <c r="D7974" t="s">
        <v>1447</v>
      </c>
      <c r="E7974" t="s">
        <v>2115</v>
      </c>
      <c r="F7974" t="s">
        <v>1741</v>
      </c>
      <c r="G7974" t="str">
        <f>IF(ISBLANK('Q 8'!$I284),"",IF('Q 8'!$I284="&lt;please select&gt;","",'Q 8'!$I284))</f>
        <v>Na podstawie art. 64a ust. 1 ustawy dnia 12 czerwca 2015 r. o systemie handlu uprawnieniami do emisji Krajowy ośrodek ocenia raport zgodnie z przepisami art. 7–12 rozporządzenia Komisji (UE) 2019/331. KOBiZE dokonuje zachowawczego oszacowania wartości parametrów, o których mowa w art. 3 ust. 4 rozporządzenia Komisji (UE) 2019/1842, w przypadkach wskazanych w tym przepisie, w tym w przypadku gdy raport jest niezgodny z przepisami rozporządzenia 2019/331  lub rozporzadzenia 2019/1842</v>
      </c>
    </row>
    <row r="7975" spans="1:10" x14ac:dyDescent="0.3">
      <c r="A7975" t="s">
        <v>2109</v>
      </c>
      <c r="B7975" t="s">
        <v>2110</v>
      </c>
      <c r="C7975">
        <v>3</v>
      </c>
      <c r="D7975" t="s">
        <v>1447</v>
      </c>
      <c r="E7975" t="s">
        <v>2115</v>
      </c>
      <c r="F7975" t="s">
        <v>1741</v>
      </c>
      <c r="G7975" t="str">
        <f>IF(ISBLANK('Q 8'!$I285),"",IF('Q 8'!$I285="&lt;please select&gt;","",'Q 8'!$I285))</f>
        <v>1) Organ właściwy do wydania zezwolenia wszczyna z urzędu postępowanie w sprawie zatwierdzenia planu metodyki monitorowania, jeżeli prowadzący instalację nie wystąpił o zatwierdzenie istotnej zmiany planu metodyki monitorowania w terminie 21 dni od zgłoszenia zmiany. (art. 26g ust. 3 ustawy)
2) Niezgodności planu metodyki monitorowania i raportu ALC powoduje zgodnie z art. 64a ust. 2 dokonanie zachowawczego oszacowania wartości parametrów przez KOBiZE. KOBiZE wzywa prowadzącego instalację do: a) złożenia wyjaśnień lub b) przedstawienia informacji i danych potrzebnych do oszacowania parametru, który zgodnie z art. 3 ust. 2 rozporządzenia Komisji (UE) 2019/1842 powinien zawierać raport dotyczący poziomu działalności, lub weryfikatora do przedłożenia wewnętrznej dokumentacji z weryfikacji, o której mowa w art. 26 rozporządzenia Komisji (UE) 2018/2067, w terminie 7 dni od dnia doręczenia wezwania.</v>
      </c>
    </row>
    <row r="7976" spans="1:10" x14ac:dyDescent="0.3">
      <c r="A7976" t="s">
        <v>2109</v>
      </c>
      <c r="B7976" t="s">
        <v>2110</v>
      </c>
      <c r="C7976">
        <v>4</v>
      </c>
      <c r="D7976" t="s">
        <v>1447</v>
      </c>
      <c r="E7976" t="s">
        <v>2115</v>
      </c>
      <c r="F7976" t="s">
        <v>1741</v>
      </c>
      <c r="G7976" t="str">
        <f>IF(ISBLANK('Q 8'!$I286),"",IF('Q 8'!$I286="&lt;please select&gt;","",'Q 8'!$I286))</f>
        <v>KOBiZE dokonuje zachowawczego oszacowania wartości parametrów, o których mowa w art. 3 ust. 4 rozporządzenia Komisji (UE) 2019/1842.</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Yes</v>
      </c>
    </row>
    <row r="8170" spans="1:11" x14ac:dyDescent="0.3">
      <c r="A8170" t="s">
        <v>2130</v>
      </c>
      <c r="B8170" t="s">
        <v>2132</v>
      </c>
      <c r="C8170">
        <v>1</v>
      </c>
      <c r="D8170" t="s">
        <v>1447</v>
      </c>
      <c r="E8170" t="s">
        <v>2133</v>
      </c>
      <c r="F8170" t="s">
        <v>1806</v>
      </c>
      <c r="I8170" s="165" t="str">
        <f>IF(ISBLANK('Q 9'!$G9),"",IF('Q 9'!$G9="&lt;please select&gt;","",'Q 9'!$G9))</f>
        <v>17.52</v>
      </c>
    </row>
    <row r="8171" spans="1:11" x14ac:dyDescent="0.3">
      <c r="A8171" t="s">
        <v>2130</v>
      </c>
      <c r="B8171" t="s">
        <v>2132</v>
      </c>
      <c r="C8171">
        <v>2</v>
      </c>
      <c r="D8171" t="s">
        <v>1447</v>
      </c>
      <c r="E8171" t="s">
        <v>2133</v>
      </c>
      <c r="F8171" t="s">
        <v>1806</v>
      </c>
      <c r="I8171" s="165" t="str">
        <f>IF(ISBLANK('Q 9'!$G10),"",IF('Q 9'!$G10="&lt;please select&gt;","",'Q 9'!$G10))</f>
        <v>2.13</v>
      </c>
    </row>
    <row r="8172" spans="1:11" x14ac:dyDescent="0.3">
      <c r="A8172" t="s">
        <v>2130</v>
      </c>
      <c r="B8172" t="s">
        <v>2132</v>
      </c>
      <c r="C8172">
        <v>3</v>
      </c>
      <c r="D8172" t="s">
        <v>1447</v>
      </c>
      <c r="E8172" t="s">
        <v>2133</v>
      </c>
      <c r="F8172" t="s">
        <v>1806</v>
      </c>
      <c r="I8172" s="165" t="str">
        <f>IF(ISBLANK('Q 9'!$G11),"",IF('Q 9'!$G11="&lt;please select&gt;","",'Q 9'!$G11))</f>
        <v>2.13</v>
      </c>
    </row>
    <row r="8173" spans="1:11" x14ac:dyDescent="0.3">
      <c r="A8173" t="s">
        <v>2130</v>
      </c>
      <c r="B8173" t="s">
        <v>2132</v>
      </c>
      <c r="C8173">
        <v>4</v>
      </c>
      <c r="D8173" t="s">
        <v>1447</v>
      </c>
      <c r="E8173" t="s">
        <v>2133</v>
      </c>
      <c r="F8173" t="s">
        <v>1806</v>
      </c>
      <c r="I8173" s="165" t="str">
        <f>IF(ISBLANK('Q 9'!$G12),"",IF('Q 9'!$G12="&lt;please select&gt;","",'Q 9'!$G12))</f>
        <v>2.13</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8.76</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Zmiana zezwolenia obejmująca rozszerzenie działalności.</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Yes</v>
      </c>
    </row>
    <row r="8193" spans="1:10" x14ac:dyDescent="0.3">
      <c r="A8193" t="s">
        <v>2136</v>
      </c>
      <c r="B8193" t="s">
        <v>2138</v>
      </c>
      <c r="C8193">
        <v>1</v>
      </c>
      <c r="D8193" t="s">
        <v>1447</v>
      </c>
      <c r="E8193" t="s">
        <v>2133</v>
      </c>
      <c r="F8193" t="s">
        <v>1806</v>
      </c>
      <c r="I8193" s="165" t="str">
        <f>IF(ISBLANK('Q 9'!G34),"",IF('Q 9'!G34="&lt;please select&gt;","",'Q 9'!G34))</f>
        <v>2.13</v>
      </c>
    </row>
    <row r="8194" spans="1:10" x14ac:dyDescent="0.3">
      <c r="A8194" t="s">
        <v>2136</v>
      </c>
      <c r="B8194" t="s">
        <v>2138</v>
      </c>
      <c r="C8194">
        <v>2</v>
      </c>
      <c r="D8194" t="s">
        <v>1447</v>
      </c>
      <c r="E8194" t="s">
        <v>2133</v>
      </c>
      <c r="F8194" t="s">
        <v>1806</v>
      </c>
      <c r="I8194" s="165" t="str">
        <f>IF(ISBLANK('Q 9'!G35),"",IF('Q 9'!G35="&lt;please select&gt;","",'Q 9'!G35))</f>
        <v>2.13</v>
      </c>
    </row>
    <row r="8195" spans="1:10" x14ac:dyDescent="0.3">
      <c r="A8195" t="s">
        <v>2136</v>
      </c>
      <c r="B8195" t="s">
        <v>2138</v>
      </c>
      <c r="C8195">
        <v>3</v>
      </c>
      <c r="D8195" t="s">
        <v>1447</v>
      </c>
      <c r="E8195" t="s">
        <v>2133</v>
      </c>
      <c r="F8195" t="s">
        <v>1806</v>
      </c>
      <c r="I8195" s="165" t="str">
        <f>IF(ISBLANK('Q 9'!G36),"",IF('Q 9'!G36="&lt;please select&gt;","",'Q 9'!G36))</f>
        <v>2.13</v>
      </c>
    </row>
    <row r="8196" spans="1:10" x14ac:dyDescent="0.3">
      <c r="A8196" t="s">
        <v>2136</v>
      </c>
      <c r="B8196" t="s">
        <v>2138</v>
      </c>
      <c r="C8196">
        <v>4</v>
      </c>
      <c r="D8196" t="s">
        <v>1447</v>
      </c>
      <c r="E8196" t="s">
        <v>2133</v>
      </c>
      <c r="F8196" t="s">
        <v>1806</v>
      </c>
      <c r="I8196" s="165" t="str">
        <f>IF(ISBLANK('Q 9'!G37),"",IF('Q 9'!G37="&lt;please select&gt;","",'Q 9'!G37))</f>
        <v>2.13</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OpenAccounts - Opening accounts</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427.56</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Maintenance</v>
      </c>
    </row>
    <row r="8237" spans="1:9" x14ac:dyDescent="0.3">
      <c r="A8237" t="s">
        <v>2136</v>
      </c>
      <c r="B8237" t="s">
        <v>2143</v>
      </c>
      <c r="C8237">
        <v>2</v>
      </c>
      <c r="D8237" t="s">
        <v>1447</v>
      </c>
      <c r="E8237" t="s">
        <v>2144</v>
      </c>
      <c r="F8237" t="s">
        <v>1741</v>
      </c>
      <c r="G8237" t="str">
        <f>IF(ISBLANK('Q 9'!$C75),"",IF('Q 9'!$C75="&lt;please select&gt;","",'Q 9'!$C75))</f>
        <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106.89</v>
      </c>
    </row>
    <row r="8247" spans="1:11" x14ac:dyDescent="0.3">
      <c r="A8247" t="s">
        <v>2136</v>
      </c>
      <c r="B8247" t="s">
        <v>2143</v>
      </c>
      <c r="C8247">
        <v>2</v>
      </c>
      <c r="D8247" t="s">
        <v>1447</v>
      </c>
      <c r="E8247" t="s">
        <v>2145</v>
      </c>
      <c r="F8247" t="s">
        <v>1806</v>
      </c>
      <c r="I8247" s="165" t="str">
        <f>IF(ISBLANK('Q 9'!$G75),"",IF('Q 9'!$G75="&lt;please select&gt;","",'Q 9'!$G75))</f>
        <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Yes</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Yes</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67</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Wydano zarządzenie pokontrolne zgodnie z art. 12 ust. 1 pkt 1 ustawy z dnia 20 lipca 1991 r. o Inspekcji Ochrony Środowiska (Dz. U. z 2021 r. poz. 1070) zobowiązujące do uregulowania stanu formalnoprawnego instalacji, w związku ze stwierdzeniem naruszenia art. 51 ustawy o systemie handlu uprawnieniami do emisji gazów cieplarnianych (dalej: "ustawa") polegające na eksploatacji instalacji bez wymaganego zezwolenia.</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Zawieszenie upoważnionym przedstawicielom dostępu do rachunku posiadania operatora w rejestrze Unii, jeżeli na tym rachunku pozostaje nierozliczona wielkość emisji, która powinna zostać rozliczona. (art. 92a ust. 1 ustawy).</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10689.01</v>
      </c>
    </row>
    <row r="8277" spans="1:10" x14ac:dyDescent="0.3">
      <c r="A8277" t="s">
        <v>2151</v>
      </c>
      <c r="B8277" t="s">
        <v>2152</v>
      </c>
      <c r="C8277">
        <v>2</v>
      </c>
      <c r="D8277" t="s">
        <v>1447</v>
      </c>
      <c r="E8277" t="s">
        <v>2111</v>
      </c>
      <c r="F8277" t="s">
        <v>1806</v>
      </c>
      <c r="I8277" s="165" t="str">
        <f>IF(ISBLANK('Q 10'!$E22),"",IF('Q 10'!$E22="&lt;please select&gt;","",'Q 10'!$E22))</f>
        <v/>
      </c>
    </row>
    <row r="8278" spans="1:10" x14ac:dyDescent="0.3">
      <c r="A8278" t="s">
        <v>2151</v>
      </c>
      <c r="B8278" t="s">
        <v>2152</v>
      </c>
      <c r="C8278">
        <v>3</v>
      </c>
      <c r="D8278" t="s">
        <v>1447</v>
      </c>
      <c r="E8278" t="s">
        <v>2111</v>
      </c>
      <c r="F8278" t="s">
        <v>1806</v>
      </c>
      <c r="I8278" s="165" t="str">
        <f>IF(ISBLANK('Q 10'!$E23),"",IF('Q 10'!$E23="&lt;please select&gt;","",'Q 10'!$E23))</f>
        <v/>
      </c>
    </row>
    <row r="8279" spans="1:10" x14ac:dyDescent="0.3">
      <c r="A8279" t="s">
        <v>2151</v>
      </c>
      <c r="B8279" t="s">
        <v>2152</v>
      </c>
      <c r="C8279">
        <v>4</v>
      </c>
      <c r="D8279" t="s">
        <v>1447</v>
      </c>
      <c r="E8279" t="s">
        <v>2111</v>
      </c>
      <c r="F8279" t="s">
        <v>1806</v>
      </c>
      <c r="I8279" s="165" t="str">
        <f>IF(ISBLANK('Q 10'!$E24),"",IF('Q 10'!$E24="&lt;please select&gt;","",'Q 10'!$E24))</f>
        <v/>
      </c>
    </row>
    <row r="8280" spans="1:10" x14ac:dyDescent="0.3">
      <c r="A8280" t="s">
        <v>2151</v>
      </c>
      <c r="B8280" t="s">
        <v>2152</v>
      </c>
      <c r="C8280">
        <v>5</v>
      </c>
      <c r="D8280" t="s">
        <v>1447</v>
      </c>
      <c r="E8280" t="s">
        <v>2111</v>
      </c>
      <c r="F8280" t="s">
        <v>1806</v>
      </c>
      <c r="I8280" s="165" t="str">
        <f>IF(ISBLANK('Q 10'!$E25),"",IF('Q 10'!$E25="&lt;please select&gt;","",'Q 10'!$E25))</f>
        <v/>
      </c>
    </row>
    <row r="8281" spans="1:10" x14ac:dyDescent="0.3">
      <c r="A8281" t="s">
        <v>2151</v>
      </c>
      <c r="B8281" t="s">
        <v>2152</v>
      </c>
      <c r="C8281">
        <v>6</v>
      </c>
      <c r="D8281" t="s">
        <v>1447</v>
      </c>
      <c r="E8281" t="s">
        <v>2111</v>
      </c>
      <c r="F8281" t="s">
        <v>1806</v>
      </c>
      <c r="I8281" s="165" t="str">
        <f>IF(ISBLANK('Q 10'!$E26),"",IF('Q 10'!$E26="&lt;please select&gt;","",'Q 10'!$E26))</f>
        <v/>
      </c>
    </row>
    <row r="8282" spans="1:10" x14ac:dyDescent="0.3">
      <c r="A8282" t="s">
        <v>2151</v>
      </c>
      <c r="B8282" t="s">
        <v>2152</v>
      </c>
      <c r="C8282">
        <v>7</v>
      </c>
      <c r="D8282" t="s">
        <v>1447</v>
      </c>
      <c r="E8282" t="s">
        <v>2111</v>
      </c>
      <c r="F8282" t="s">
        <v>1806</v>
      </c>
      <c r="I8282" s="165" t="str">
        <f>IF(ISBLANK('Q 10'!$E27),"",IF('Q 10'!$E27="&lt;please select&gt;","",'Q 10'!$E27))</f>
        <v>2137.8</v>
      </c>
    </row>
    <row r="8283" spans="1:10" x14ac:dyDescent="0.3">
      <c r="A8283" t="s">
        <v>2151</v>
      </c>
      <c r="B8283" t="s">
        <v>2152</v>
      </c>
      <c r="C8283">
        <v>8</v>
      </c>
      <c r="D8283" t="s">
        <v>1447</v>
      </c>
      <c r="E8283" t="s">
        <v>2111</v>
      </c>
      <c r="F8283" t="s">
        <v>1806</v>
      </c>
      <c r="I8283" s="165" t="str">
        <f>IF(ISBLANK('Q 10'!$E28),"",IF('Q 10'!$E28="&lt;please select&gt;","",'Q 10'!$E28))</f>
        <v>1068.9</v>
      </c>
    </row>
    <row r="8284" spans="1:10" x14ac:dyDescent="0.3">
      <c r="A8284" t="s">
        <v>2151</v>
      </c>
      <c r="B8284" t="s">
        <v>2152</v>
      </c>
      <c r="C8284">
        <v>9</v>
      </c>
      <c r="D8284" t="s">
        <v>1447</v>
      </c>
      <c r="E8284" t="s">
        <v>2111</v>
      </c>
      <c r="F8284" t="s">
        <v>1806</v>
      </c>
      <c r="I8284" s="165" t="str">
        <f>IF(ISBLANK('Q 10'!$E29),"",IF('Q 10'!$E29="&lt;please select&gt;","",'Q 10'!$E29))</f>
        <v/>
      </c>
    </row>
    <row r="8285" spans="1:10" x14ac:dyDescent="0.3">
      <c r="A8285" t="s">
        <v>2151</v>
      </c>
      <c r="B8285" t="s">
        <v>2152</v>
      </c>
      <c r="C8285">
        <v>10</v>
      </c>
      <c r="D8285" t="s">
        <v>1447</v>
      </c>
      <c r="E8285" t="s">
        <v>2111</v>
      </c>
      <c r="F8285" t="s">
        <v>1806</v>
      </c>
      <c r="I8285" s="165" t="str">
        <f>IF(ISBLANK('Q 10'!$E30),"",IF('Q 10'!$E30="&lt;please select&gt;","",'Q 10'!$E30))</f>
        <v/>
      </c>
    </row>
    <row r="8286" spans="1:10" x14ac:dyDescent="0.3">
      <c r="A8286" t="s">
        <v>2151</v>
      </c>
      <c r="B8286" t="s">
        <v>2152</v>
      </c>
      <c r="C8286">
        <v>11</v>
      </c>
      <c r="D8286" t="s">
        <v>1447</v>
      </c>
      <c r="E8286" t="s">
        <v>2111</v>
      </c>
      <c r="F8286" t="s">
        <v>1806</v>
      </c>
      <c r="I8286" s="165" t="str">
        <f>IF(ISBLANK('Q 10'!$E31),"",IF('Q 10'!$E31="&lt;please select&gt;","",'Q 10'!$E31))</f>
        <v/>
      </c>
    </row>
    <row r="8287" spans="1:10" x14ac:dyDescent="0.3">
      <c r="A8287" t="s">
        <v>2151</v>
      </c>
      <c r="B8287" t="s">
        <v>2152</v>
      </c>
      <c r="C8287">
        <v>12</v>
      </c>
      <c r="D8287" t="s">
        <v>1447</v>
      </c>
      <c r="E8287" t="s">
        <v>2111</v>
      </c>
      <c r="F8287" t="s">
        <v>1806</v>
      </c>
      <c r="I8287" s="165" t="str">
        <f>IF(ISBLANK('Q 10'!$E32),"",IF('Q 10'!$E32="&lt;please select&gt;","",'Q 10'!$E32))</f>
        <v>100</v>
      </c>
    </row>
    <row r="8288" spans="1:10" x14ac:dyDescent="0.3">
      <c r="A8288" t="s">
        <v>2151</v>
      </c>
      <c r="B8288" t="s">
        <v>2152</v>
      </c>
      <c r="C8288">
        <v>13</v>
      </c>
      <c r="D8288" t="s">
        <v>1447</v>
      </c>
      <c r="E8288" t="s">
        <v>2111</v>
      </c>
      <c r="F8288" t="s">
        <v>1806</v>
      </c>
      <c r="I8288" s="165" t="str">
        <f>IF(ISBLANK('Q 10'!$E33),"",IF('Q 10'!$E33="&lt;please select&gt;","",'Q 10'!$E33))</f>
        <v>2137.8</v>
      </c>
    </row>
    <row r="8289" spans="1:9" x14ac:dyDescent="0.3">
      <c r="A8289" t="s">
        <v>2151</v>
      </c>
      <c r="B8289" t="s">
        <v>2152</v>
      </c>
      <c r="C8289">
        <v>14</v>
      </c>
      <c r="D8289" t="s">
        <v>1447</v>
      </c>
      <c r="E8289" t="s">
        <v>2111</v>
      </c>
      <c r="F8289" t="s">
        <v>1806</v>
      </c>
      <c r="I8289" s="165" t="str">
        <f>IF(ISBLANK('Q 10'!$E34),"",IF('Q 10'!$E34="&lt;please select&gt;","",'Q 10'!$E34))</f>
        <v>1069.06</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10689.01</v>
      </c>
    </row>
    <row r="8313" spans="1:9" x14ac:dyDescent="0.3">
      <c r="A8313" t="s">
        <v>2151</v>
      </c>
      <c r="B8313" t="s">
        <v>2152</v>
      </c>
      <c r="C8313">
        <v>2</v>
      </c>
      <c r="D8313" t="s">
        <v>1447</v>
      </c>
      <c r="E8313" t="s">
        <v>2112</v>
      </c>
      <c r="F8313" t="s">
        <v>1806</v>
      </c>
      <c r="I8313" s="165" t="str">
        <f>IF(ISBLANK('Q 10'!$F22),"",IF('Q 10'!$F22="&lt;please select&gt;","",'Q 10'!$F22))</f>
        <v/>
      </c>
    </row>
    <row r="8314" spans="1:9" x14ac:dyDescent="0.3">
      <c r="A8314" t="s">
        <v>2151</v>
      </c>
      <c r="B8314" t="s">
        <v>2152</v>
      </c>
      <c r="C8314">
        <v>3</v>
      </c>
      <c r="D8314" t="s">
        <v>1447</v>
      </c>
      <c r="E8314" t="s">
        <v>2112</v>
      </c>
      <c r="F8314" t="s">
        <v>1806</v>
      </c>
      <c r="I8314" s="165" t="str">
        <f>IF(ISBLANK('Q 10'!$F23),"",IF('Q 10'!$F23="&lt;please select&gt;","",'Q 10'!$F23))</f>
        <v/>
      </c>
    </row>
    <row r="8315" spans="1:9" x14ac:dyDescent="0.3">
      <c r="A8315" t="s">
        <v>2151</v>
      </c>
      <c r="B8315" t="s">
        <v>2152</v>
      </c>
      <c r="C8315">
        <v>4</v>
      </c>
      <c r="D8315" t="s">
        <v>1447</v>
      </c>
      <c r="E8315" t="s">
        <v>2112</v>
      </c>
      <c r="F8315" t="s">
        <v>1806</v>
      </c>
      <c r="I8315" s="165" t="str">
        <f>IF(ISBLANK('Q 10'!$F24),"",IF('Q 10'!$F24="&lt;please select&gt;","",'Q 10'!$F24))</f>
        <v/>
      </c>
    </row>
    <row r="8316" spans="1:9" x14ac:dyDescent="0.3">
      <c r="A8316" t="s">
        <v>2151</v>
      </c>
      <c r="B8316" t="s">
        <v>2152</v>
      </c>
      <c r="C8316">
        <v>5</v>
      </c>
      <c r="D8316" t="s">
        <v>1447</v>
      </c>
      <c r="E8316" t="s">
        <v>2112</v>
      </c>
      <c r="F8316" t="s">
        <v>1806</v>
      </c>
      <c r="I8316" s="165" t="str">
        <f>IF(ISBLANK('Q 10'!$F25),"",IF('Q 10'!$F25="&lt;please select&gt;","",'Q 10'!$F25))</f>
        <v/>
      </c>
    </row>
    <row r="8317" spans="1:9" x14ac:dyDescent="0.3">
      <c r="A8317" t="s">
        <v>2151</v>
      </c>
      <c r="B8317" t="s">
        <v>2152</v>
      </c>
      <c r="C8317">
        <v>6</v>
      </c>
      <c r="D8317" t="s">
        <v>1447</v>
      </c>
      <c r="E8317" t="s">
        <v>2112</v>
      </c>
      <c r="F8317" t="s">
        <v>1806</v>
      </c>
      <c r="I8317" s="165" t="str">
        <f>IF(ISBLANK('Q 10'!$F26),"",IF('Q 10'!$F26="&lt;please select&gt;","",'Q 10'!$F26))</f>
        <v/>
      </c>
    </row>
    <row r="8318" spans="1:9" x14ac:dyDescent="0.3">
      <c r="A8318" t="s">
        <v>2151</v>
      </c>
      <c r="B8318" t="s">
        <v>2152</v>
      </c>
      <c r="C8318">
        <v>7</v>
      </c>
      <c r="D8318" t="s">
        <v>1447</v>
      </c>
      <c r="E8318" t="s">
        <v>2112</v>
      </c>
      <c r="F8318" t="s">
        <v>1806</v>
      </c>
      <c r="I8318" s="165" t="str">
        <f>IF(ISBLANK('Q 10'!$F27),"",IF('Q 10'!$F27="&lt;please select&gt;","",'Q 10'!$F27))</f>
        <v>2137.8</v>
      </c>
    </row>
    <row r="8319" spans="1:9" x14ac:dyDescent="0.3">
      <c r="A8319" t="s">
        <v>2151</v>
      </c>
      <c r="B8319" t="s">
        <v>2152</v>
      </c>
      <c r="C8319">
        <v>8</v>
      </c>
      <c r="D8319" t="s">
        <v>1447</v>
      </c>
      <c r="E8319" t="s">
        <v>2112</v>
      </c>
      <c r="F8319" t="s">
        <v>1806</v>
      </c>
      <c r="I8319" s="165" t="str">
        <f>IF(ISBLANK('Q 10'!$F28),"",IF('Q 10'!$F28="&lt;please select&gt;","",'Q 10'!$F28))</f>
        <v>10689.01</v>
      </c>
    </row>
    <row r="8320" spans="1:9" x14ac:dyDescent="0.3">
      <c r="A8320" t="s">
        <v>2151</v>
      </c>
      <c r="B8320" t="s">
        <v>2152</v>
      </c>
      <c r="C8320">
        <v>9</v>
      </c>
      <c r="D8320" t="s">
        <v>1447</v>
      </c>
      <c r="E8320" t="s">
        <v>2112</v>
      </c>
      <c r="F8320" t="s">
        <v>1806</v>
      </c>
      <c r="I8320" s="165" t="str">
        <f>IF(ISBLANK('Q 10'!$F29),"",IF('Q 10'!$F29="&lt;please select&gt;","",'Q 10'!$F29))</f>
        <v/>
      </c>
    </row>
    <row r="8321" spans="1:9" x14ac:dyDescent="0.3">
      <c r="A8321" t="s">
        <v>2151</v>
      </c>
      <c r="B8321" t="s">
        <v>2152</v>
      </c>
      <c r="C8321">
        <v>10</v>
      </c>
      <c r="D8321" t="s">
        <v>1447</v>
      </c>
      <c r="E8321" t="s">
        <v>2112</v>
      </c>
      <c r="F8321" t="s">
        <v>1806</v>
      </c>
      <c r="I8321" s="165" t="str">
        <f>IF(ISBLANK('Q 10'!$F30),"",IF('Q 10'!$F30="&lt;please select&gt;","",'Q 10'!$F30))</f>
        <v/>
      </c>
    </row>
    <row r="8322" spans="1:9" x14ac:dyDescent="0.3">
      <c r="A8322" t="s">
        <v>2151</v>
      </c>
      <c r="B8322" t="s">
        <v>2152</v>
      </c>
      <c r="C8322">
        <v>11</v>
      </c>
      <c r="D8322" t="s">
        <v>1447</v>
      </c>
      <c r="E8322" t="s">
        <v>2112</v>
      </c>
      <c r="F8322" t="s">
        <v>1806</v>
      </c>
      <c r="I8322" s="165" t="str">
        <f>IF(ISBLANK('Q 10'!$F31),"",IF('Q 10'!$F31="&lt;please select&gt;","",'Q 10'!$F31))</f>
        <v/>
      </c>
    </row>
    <row r="8323" spans="1:9" x14ac:dyDescent="0.3">
      <c r="A8323" t="s">
        <v>2151</v>
      </c>
      <c r="B8323" t="s">
        <v>2152</v>
      </c>
      <c r="C8323">
        <v>12</v>
      </c>
      <c r="D8323" t="s">
        <v>1447</v>
      </c>
      <c r="E8323" t="s">
        <v>2112</v>
      </c>
      <c r="F8323" t="s">
        <v>1806</v>
      </c>
      <c r="I8323" s="165" t="str">
        <f>IF(ISBLANK('Q 10'!$F32),"",IF('Q 10'!$F32="&lt;please select&gt;","",'Q 10'!$F32))</f>
        <v>100</v>
      </c>
    </row>
    <row r="8324" spans="1:9" x14ac:dyDescent="0.3">
      <c r="A8324" t="s">
        <v>2151</v>
      </c>
      <c r="B8324" t="s">
        <v>2152</v>
      </c>
      <c r="C8324">
        <v>13</v>
      </c>
      <c r="D8324" t="s">
        <v>1447</v>
      </c>
      <c r="E8324" t="s">
        <v>2112</v>
      </c>
      <c r="F8324" t="s">
        <v>1806</v>
      </c>
      <c r="I8324" s="165" t="str">
        <f>IF(ISBLANK('Q 10'!$F33),"",IF('Q 10'!$F33="&lt;please select&gt;","",'Q 10'!$F33))</f>
        <v>2137.8</v>
      </c>
    </row>
    <row r="8325" spans="1:9" x14ac:dyDescent="0.3">
      <c r="A8325" t="s">
        <v>2151</v>
      </c>
      <c r="B8325" t="s">
        <v>2152</v>
      </c>
      <c r="C8325">
        <v>14</v>
      </c>
      <c r="D8325" t="s">
        <v>1447</v>
      </c>
      <c r="E8325" t="s">
        <v>2112</v>
      </c>
      <c r="F8325" t="s">
        <v>1806</v>
      </c>
      <c r="I8325" s="165" t="str">
        <f>IF(ISBLANK('Q 10'!$F34),"",IF('Q 10'!$F34="&lt;please select&gt;","",'Q 10'!$F34))</f>
        <v>1069.06</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
      </c>
    </row>
    <row r="8385" spans="1:9" x14ac:dyDescent="0.3">
      <c r="A8385" t="s">
        <v>2151</v>
      </c>
      <c r="B8385" t="s">
        <v>2152</v>
      </c>
      <c r="C8385">
        <v>2</v>
      </c>
      <c r="D8385" t="s">
        <v>1447</v>
      </c>
      <c r="E8385" t="s">
        <v>2114</v>
      </c>
      <c r="F8385" t="s">
        <v>1806</v>
      </c>
      <c r="I8385" s="165" t="str">
        <f>IF(ISBLANK('Q 10'!$H22),"",IF('Q 10'!$H22="&lt;please select&gt;","",'Q 10'!$H22))</f>
        <v/>
      </c>
    </row>
    <row r="8386" spans="1:9" x14ac:dyDescent="0.3">
      <c r="A8386" t="s">
        <v>2151</v>
      </c>
      <c r="B8386" t="s">
        <v>2152</v>
      </c>
      <c r="C8386">
        <v>3</v>
      </c>
      <c r="D8386" t="s">
        <v>1447</v>
      </c>
      <c r="E8386" t="s">
        <v>2114</v>
      </c>
      <c r="F8386" t="s">
        <v>1806</v>
      </c>
      <c r="I8386" s="165" t="str">
        <f>IF(ISBLANK('Q 10'!$H23),"",IF('Q 10'!$H23="&lt;please select&gt;","",'Q 10'!$H23))</f>
        <v/>
      </c>
    </row>
    <row r="8387" spans="1:9" x14ac:dyDescent="0.3">
      <c r="A8387" t="s">
        <v>2151</v>
      </c>
      <c r="B8387" t="s">
        <v>2152</v>
      </c>
      <c r="C8387">
        <v>4</v>
      </c>
      <c r="D8387" t="s">
        <v>1447</v>
      </c>
      <c r="E8387" t="s">
        <v>2114</v>
      </c>
      <c r="F8387" t="s">
        <v>1806</v>
      </c>
      <c r="I8387" s="165" t="str">
        <f>IF(ISBLANK('Q 10'!$H24),"",IF('Q 10'!$H24="&lt;please select&gt;","",'Q 10'!$H24))</f>
        <v/>
      </c>
    </row>
    <row r="8388" spans="1:9" x14ac:dyDescent="0.3">
      <c r="A8388" t="s">
        <v>2151</v>
      </c>
      <c r="B8388" t="s">
        <v>2152</v>
      </c>
      <c r="C8388">
        <v>5</v>
      </c>
      <c r="D8388" t="s">
        <v>1447</v>
      </c>
      <c r="E8388" t="s">
        <v>2114</v>
      </c>
      <c r="F8388" t="s">
        <v>1806</v>
      </c>
      <c r="I8388" s="165" t="str">
        <f>IF(ISBLANK('Q 10'!$H25),"",IF('Q 10'!$H25="&lt;please select&gt;","",'Q 10'!$H25))</f>
        <v/>
      </c>
    </row>
    <row r="8389" spans="1:9" x14ac:dyDescent="0.3">
      <c r="A8389" t="s">
        <v>2151</v>
      </c>
      <c r="B8389" t="s">
        <v>2152</v>
      </c>
      <c r="C8389">
        <v>6</v>
      </c>
      <c r="D8389" t="s">
        <v>1447</v>
      </c>
      <c r="E8389" t="s">
        <v>2114</v>
      </c>
      <c r="F8389" t="s">
        <v>1806</v>
      </c>
      <c r="I8389" s="165" t="str">
        <f>IF(ISBLANK('Q 10'!$H26),"",IF('Q 10'!$H26="&lt;please select&gt;","",'Q 10'!$H26))</f>
        <v/>
      </c>
    </row>
    <row r="8390" spans="1:9" x14ac:dyDescent="0.3">
      <c r="A8390" t="s">
        <v>2151</v>
      </c>
      <c r="B8390" t="s">
        <v>2152</v>
      </c>
      <c r="C8390">
        <v>7</v>
      </c>
      <c r="D8390" t="s">
        <v>1447</v>
      </c>
      <c r="E8390" t="s">
        <v>2114</v>
      </c>
      <c r="F8390" t="s">
        <v>1806</v>
      </c>
      <c r="I8390" s="165" t="str">
        <f>IF(ISBLANK('Q 10'!$H27),"",IF('Q 10'!$H27="&lt;please select&gt;","",'Q 10'!$H27))</f>
        <v/>
      </c>
    </row>
    <row r="8391" spans="1:9" x14ac:dyDescent="0.3">
      <c r="A8391" t="s">
        <v>2151</v>
      </c>
      <c r="B8391" t="s">
        <v>2152</v>
      </c>
      <c r="C8391">
        <v>8</v>
      </c>
      <c r="D8391" t="s">
        <v>1447</v>
      </c>
      <c r="E8391" t="s">
        <v>2114</v>
      </c>
      <c r="F8391" t="s">
        <v>1806</v>
      </c>
      <c r="I8391" s="165" t="str">
        <f>IF(ISBLANK('Q 10'!$H28),"",IF('Q 10'!$H28="&lt;please select&gt;","",'Q 10'!$H28))</f>
        <v/>
      </c>
    </row>
    <row r="8392" spans="1:9" x14ac:dyDescent="0.3">
      <c r="A8392" t="s">
        <v>2151</v>
      </c>
      <c r="B8392" t="s">
        <v>2152</v>
      </c>
      <c r="C8392">
        <v>9</v>
      </c>
      <c r="D8392" t="s">
        <v>1447</v>
      </c>
      <c r="E8392" t="s">
        <v>2114</v>
      </c>
      <c r="F8392" t="s">
        <v>1806</v>
      </c>
      <c r="I8392" s="165" t="str">
        <f>IF(ISBLANK('Q 10'!$H29),"",IF('Q 10'!$H29="&lt;please select&gt;","",'Q 10'!$H29))</f>
        <v/>
      </c>
    </row>
    <row r="8393" spans="1:9" x14ac:dyDescent="0.3">
      <c r="A8393" t="s">
        <v>2151</v>
      </c>
      <c r="B8393" t="s">
        <v>2152</v>
      </c>
      <c r="C8393">
        <v>10</v>
      </c>
      <c r="D8393" t="s">
        <v>1447</v>
      </c>
      <c r="E8393" t="s">
        <v>2114</v>
      </c>
      <c r="F8393" t="s">
        <v>1806</v>
      </c>
      <c r="I8393" s="165" t="str">
        <f>IF(ISBLANK('Q 10'!$H30),"",IF('Q 10'!$H30="&lt;please select&gt;","",'Q 10'!$H30))</f>
        <v/>
      </c>
    </row>
    <row r="8394" spans="1:9" x14ac:dyDescent="0.3">
      <c r="A8394" t="s">
        <v>2151</v>
      </c>
      <c r="B8394" t="s">
        <v>2152</v>
      </c>
      <c r="C8394">
        <v>11</v>
      </c>
      <c r="D8394" t="s">
        <v>1447</v>
      </c>
      <c r="E8394" t="s">
        <v>2114</v>
      </c>
      <c r="F8394" t="s">
        <v>1806</v>
      </c>
      <c r="I8394" s="165" t="str">
        <f>IF(ISBLANK('Q 10'!$H31),"",IF('Q 10'!$H31="&lt;please select&gt;","",'Q 10'!$H31))</f>
        <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 xml:space="preserve">Wstrzymanie, w drodze decyzji organu Inspekcji Ochrony Środowiska, użytkowania instalacji eksploatowanej bez wymaganego zezwolenia (art. 63 ust. 1 ustawy) </v>
      </c>
    </row>
    <row r="8421" spans="1:10" x14ac:dyDescent="0.3">
      <c r="A8421" t="s">
        <v>2151</v>
      </c>
      <c r="B8421" t="s">
        <v>2152</v>
      </c>
      <c r="C8421">
        <v>2</v>
      </c>
      <c r="D8421" t="s">
        <v>1447</v>
      </c>
      <c r="E8421" t="s">
        <v>2115</v>
      </c>
      <c r="F8421" t="s">
        <v>1791</v>
      </c>
      <c r="J8421" t="str">
        <f>IF(ISBLANK('Q 10'!$I22),"",IF('Q 10'!$I22="&lt;please select&gt;","",'Q 10'!$I22))</f>
        <v/>
      </c>
    </row>
    <row r="8422" spans="1:10" x14ac:dyDescent="0.3">
      <c r="A8422" t="s">
        <v>2151</v>
      </c>
      <c r="B8422" t="s">
        <v>2152</v>
      </c>
      <c r="C8422">
        <v>3</v>
      </c>
      <c r="D8422" t="s">
        <v>1447</v>
      </c>
      <c r="E8422" t="s">
        <v>2115</v>
      </c>
      <c r="F8422" t="s">
        <v>1791</v>
      </c>
      <c r="J8422" t="str">
        <f>IF(ISBLANK('Q 10'!$I23),"",IF('Q 10'!$I23="&lt;please select&gt;","",'Q 10'!$I23))</f>
        <v/>
      </c>
    </row>
    <row r="8423" spans="1:10" x14ac:dyDescent="0.3">
      <c r="A8423" t="s">
        <v>2151</v>
      </c>
      <c r="B8423" t="s">
        <v>2152</v>
      </c>
      <c r="C8423">
        <v>4</v>
      </c>
      <c r="D8423" t="s">
        <v>1447</v>
      </c>
      <c r="E8423" t="s">
        <v>2115</v>
      </c>
      <c r="F8423" t="s">
        <v>1791</v>
      </c>
      <c r="J8423" t="str">
        <f>IF(ISBLANK('Q 10'!$I24),"",IF('Q 10'!$I24="&lt;please select&gt;","",'Q 10'!$I24))</f>
        <v/>
      </c>
    </row>
    <row r="8424" spans="1:10" x14ac:dyDescent="0.3">
      <c r="A8424" t="s">
        <v>2151</v>
      </c>
      <c r="B8424" t="s">
        <v>2152</v>
      </c>
      <c r="C8424">
        <v>5</v>
      </c>
      <c r="D8424" t="s">
        <v>1447</v>
      </c>
      <c r="E8424" t="s">
        <v>2115</v>
      </c>
      <c r="F8424" t="s">
        <v>1791</v>
      </c>
      <c r="J8424" t="str">
        <f>IF(ISBLANK('Q 10'!$I25),"",IF('Q 10'!$I25="&lt;please select&gt;","",'Q 10'!$I25))</f>
        <v/>
      </c>
    </row>
    <row r="8425" spans="1:10" x14ac:dyDescent="0.3">
      <c r="A8425" t="s">
        <v>2151</v>
      </c>
      <c r="B8425" t="s">
        <v>2152</v>
      </c>
      <c r="C8425">
        <v>6</v>
      </c>
      <c r="D8425" t="s">
        <v>1447</v>
      </c>
      <c r="E8425" t="s">
        <v>2115</v>
      </c>
      <c r="F8425" t="s">
        <v>1791</v>
      </c>
      <c r="J8425" t="str">
        <f>IF(ISBLANK('Q 10'!$I26),"",IF('Q 10'!$I26="&lt;please select&gt;","",'Q 10'!$I26))</f>
        <v/>
      </c>
    </row>
    <row r="8426" spans="1:10" x14ac:dyDescent="0.3">
      <c r="A8426" t="s">
        <v>2151</v>
      </c>
      <c r="B8426" t="s">
        <v>2152</v>
      </c>
      <c r="C8426">
        <v>7</v>
      </c>
      <c r="D8426" t="s">
        <v>1447</v>
      </c>
      <c r="E8426" t="s">
        <v>2115</v>
      </c>
      <c r="F8426" t="s">
        <v>1791</v>
      </c>
      <c r="J8426" t="str">
        <f>IF(ISBLANK('Q 10'!$I27),"",IF('Q 10'!$I27="&lt;please select&gt;","",'Q 10'!$I27))</f>
        <v/>
      </c>
    </row>
    <row r="8427" spans="1:10" x14ac:dyDescent="0.3">
      <c r="A8427" t="s">
        <v>2151</v>
      </c>
      <c r="B8427" t="s">
        <v>2152</v>
      </c>
      <c r="C8427">
        <v>8</v>
      </c>
      <c r="D8427" t="s">
        <v>1447</v>
      </c>
      <c r="E8427" t="s">
        <v>2115</v>
      </c>
      <c r="F8427" t="s">
        <v>1791</v>
      </c>
      <c r="J8427" t="str">
        <f>IF(ISBLANK('Q 10'!$I28),"",IF('Q 10'!$I28="&lt;please select&gt;","",'Q 10'!$I28))</f>
        <v>Jeżeli prowadzący instalację dostarczy raport w terminie do 15 kwietnia, administracyjną karę pieniężną wymierza się w wysokości 10% kary (art. 105 ust. 2 ustawy)</v>
      </c>
    </row>
    <row r="8428" spans="1:10" x14ac:dyDescent="0.3">
      <c r="A8428" t="s">
        <v>2151</v>
      </c>
      <c r="B8428" t="s">
        <v>2152</v>
      </c>
      <c r="C8428">
        <v>9</v>
      </c>
      <c r="D8428" t="s">
        <v>1447</v>
      </c>
      <c r="E8428" t="s">
        <v>2115</v>
      </c>
      <c r="F8428" t="s">
        <v>1791</v>
      </c>
      <c r="J8428" t="str">
        <f>IF(ISBLANK('Q 10'!$I29),"",IF('Q 10'!$I29="&lt;please select&gt;","",'Q 10'!$I29))</f>
        <v/>
      </c>
    </row>
    <row r="8429" spans="1:10" x14ac:dyDescent="0.3">
      <c r="A8429" t="s">
        <v>2151</v>
      </c>
      <c r="B8429" t="s">
        <v>2152</v>
      </c>
      <c r="C8429">
        <v>10</v>
      </c>
      <c r="D8429" t="s">
        <v>1447</v>
      </c>
      <c r="E8429" t="s">
        <v>2115</v>
      </c>
      <c r="F8429" t="s">
        <v>1791</v>
      </c>
      <c r="J8429" t="str">
        <f>IF(ISBLANK('Q 10'!$I30),"",IF('Q 10'!$I30="&lt;please select&gt;","",'Q 10'!$I30))</f>
        <v/>
      </c>
    </row>
    <row r="8430" spans="1:10" x14ac:dyDescent="0.3">
      <c r="A8430" t="s">
        <v>2151</v>
      </c>
      <c r="B8430" t="s">
        <v>2152</v>
      </c>
      <c r="C8430">
        <v>11</v>
      </c>
      <c r="D8430" t="s">
        <v>1447</v>
      </c>
      <c r="E8430" t="s">
        <v>2115</v>
      </c>
      <c r="F8430" t="s">
        <v>1791</v>
      </c>
      <c r="J8430" t="str">
        <f>IF(ISBLANK('Q 10'!$I31),"",IF('Q 10'!$I31="&lt;please select&gt;","",'Q 10'!$I31))</f>
        <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v>
      </c>
    </row>
    <row r="8457" spans="1:10" x14ac:dyDescent="0.3">
      <c r="A8457" t="s">
        <v>2151</v>
      </c>
      <c r="B8457" t="s">
        <v>2152</v>
      </c>
      <c r="C8457">
        <v>13</v>
      </c>
      <c r="D8457" t="s">
        <v>1419</v>
      </c>
      <c r="E8457" t="s">
        <v>2116</v>
      </c>
      <c r="F8457" t="s">
        <v>1791</v>
      </c>
      <c r="J8457" t="str">
        <f>IF(ISBLANK('Q 10'!$D33),"",IF('Q 10'!$D33="&lt;please select&gt;","",'Q 10'!$D33))</f>
        <v xml:space="preserve">Niewystąpienie z wnioskiem o zmianę zezwolenia w przypadku zaistnienia zdarzenia powodującego konieczność zmiany planu monitorowania wielkości emisji, jeżeli zmiana ta ma charakter zmiany istotnej w rozumieniu art. 15 ust. 3 rozporządzenia (UE) 2018/2066 (art. 103 ust. 3 ustawy). </v>
      </c>
    </row>
    <row r="8458" spans="1:10" x14ac:dyDescent="0.3">
      <c r="A8458" t="s">
        <v>2151</v>
      </c>
      <c r="B8458" t="s">
        <v>2152</v>
      </c>
      <c r="C8458">
        <v>14</v>
      </c>
      <c r="D8458" t="s">
        <v>1419</v>
      </c>
      <c r="E8458" t="s">
        <v>2116</v>
      </c>
      <c r="F8458" t="s">
        <v>1791</v>
      </c>
      <c r="J8458" t="str">
        <f>IF(ISBLANK('Q 10'!$D34),"",IF('Q 10'!$D34="&lt;please select&gt;","",'Q 10'!$D34))</f>
        <v xml:space="preserve">W przypadku prowadzącego instalację, która powstała w wyniku połączenia lub podziału, kara za nieprzekazanie w terminie informacji i dokumentów, o których mowa w art. 25 ust. 1 i 2 rozporządzenia Komisji (UE) 2019/331 (art. 105 ust. 4 ustawy).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Ustawa z dnia 12 czerwca 2015 r. o systemie handlu uprawnieniami do emisji gazów cieplarnianych (t.j. Dz.U. 2022 poz. 1092).</v>
      </c>
    </row>
    <row r="8482" spans="1:11" x14ac:dyDescent="0.3">
      <c r="A8482" t="s">
        <v>2154</v>
      </c>
      <c r="B8482" t="s">
        <v>2155</v>
      </c>
      <c r="C8482">
        <v>1</v>
      </c>
      <c r="D8482" t="s">
        <v>1447</v>
      </c>
      <c r="E8482" t="s">
        <v>2119</v>
      </c>
      <c r="F8482" t="s">
        <v>1737</v>
      </c>
      <c r="K8482" t="str">
        <f>IF(ISBLANK('Q 10'!$C66),"",IF('Q 10'!$C66="&lt;please select&gt;","",'Q 10'!$C66))</f>
        <v>Failure to submit a verified emission report by 31 March or earlier if the competent authority set an earlier deadline</v>
      </c>
    </row>
    <row r="8483" spans="1:11" x14ac:dyDescent="0.3">
      <c r="A8483" t="s">
        <v>2154</v>
      </c>
      <c r="B8483" t="s">
        <v>2155</v>
      </c>
      <c r="C8483">
        <v>2</v>
      </c>
      <c r="D8483" t="s">
        <v>1447</v>
      </c>
      <c r="E8483" t="s">
        <v>2119</v>
      </c>
      <c r="F8483" t="s">
        <v>1737</v>
      </c>
      <c r="K8483" t="str">
        <f>IF(ISBLANK('Q 10'!$C67),"",IF('Q 10'!$C67="&lt;please select&gt;","",'Q 10'!$C67))</f>
        <v>Failure to submit a verified emission report by 31 March or earlier if the competent authority set an earlier deadline</v>
      </c>
    </row>
    <row r="8484" spans="1:11" x14ac:dyDescent="0.3">
      <c r="A8484" t="s">
        <v>2154</v>
      </c>
      <c r="B8484" t="s">
        <v>2155</v>
      </c>
      <c r="C8484">
        <v>3</v>
      </c>
      <c r="D8484" t="s">
        <v>1447</v>
      </c>
      <c r="E8484" t="s">
        <v>2119</v>
      </c>
      <c r="F8484" t="s">
        <v>1737</v>
      </c>
      <c r="K8484" t="str">
        <f>IF(ISBLANK('Q 10'!$C68),"",IF('Q 10'!$C68="&lt;please select&gt;","",'Q 10'!$C68))</f>
        <v>Failure to submit a verified emission report by 31 March or earlier if the competent authority set an earlier deadline</v>
      </c>
    </row>
    <row r="8485" spans="1:11" x14ac:dyDescent="0.3">
      <c r="A8485" t="s">
        <v>2154</v>
      </c>
      <c r="B8485" t="s">
        <v>2155</v>
      </c>
      <c r="C8485">
        <v>4</v>
      </c>
      <c r="D8485" t="s">
        <v>1447</v>
      </c>
      <c r="E8485" t="s">
        <v>2119</v>
      </c>
      <c r="F8485" t="s">
        <v>1737</v>
      </c>
      <c r="K8485" t="str">
        <f>IF(ISBLANK('Q 10'!$C69),"",IF('Q 10'!$C69="&lt;please select&gt;","",'Q 10'!$C69))</f>
        <v>Failure to submit a verified emission report by 31 March or earlier if the competent authority set an earlier deadline</v>
      </c>
    </row>
    <row r="8486" spans="1:11" x14ac:dyDescent="0.3">
      <c r="A8486" t="s">
        <v>2154</v>
      </c>
      <c r="B8486" t="s">
        <v>2155</v>
      </c>
      <c r="C8486">
        <v>5</v>
      </c>
      <c r="D8486" t="s">
        <v>1447</v>
      </c>
      <c r="E8486" t="s">
        <v>2119</v>
      </c>
      <c r="F8486" t="s">
        <v>1737</v>
      </c>
      <c r="K8486" t="str">
        <f>IF(ISBLANK('Q 10'!$C70),"",IF('Q 10'!$C70="&lt;please select&gt;","",'Q 10'!$C70))</f>
        <v>Failure to submit a verified emission report by 31 March or earlier if the competent authority set an earlier deadline</v>
      </c>
    </row>
    <row r="8487" spans="1:11" x14ac:dyDescent="0.3">
      <c r="A8487" t="s">
        <v>2154</v>
      </c>
      <c r="B8487" t="s">
        <v>2155</v>
      </c>
      <c r="C8487">
        <v>6</v>
      </c>
      <c r="D8487" t="s">
        <v>1447</v>
      </c>
      <c r="E8487" t="s">
        <v>2119</v>
      </c>
      <c r="F8487" t="s">
        <v>1737</v>
      </c>
      <c r="K8487" t="str">
        <f>IF(ISBLANK('Q 10'!$C71),"",IF('Q 10'!$C71="&lt;please select&gt;","",'Q 10'!$C71))</f>
        <v>Niedokonanie przez prowadzącego instalację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1068.9</v>
      </c>
    </row>
    <row r="8505" spans="1:11" x14ac:dyDescent="0.3">
      <c r="A8505" t="s">
        <v>2154</v>
      </c>
      <c r="B8505" t="s">
        <v>2155</v>
      </c>
      <c r="C8505">
        <v>2</v>
      </c>
      <c r="D8505" t="s">
        <v>1447</v>
      </c>
      <c r="E8505" t="s">
        <v>2120</v>
      </c>
      <c r="F8505" t="s">
        <v>1806</v>
      </c>
      <c r="I8505" s="165" t="str">
        <f>IF(ISBLANK('Q 10'!$E67),"",IF('Q 10'!$E67="&lt;please select&gt;","",'Q 10'!$E67))</f>
        <v>1068.9</v>
      </c>
    </row>
    <row r="8506" spans="1:11" x14ac:dyDescent="0.3">
      <c r="A8506" t="s">
        <v>2154</v>
      </c>
      <c r="B8506" t="s">
        <v>2155</v>
      </c>
      <c r="C8506">
        <v>3</v>
      </c>
      <c r="D8506" t="s">
        <v>1447</v>
      </c>
      <c r="E8506" t="s">
        <v>2120</v>
      </c>
      <c r="F8506" t="s">
        <v>1806</v>
      </c>
      <c r="I8506" s="165" t="str">
        <f>IF(ISBLANK('Q 10'!$E68),"",IF('Q 10'!$E68="&lt;please select&gt;","",'Q 10'!$E68))</f>
        <v>1068.9</v>
      </c>
    </row>
    <row r="8507" spans="1:11" x14ac:dyDescent="0.3">
      <c r="A8507" t="s">
        <v>2154</v>
      </c>
      <c r="B8507" t="s">
        <v>2155</v>
      </c>
      <c r="C8507">
        <v>4</v>
      </c>
      <c r="D8507" t="s">
        <v>1447</v>
      </c>
      <c r="E8507" t="s">
        <v>2120</v>
      </c>
      <c r="F8507" t="s">
        <v>1806</v>
      </c>
      <c r="I8507" s="165" t="str">
        <f>IF(ISBLANK('Q 10'!$E69),"",IF('Q 10'!$E69="&lt;please select&gt;","",'Q 10'!$E69))</f>
        <v>1068.9</v>
      </c>
    </row>
    <row r="8508" spans="1:11" x14ac:dyDescent="0.3">
      <c r="A8508" t="s">
        <v>2154</v>
      </c>
      <c r="B8508" t="s">
        <v>2155</v>
      </c>
      <c r="C8508">
        <v>5</v>
      </c>
      <c r="D8508" t="s">
        <v>1447</v>
      </c>
      <c r="E8508" t="s">
        <v>2120</v>
      </c>
      <c r="F8508" t="s">
        <v>1806</v>
      </c>
      <c r="I8508" s="165" t="str">
        <f>IF(ISBLANK('Q 10'!$E70),"",IF('Q 10'!$E70="&lt;please select&gt;","",'Q 10'!$E70))</f>
        <v>1068.9</v>
      </c>
    </row>
    <row r="8509" spans="1:11" x14ac:dyDescent="0.3">
      <c r="A8509" t="s">
        <v>2154</v>
      </c>
      <c r="B8509" t="s">
        <v>2155</v>
      </c>
      <c r="C8509">
        <v>6</v>
      </c>
      <c r="D8509" t="s">
        <v>1447</v>
      </c>
      <c r="E8509" t="s">
        <v>2120</v>
      </c>
      <c r="F8509" t="s">
        <v>1806</v>
      </c>
      <c r="I8509" s="165" t="str">
        <f>IF(ISBLANK('Q 10'!$E71),"",IF('Q 10'!$E71="&lt;please select&gt;","",'Q 10'!$E71))</f>
        <v>3867889.56</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No</v>
      </c>
    </row>
    <row r="8571" spans="1:11" x14ac:dyDescent="0.3">
      <c r="A8571" t="s">
        <v>2154</v>
      </c>
      <c r="B8571" t="s">
        <v>2155</v>
      </c>
      <c r="C8571">
        <v>2</v>
      </c>
      <c r="D8571" t="s">
        <v>1447</v>
      </c>
      <c r="E8571" t="s">
        <v>2123</v>
      </c>
      <c r="F8571" t="s">
        <v>1759</v>
      </c>
      <c r="K8571" t="str">
        <f>IF(ISBLANK('Q 10'!$H67),"",IF('Q 10'!$H67="&lt;please select&gt;","",'Q 10'!$H67))</f>
        <v>No</v>
      </c>
    </row>
    <row r="8572" spans="1:11" x14ac:dyDescent="0.3">
      <c r="A8572" t="s">
        <v>2154</v>
      </c>
      <c r="B8572" t="s">
        <v>2155</v>
      </c>
      <c r="C8572">
        <v>3</v>
      </c>
      <c r="D8572" t="s">
        <v>1447</v>
      </c>
      <c r="E8572" t="s">
        <v>2123</v>
      </c>
      <c r="F8572" t="s">
        <v>1759</v>
      </c>
      <c r="K8572" t="str">
        <f>IF(ISBLANK('Q 10'!$H68),"",IF('Q 10'!$H68="&lt;please select&gt;","",'Q 10'!$H68))</f>
        <v>No</v>
      </c>
    </row>
    <row r="8573" spans="1:11" x14ac:dyDescent="0.3">
      <c r="A8573" t="s">
        <v>2154</v>
      </c>
      <c r="B8573" t="s">
        <v>2155</v>
      </c>
      <c r="C8573">
        <v>4</v>
      </c>
      <c r="D8573" t="s">
        <v>1447</v>
      </c>
      <c r="E8573" t="s">
        <v>2123</v>
      </c>
      <c r="F8573" t="s">
        <v>1759</v>
      </c>
      <c r="K8573" t="str">
        <f>IF(ISBLANK('Q 10'!$H69),"",IF('Q 10'!$H69="&lt;please select&gt;","",'Q 10'!$H69))</f>
        <v>Yes</v>
      </c>
    </row>
    <row r="8574" spans="1:11" x14ac:dyDescent="0.3">
      <c r="A8574" t="s">
        <v>2154</v>
      </c>
      <c r="B8574" t="s">
        <v>2155</v>
      </c>
      <c r="C8574">
        <v>5</v>
      </c>
      <c r="D8574" t="s">
        <v>1447</v>
      </c>
      <c r="E8574" t="s">
        <v>2123</v>
      </c>
      <c r="F8574" t="s">
        <v>1759</v>
      </c>
      <c r="K8574" t="str">
        <f>IF(ISBLANK('Q 10'!$H70),"",IF('Q 10'!$H70="&lt;please select&gt;","",'Q 10'!$H70))</f>
        <v>Yes</v>
      </c>
    </row>
    <row r="8575" spans="1:11" x14ac:dyDescent="0.3">
      <c r="A8575" t="s">
        <v>2154</v>
      </c>
      <c r="B8575" t="s">
        <v>2155</v>
      </c>
      <c r="C8575">
        <v>6</v>
      </c>
      <c r="D8575" t="s">
        <v>1447</v>
      </c>
      <c r="E8575" t="s">
        <v>2123</v>
      </c>
      <c r="F8575" t="s">
        <v>1759</v>
      </c>
      <c r="K8575" t="str">
        <f>IF(ISBLANK('Q 10'!$H71),"",IF('Q 10'!$H71="&lt;please select&gt;","",'Q 10'!$H71))</f>
        <v>Yes</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Yes</v>
      </c>
    </row>
    <row r="8593" spans="1:11" x14ac:dyDescent="0.3">
      <c r="A8593" t="s">
        <v>2154</v>
      </c>
      <c r="B8593" t="s">
        <v>2155</v>
      </c>
      <c r="C8593">
        <v>2</v>
      </c>
      <c r="D8593" t="s">
        <v>1447</v>
      </c>
      <c r="E8593" t="s">
        <v>2124</v>
      </c>
      <c r="F8593" t="s">
        <v>1759</v>
      </c>
      <c r="K8593" t="str">
        <f>IF(ISBLANK('Q 10'!$I67),"",IF('Q 10'!$I67="&lt;please select&gt;","",'Q 10'!$I67))</f>
        <v>No</v>
      </c>
    </row>
    <row r="8594" spans="1:11" x14ac:dyDescent="0.3">
      <c r="A8594" t="s">
        <v>2154</v>
      </c>
      <c r="B8594" t="s">
        <v>2155</v>
      </c>
      <c r="C8594">
        <v>3</v>
      </c>
      <c r="D8594" t="s">
        <v>1447</v>
      </c>
      <c r="E8594" t="s">
        <v>2124</v>
      </c>
      <c r="F8594" t="s">
        <v>1759</v>
      </c>
      <c r="K8594" t="str">
        <f>IF(ISBLANK('Q 10'!$I68),"",IF('Q 10'!$I68="&lt;please select&gt;","",'Q 10'!$I68))</f>
        <v>No</v>
      </c>
    </row>
    <row r="8595" spans="1:11" x14ac:dyDescent="0.3">
      <c r="A8595" t="s">
        <v>2154</v>
      </c>
      <c r="B8595" t="s">
        <v>2155</v>
      </c>
      <c r="C8595">
        <v>4</v>
      </c>
      <c r="D8595" t="s">
        <v>1447</v>
      </c>
      <c r="E8595" t="s">
        <v>2124</v>
      </c>
      <c r="F8595" t="s">
        <v>1759</v>
      </c>
      <c r="K8595" t="str">
        <f>IF(ISBLANK('Q 10'!$I69),"",IF('Q 10'!$I69="&lt;please select&gt;","",'Q 10'!$I69))</f>
        <v>No</v>
      </c>
    </row>
    <row r="8596" spans="1:11" x14ac:dyDescent="0.3">
      <c r="A8596" t="s">
        <v>2154</v>
      </c>
      <c r="B8596" t="s">
        <v>2155</v>
      </c>
      <c r="C8596">
        <v>5</v>
      </c>
      <c r="D8596" t="s">
        <v>1447</v>
      </c>
      <c r="E8596" t="s">
        <v>2124</v>
      </c>
      <c r="F8596" t="s">
        <v>1759</v>
      </c>
      <c r="K8596" t="str">
        <f>IF(ISBLANK('Q 10'!$I70),"",IF('Q 10'!$I70="&lt;please select&gt;","",'Q 10'!$I70))</f>
        <v>No</v>
      </c>
    </row>
    <row r="8597" spans="1:11" x14ac:dyDescent="0.3">
      <c r="A8597" t="s">
        <v>2154</v>
      </c>
      <c r="B8597" t="s">
        <v>2155</v>
      </c>
      <c r="C8597">
        <v>6</v>
      </c>
      <c r="D8597" t="s">
        <v>1447</v>
      </c>
      <c r="E8597" t="s">
        <v>2124</v>
      </c>
      <c r="F8597" t="s">
        <v>1759</v>
      </c>
      <c r="K8597" t="str">
        <f>IF(ISBLANK('Q 10'!$I71),"",IF('Q 10'!$I71="&lt;please select&gt;","",'Q 10'!$I71))</f>
        <v>No</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No</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PL000000000000025</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ELSEN 2 Sp. z o.o.</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No</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
      </c>
    </row>
    <row r="8711" spans="1:10" x14ac:dyDescent="0.3">
      <c r="A8711" t="s">
        <v>2162</v>
      </c>
      <c r="B8711" t="s">
        <v>2163</v>
      </c>
      <c r="C8711">
        <v>2</v>
      </c>
      <c r="D8711" t="s">
        <v>1447</v>
      </c>
      <c r="E8711" t="s">
        <v>2111</v>
      </c>
      <c r="F8711" t="s">
        <v>1806</v>
      </c>
      <c r="I8711" s="165" t="str">
        <f>IF(ISBLANK('Q 10'!$E148),"",IF('Q 10'!$E148="&lt;please select&gt;","",'Q 10'!$E148))</f>
        <v/>
      </c>
    </row>
    <row r="8712" spans="1:10" x14ac:dyDescent="0.3">
      <c r="A8712" t="s">
        <v>2162</v>
      </c>
      <c r="B8712" t="s">
        <v>2163</v>
      </c>
      <c r="C8712">
        <v>3</v>
      </c>
      <c r="D8712" t="s">
        <v>1447</v>
      </c>
      <c r="E8712" t="s">
        <v>2111</v>
      </c>
      <c r="F8712" t="s">
        <v>1806</v>
      </c>
      <c r="I8712" s="165" t="str">
        <f>IF(ISBLANK('Q 10'!$E149),"",IF('Q 10'!$E149="&lt;please select&gt;","",'Q 10'!$E149))</f>
        <v/>
      </c>
    </row>
    <row r="8713" spans="1:10" x14ac:dyDescent="0.3">
      <c r="A8713" t="s">
        <v>2162</v>
      </c>
      <c r="B8713" t="s">
        <v>2163</v>
      </c>
      <c r="C8713">
        <v>4</v>
      </c>
      <c r="D8713" t="s">
        <v>1447</v>
      </c>
      <c r="E8713" t="s">
        <v>2111</v>
      </c>
      <c r="F8713" t="s">
        <v>1806</v>
      </c>
      <c r="I8713" s="165" t="str">
        <f>IF(ISBLANK('Q 10'!$E150),"",IF('Q 10'!$E150="&lt;please select&gt;","",'Q 10'!$E150))</f>
        <v>2137.8</v>
      </c>
    </row>
    <row r="8714" spans="1:10" x14ac:dyDescent="0.3">
      <c r="A8714" t="s">
        <v>2162</v>
      </c>
      <c r="B8714" t="s">
        <v>2163</v>
      </c>
      <c r="C8714">
        <v>5</v>
      </c>
      <c r="D8714" t="s">
        <v>1447</v>
      </c>
      <c r="E8714" t="s">
        <v>2111</v>
      </c>
      <c r="F8714" t="s">
        <v>1806</v>
      </c>
      <c r="I8714" s="165" t="str">
        <f>IF(ISBLANK('Q 10'!$E151),"",IF('Q 10'!$E151="&lt;please select&gt;","",'Q 10'!$E151))</f>
        <v/>
      </c>
    </row>
    <row r="8715" spans="1:10" x14ac:dyDescent="0.3">
      <c r="A8715" t="s">
        <v>2162</v>
      </c>
      <c r="B8715" t="s">
        <v>2163</v>
      </c>
      <c r="C8715">
        <v>6</v>
      </c>
      <c r="D8715" t="s">
        <v>1447</v>
      </c>
      <c r="E8715" t="s">
        <v>2111</v>
      </c>
      <c r="F8715" t="s">
        <v>1806</v>
      </c>
      <c r="I8715" s="165" t="str">
        <f>IF(ISBLANK('Q 10'!$E152),"",IF('Q 10'!$E152="&lt;please select&gt;","",'Q 10'!$E152))</f>
        <v>1068.9</v>
      </c>
    </row>
    <row r="8716" spans="1:10" x14ac:dyDescent="0.3">
      <c r="A8716" t="s">
        <v>2162</v>
      </c>
      <c r="B8716" t="s">
        <v>2163</v>
      </c>
      <c r="C8716">
        <v>7</v>
      </c>
      <c r="D8716" t="s">
        <v>1447</v>
      </c>
      <c r="E8716" t="s">
        <v>2111</v>
      </c>
      <c r="F8716" t="s">
        <v>1806</v>
      </c>
      <c r="I8716" s="165" t="str">
        <f>IF(ISBLANK('Q 10'!$E153),"",IF('Q 10'!$E153="&lt;please select&gt;","",'Q 10'!$E153))</f>
        <v/>
      </c>
    </row>
    <row r="8717" spans="1:10" x14ac:dyDescent="0.3">
      <c r="A8717" t="s">
        <v>2162</v>
      </c>
      <c r="B8717" t="s">
        <v>2163</v>
      </c>
      <c r="C8717">
        <v>8</v>
      </c>
      <c r="D8717" t="s">
        <v>1447</v>
      </c>
      <c r="E8717" t="s">
        <v>2111</v>
      </c>
      <c r="F8717" t="s">
        <v>1806</v>
      </c>
      <c r="I8717" s="165" t="str">
        <f>IF(ISBLANK('Q 10'!$E154),"",IF('Q 10'!$E154="&lt;please select&gt;","",'Q 10'!$E154))</f>
        <v/>
      </c>
    </row>
    <row r="8718" spans="1:10" x14ac:dyDescent="0.3">
      <c r="A8718" t="s">
        <v>2162</v>
      </c>
      <c r="B8718" t="s">
        <v>2163</v>
      </c>
      <c r="C8718">
        <v>9</v>
      </c>
      <c r="D8718" t="s">
        <v>1447</v>
      </c>
      <c r="E8718" t="s">
        <v>2111</v>
      </c>
      <c r="F8718" t="s">
        <v>1806</v>
      </c>
      <c r="I8718" s="165" t="str">
        <f>IF(ISBLANK('Q 10'!$E155),"",IF('Q 10'!$E155="&lt;please select&gt;","",'Q 10'!$E155))</f>
        <v/>
      </c>
    </row>
    <row r="8719" spans="1:10" x14ac:dyDescent="0.3">
      <c r="A8719" t="s">
        <v>2162</v>
      </c>
      <c r="B8719" t="s">
        <v>2163</v>
      </c>
      <c r="C8719">
        <v>10</v>
      </c>
      <c r="D8719" t="s">
        <v>1447</v>
      </c>
      <c r="E8719" t="s">
        <v>2111</v>
      </c>
      <c r="F8719" t="s">
        <v>1806</v>
      </c>
      <c r="I8719" s="165" t="str">
        <f>IF(ISBLANK('Q 10'!$E156),"",IF('Q 10'!$E156="&lt;please select&gt;","",'Q 10'!$E156))</f>
        <v/>
      </c>
    </row>
    <row r="8720" spans="1:10" x14ac:dyDescent="0.3">
      <c r="A8720" t="s">
        <v>2162</v>
      </c>
      <c r="B8720" t="s">
        <v>2163</v>
      </c>
      <c r="C8720">
        <v>11</v>
      </c>
      <c r="D8720" t="s">
        <v>1447</v>
      </c>
      <c r="E8720" t="s">
        <v>2111</v>
      </c>
      <c r="F8720" t="s">
        <v>1806</v>
      </c>
      <c r="I8720" s="165" t="str">
        <f>IF(ISBLANK('Q 10'!$E157),"",IF('Q 10'!$E157="&lt;please select&gt;","",'Q 10'!$E157))</f>
        <v/>
      </c>
    </row>
    <row r="8721" spans="1:9" x14ac:dyDescent="0.3">
      <c r="A8721" t="s">
        <v>2162</v>
      </c>
      <c r="B8721" t="s">
        <v>2163</v>
      </c>
      <c r="C8721">
        <v>12</v>
      </c>
      <c r="D8721" t="s">
        <v>1447</v>
      </c>
      <c r="E8721" t="s">
        <v>2111</v>
      </c>
      <c r="F8721" t="s">
        <v>1806</v>
      </c>
      <c r="I8721" s="165" t="str">
        <f>IF(ISBLANK('Q 10'!$E158),"",IF('Q 10'!$E158="&lt;please select&gt;","",'Q 10'!$E158))</f>
        <v>10689.01</v>
      </c>
    </row>
    <row r="8722" spans="1:9" x14ac:dyDescent="0.3">
      <c r="A8722" t="s">
        <v>2162</v>
      </c>
      <c r="B8722" t="s">
        <v>2163</v>
      </c>
      <c r="C8722">
        <v>13</v>
      </c>
      <c r="D8722" t="s">
        <v>1447</v>
      </c>
      <c r="E8722" t="s">
        <v>2111</v>
      </c>
      <c r="F8722" t="s">
        <v>1806</v>
      </c>
      <c r="I8722" s="165" t="str">
        <f>IF(ISBLANK('Q 10'!$E159),"",IF('Q 10'!$E159="&lt;please select&gt;","",'Q 10'!$E159))</f>
        <v>100</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
      </c>
    </row>
    <row r="8726" spans="1:9" x14ac:dyDescent="0.3">
      <c r="A8726" t="s">
        <v>2162</v>
      </c>
      <c r="B8726" t="s">
        <v>2163</v>
      </c>
      <c r="C8726">
        <v>2</v>
      </c>
      <c r="D8726" t="s">
        <v>1447</v>
      </c>
      <c r="E8726" t="s">
        <v>2112</v>
      </c>
      <c r="F8726" t="s">
        <v>1806</v>
      </c>
      <c r="I8726" s="165" t="str">
        <f>IF(ISBLANK('Q 10'!$F148),"",IF('Q 10'!$F148="&lt;please select&gt;","",'Q 10'!$F148))</f>
        <v/>
      </c>
    </row>
    <row r="8727" spans="1:9" x14ac:dyDescent="0.3">
      <c r="A8727" t="s">
        <v>2162</v>
      </c>
      <c r="B8727" t="s">
        <v>2163</v>
      </c>
      <c r="C8727">
        <v>3</v>
      </c>
      <c r="D8727" t="s">
        <v>1447</v>
      </c>
      <c r="E8727" t="s">
        <v>2112</v>
      </c>
      <c r="F8727" t="s">
        <v>1806</v>
      </c>
      <c r="I8727" s="165" t="str">
        <f>IF(ISBLANK('Q 10'!$F149),"",IF('Q 10'!$F149="&lt;please select&gt;","",'Q 10'!$F149))</f>
        <v/>
      </c>
    </row>
    <row r="8728" spans="1:9" x14ac:dyDescent="0.3">
      <c r="A8728" t="s">
        <v>2162</v>
      </c>
      <c r="B8728" t="s">
        <v>2163</v>
      </c>
      <c r="C8728">
        <v>4</v>
      </c>
      <c r="D8728" t="s">
        <v>1447</v>
      </c>
      <c r="E8728" t="s">
        <v>2112</v>
      </c>
      <c r="F8728" t="s">
        <v>1806</v>
      </c>
      <c r="I8728" s="165" t="str">
        <f>IF(ISBLANK('Q 10'!$F150),"",IF('Q 10'!$F150="&lt;please select&gt;","",'Q 10'!$F150))</f>
        <v>2137.8</v>
      </c>
    </row>
    <row r="8729" spans="1:9" x14ac:dyDescent="0.3">
      <c r="A8729" t="s">
        <v>2162</v>
      </c>
      <c r="B8729" t="s">
        <v>2163</v>
      </c>
      <c r="C8729">
        <v>5</v>
      </c>
      <c r="D8729" t="s">
        <v>1447</v>
      </c>
      <c r="E8729" t="s">
        <v>2112</v>
      </c>
      <c r="F8729" t="s">
        <v>1806</v>
      </c>
      <c r="I8729" s="165" t="str">
        <f>IF(ISBLANK('Q 10'!$F151),"",IF('Q 10'!$F151="&lt;please select&gt;","",'Q 10'!$F151))</f>
        <v/>
      </c>
    </row>
    <row r="8730" spans="1:9" x14ac:dyDescent="0.3">
      <c r="A8730" t="s">
        <v>2162</v>
      </c>
      <c r="B8730" t="s">
        <v>2163</v>
      </c>
      <c r="C8730">
        <v>6</v>
      </c>
      <c r="D8730" t="s">
        <v>1447</v>
      </c>
      <c r="E8730" t="s">
        <v>2112</v>
      </c>
      <c r="F8730" t="s">
        <v>1806</v>
      </c>
      <c r="I8730" s="165" t="str">
        <f>IF(ISBLANK('Q 10'!$F152),"",IF('Q 10'!$F152="&lt;please select&gt;","",'Q 10'!$F152))</f>
        <v>10689.01</v>
      </c>
    </row>
    <row r="8731" spans="1:9" x14ac:dyDescent="0.3">
      <c r="A8731" t="s">
        <v>2162</v>
      </c>
      <c r="B8731" t="s">
        <v>2163</v>
      </c>
      <c r="C8731">
        <v>7</v>
      </c>
      <c r="D8731" t="s">
        <v>1447</v>
      </c>
      <c r="E8731" t="s">
        <v>2112</v>
      </c>
      <c r="F8731" t="s">
        <v>1806</v>
      </c>
      <c r="I8731" s="165" t="str">
        <f>IF(ISBLANK('Q 10'!$F153),"",IF('Q 10'!$F153="&lt;please select&gt;","",'Q 10'!$F153))</f>
        <v/>
      </c>
    </row>
    <row r="8732" spans="1:9" x14ac:dyDescent="0.3">
      <c r="A8732" t="s">
        <v>2162</v>
      </c>
      <c r="B8732" t="s">
        <v>2163</v>
      </c>
      <c r="C8732">
        <v>8</v>
      </c>
      <c r="D8732" t="s">
        <v>1447</v>
      </c>
      <c r="E8732" t="s">
        <v>2112</v>
      </c>
      <c r="F8732" t="s">
        <v>1806</v>
      </c>
      <c r="I8732" s="165" t="str">
        <f>IF(ISBLANK('Q 10'!$F154),"",IF('Q 10'!$F154="&lt;please select&gt;","",'Q 10'!$F154))</f>
        <v/>
      </c>
    </row>
    <row r="8733" spans="1:9" x14ac:dyDescent="0.3">
      <c r="A8733" t="s">
        <v>2162</v>
      </c>
      <c r="B8733" t="s">
        <v>2163</v>
      </c>
      <c r="C8733">
        <v>9</v>
      </c>
      <c r="D8733" t="s">
        <v>1447</v>
      </c>
      <c r="E8733" t="s">
        <v>2112</v>
      </c>
      <c r="F8733" t="s">
        <v>1806</v>
      </c>
      <c r="I8733" s="165" t="str">
        <f>IF(ISBLANK('Q 10'!$F155),"",IF('Q 10'!$F155="&lt;please select&gt;","",'Q 10'!$F155))</f>
        <v/>
      </c>
    </row>
    <row r="8734" spans="1:9" x14ac:dyDescent="0.3">
      <c r="A8734" t="s">
        <v>2162</v>
      </c>
      <c r="B8734" t="s">
        <v>2163</v>
      </c>
      <c r="C8734">
        <v>10</v>
      </c>
      <c r="D8734" t="s">
        <v>1447</v>
      </c>
      <c r="E8734" t="s">
        <v>2112</v>
      </c>
      <c r="F8734" t="s">
        <v>1806</v>
      </c>
      <c r="I8734" s="165" t="str">
        <f>IF(ISBLANK('Q 10'!$F156),"",IF('Q 10'!$F156="&lt;please select&gt;","",'Q 10'!$F156))</f>
        <v/>
      </c>
    </row>
    <row r="8735" spans="1:9" x14ac:dyDescent="0.3">
      <c r="A8735" t="s">
        <v>2162</v>
      </c>
      <c r="B8735" t="s">
        <v>2163</v>
      </c>
      <c r="C8735">
        <v>11</v>
      </c>
      <c r="D8735" t="s">
        <v>1447</v>
      </c>
      <c r="E8735" t="s">
        <v>2112</v>
      </c>
      <c r="F8735" t="s">
        <v>1806</v>
      </c>
      <c r="I8735" s="165" t="str">
        <f>IF(ISBLANK('Q 10'!$F157),"",IF('Q 10'!$F157="&lt;please select&gt;","",'Q 10'!$F157))</f>
        <v/>
      </c>
    </row>
    <row r="8736" spans="1:9" x14ac:dyDescent="0.3">
      <c r="A8736" t="s">
        <v>2162</v>
      </c>
      <c r="B8736" t="s">
        <v>2163</v>
      </c>
      <c r="C8736">
        <v>12</v>
      </c>
      <c r="D8736" t="s">
        <v>1447</v>
      </c>
      <c r="E8736" t="s">
        <v>2112</v>
      </c>
      <c r="F8736" t="s">
        <v>1806</v>
      </c>
      <c r="I8736" s="165" t="str">
        <f>IF(ISBLANK('Q 10'!$F158),"",IF('Q 10'!$F158="&lt;please select&gt;","",'Q 10'!$F158))</f>
        <v>10689.01</v>
      </c>
    </row>
    <row r="8737" spans="1:9" x14ac:dyDescent="0.3">
      <c r="A8737" t="s">
        <v>2162</v>
      </c>
      <c r="B8737" t="s">
        <v>2163</v>
      </c>
      <c r="C8737">
        <v>13</v>
      </c>
      <c r="D8737" t="s">
        <v>1447</v>
      </c>
      <c r="E8737" t="s">
        <v>2112</v>
      </c>
      <c r="F8737" t="s">
        <v>1806</v>
      </c>
      <c r="I8737" s="165" t="str">
        <f>IF(ISBLANK('Q 10'!$F159),"",IF('Q 10'!$F159="&lt;please select&gt;","",'Q 10'!$F159))</f>
        <v>100</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
      </c>
    </row>
    <row r="8756" spans="1:9" x14ac:dyDescent="0.3">
      <c r="A8756" t="s">
        <v>2162</v>
      </c>
      <c r="B8756" t="s">
        <v>2163</v>
      </c>
      <c r="C8756">
        <v>2</v>
      </c>
      <c r="D8756" t="s">
        <v>1447</v>
      </c>
      <c r="E8756" t="s">
        <v>2114</v>
      </c>
      <c r="F8756" t="s">
        <v>1806</v>
      </c>
      <c r="I8756" s="165" t="str">
        <f>IF(ISBLANK('Q 10'!$H148),"",IF('Q 10'!$H148="&lt;please select&gt;","",'Q 10'!$H148))</f>
        <v/>
      </c>
    </row>
    <row r="8757" spans="1:9" x14ac:dyDescent="0.3">
      <c r="A8757" t="s">
        <v>2162</v>
      </c>
      <c r="B8757" t="s">
        <v>2163</v>
      </c>
      <c r="C8757">
        <v>3</v>
      </c>
      <c r="D8757" t="s">
        <v>1447</v>
      </c>
      <c r="E8757" t="s">
        <v>2114</v>
      </c>
      <c r="F8757" t="s">
        <v>1806</v>
      </c>
      <c r="I8757" s="165" t="str">
        <f>IF(ISBLANK('Q 10'!$H149),"",IF('Q 10'!$H149="&lt;please select&gt;","",'Q 10'!$H149))</f>
        <v/>
      </c>
    </row>
    <row r="8758" spans="1:9" x14ac:dyDescent="0.3">
      <c r="A8758" t="s">
        <v>2162</v>
      </c>
      <c r="B8758" t="s">
        <v>2163</v>
      </c>
      <c r="C8758">
        <v>4</v>
      </c>
      <c r="D8758" t="s">
        <v>1447</v>
      </c>
      <c r="E8758" t="s">
        <v>2114</v>
      </c>
      <c r="F8758" t="s">
        <v>1806</v>
      </c>
      <c r="I8758" s="165" t="str">
        <f>IF(ISBLANK('Q 10'!$H150),"",IF('Q 10'!$H150="&lt;please select&gt;","",'Q 10'!$H150))</f>
        <v/>
      </c>
    </row>
    <row r="8759" spans="1:9" x14ac:dyDescent="0.3">
      <c r="A8759" t="s">
        <v>2162</v>
      </c>
      <c r="B8759" t="s">
        <v>2163</v>
      </c>
      <c r="C8759">
        <v>5</v>
      </c>
      <c r="D8759" t="s">
        <v>1447</v>
      </c>
      <c r="E8759" t="s">
        <v>2114</v>
      </c>
      <c r="F8759" t="s">
        <v>1806</v>
      </c>
      <c r="I8759" s="165" t="str">
        <f>IF(ISBLANK('Q 10'!$H151),"",IF('Q 10'!$H151="&lt;please select&gt;","",'Q 10'!$H151))</f>
        <v/>
      </c>
    </row>
    <row r="8760" spans="1:9" x14ac:dyDescent="0.3">
      <c r="A8760" t="s">
        <v>2162</v>
      </c>
      <c r="B8760" t="s">
        <v>2163</v>
      </c>
      <c r="C8760">
        <v>6</v>
      </c>
      <c r="D8760" t="s">
        <v>1447</v>
      </c>
      <c r="E8760" t="s">
        <v>2114</v>
      </c>
      <c r="F8760" t="s">
        <v>1806</v>
      </c>
      <c r="I8760" s="165" t="str">
        <f>IF(ISBLANK('Q 10'!$H152),"",IF('Q 10'!$H152="&lt;please select&gt;","",'Q 10'!$H152))</f>
        <v/>
      </c>
    </row>
    <row r="8761" spans="1:9" x14ac:dyDescent="0.3">
      <c r="A8761" t="s">
        <v>2162</v>
      </c>
      <c r="B8761" t="s">
        <v>2163</v>
      </c>
      <c r="C8761">
        <v>7</v>
      </c>
      <c r="D8761" t="s">
        <v>1447</v>
      </c>
      <c r="E8761" t="s">
        <v>2114</v>
      </c>
      <c r="F8761" t="s">
        <v>1806</v>
      </c>
      <c r="I8761" s="165" t="str">
        <f>IF(ISBLANK('Q 10'!$H153),"",IF('Q 10'!$H153="&lt;please select&gt;","",'Q 10'!$H153))</f>
        <v/>
      </c>
    </row>
    <row r="8762" spans="1:9" x14ac:dyDescent="0.3">
      <c r="A8762" t="s">
        <v>2162</v>
      </c>
      <c r="B8762" t="s">
        <v>2163</v>
      </c>
      <c r="C8762">
        <v>8</v>
      </c>
      <c r="D8762" t="s">
        <v>1447</v>
      </c>
      <c r="E8762" t="s">
        <v>2114</v>
      </c>
      <c r="F8762" t="s">
        <v>1806</v>
      </c>
      <c r="I8762" s="165" t="str">
        <f>IF(ISBLANK('Q 10'!$H154),"",IF('Q 10'!$H154="&lt;please select&gt;","",'Q 10'!$H154))</f>
        <v/>
      </c>
    </row>
    <row r="8763" spans="1:9" x14ac:dyDescent="0.3">
      <c r="A8763" t="s">
        <v>2162</v>
      </c>
      <c r="B8763" t="s">
        <v>2163</v>
      </c>
      <c r="C8763">
        <v>9</v>
      </c>
      <c r="D8763" t="s">
        <v>1447</v>
      </c>
      <c r="E8763" t="s">
        <v>2114</v>
      </c>
      <c r="F8763" t="s">
        <v>1806</v>
      </c>
      <c r="I8763" s="165" t="str">
        <f>IF(ISBLANK('Q 10'!$H155),"",IF('Q 10'!$H155="&lt;please select&gt;","",'Q 10'!$H155))</f>
        <v/>
      </c>
    </row>
    <row r="8764" spans="1:9" x14ac:dyDescent="0.3">
      <c r="A8764" t="s">
        <v>2162</v>
      </c>
      <c r="B8764" t="s">
        <v>2163</v>
      </c>
      <c r="C8764">
        <v>10</v>
      </c>
      <c r="D8764" t="s">
        <v>1447</v>
      </c>
      <c r="E8764" t="s">
        <v>2114</v>
      </c>
      <c r="F8764" t="s">
        <v>1806</v>
      </c>
      <c r="I8764" s="165" t="str">
        <f>IF(ISBLANK('Q 10'!$H156),"",IF('Q 10'!$H156="&lt;please select&gt;","",'Q 10'!$H156))</f>
        <v/>
      </c>
    </row>
    <row r="8765" spans="1:9" x14ac:dyDescent="0.3">
      <c r="A8765" t="s">
        <v>2162</v>
      </c>
      <c r="B8765" t="s">
        <v>2163</v>
      </c>
      <c r="C8765">
        <v>11</v>
      </c>
      <c r="D8765" t="s">
        <v>1447</v>
      </c>
      <c r="E8765" t="s">
        <v>2114</v>
      </c>
      <c r="F8765" t="s">
        <v>1806</v>
      </c>
      <c r="I8765" s="165" t="str">
        <f>IF(ISBLANK('Q 10'!$H157),"",IF('Q 10'!$H157="&lt;please select&gt;","",'Q 10'!$H157))</f>
        <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
      </c>
    </row>
    <row r="8771" spans="1:10" x14ac:dyDescent="0.3">
      <c r="A8771" t="s">
        <v>2162</v>
      </c>
      <c r="B8771" t="s">
        <v>2163</v>
      </c>
      <c r="C8771">
        <v>2</v>
      </c>
      <c r="D8771" t="s">
        <v>1447</v>
      </c>
      <c r="E8771" t="s">
        <v>2115</v>
      </c>
      <c r="F8771" t="s">
        <v>1791</v>
      </c>
      <c r="J8771" t="str">
        <f>IF(ISBLANK('Q 10'!$I148),"",IF('Q 10'!$I148="&lt;please select&gt;","",'Q 10'!$I148))</f>
        <v/>
      </c>
    </row>
    <row r="8772" spans="1:10" x14ac:dyDescent="0.3">
      <c r="A8772" t="s">
        <v>2162</v>
      </c>
      <c r="B8772" t="s">
        <v>2163</v>
      </c>
      <c r="C8772">
        <v>3</v>
      </c>
      <c r="D8772" t="s">
        <v>1447</v>
      </c>
      <c r="E8772" t="s">
        <v>2115</v>
      </c>
      <c r="F8772" t="s">
        <v>1791</v>
      </c>
      <c r="J8772" t="str">
        <f>IF(ISBLANK('Q 10'!$I149),"",IF('Q 10'!$I149="&lt;please select&gt;","",'Q 10'!$I149))</f>
        <v/>
      </c>
    </row>
    <row r="8773" spans="1:10" x14ac:dyDescent="0.3">
      <c r="A8773" t="s">
        <v>2162</v>
      </c>
      <c r="B8773" t="s">
        <v>2163</v>
      </c>
      <c r="C8773">
        <v>4</v>
      </c>
      <c r="D8773" t="s">
        <v>1447</v>
      </c>
      <c r="E8773" t="s">
        <v>2115</v>
      </c>
      <c r="F8773" t="s">
        <v>1791</v>
      </c>
      <c r="J8773" t="str">
        <f>IF(ISBLANK('Q 10'!$I150),"",IF('Q 10'!$I150="&lt;please select&gt;","",'Q 10'!$I150))</f>
        <v/>
      </c>
    </row>
    <row r="8774" spans="1:10" x14ac:dyDescent="0.3">
      <c r="A8774" t="s">
        <v>2162</v>
      </c>
      <c r="B8774" t="s">
        <v>2163</v>
      </c>
      <c r="C8774">
        <v>5</v>
      </c>
      <c r="D8774" t="s">
        <v>1447</v>
      </c>
      <c r="E8774" t="s">
        <v>2115</v>
      </c>
      <c r="F8774" t="s">
        <v>1791</v>
      </c>
      <c r="J8774" t="str">
        <f>IF(ISBLANK('Q 10'!$I151),"",IF('Q 10'!$I151="&lt;please select&gt;","",'Q 10'!$I151))</f>
        <v/>
      </c>
    </row>
    <row r="8775" spans="1:10" x14ac:dyDescent="0.3">
      <c r="A8775" t="s">
        <v>2162</v>
      </c>
      <c r="B8775" t="s">
        <v>2163</v>
      </c>
      <c r="C8775">
        <v>6</v>
      </c>
      <c r="D8775" t="s">
        <v>1447</v>
      </c>
      <c r="E8775" t="s">
        <v>2115</v>
      </c>
      <c r="F8775" t="s">
        <v>1791</v>
      </c>
      <c r="J8775" t="str">
        <f>IF(ISBLANK('Q 10'!$I152),"",IF('Q 10'!$I152="&lt;please select&gt;","",'Q 10'!$I152))</f>
        <v>Jeżeli operator statku powietrznego dostarczy raport w terminie do 15 kwietnia, administracyjną karę pieniężną wymierza się w wysokości 10% kary (art. 105 ust. 2).</v>
      </c>
    </row>
    <row r="8776" spans="1:10" x14ac:dyDescent="0.3">
      <c r="A8776" t="s">
        <v>2162</v>
      </c>
      <c r="B8776" t="s">
        <v>2163</v>
      </c>
      <c r="C8776">
        <v>7</v>
      </c>
      <c r="D8776" t="s">
        <v>1447</v>
      </c>
      <c r="E8776" t="s">
        <v>2115</v>
      </c>
      <c r="F8776" t="s">
        <v>1791</v>
      </c>
      <c r="J8776" t="str">
        <f>IF(ISBLANK('Q 10'!$I153),"",IF('Q 10'!$I153="&lt;please select&gt;","",'Q 10'!$I153))</f>
        <v/>
      </c>
    </row>
    <row r="8777" spans="1:10" x14ac:dyDescent="0.3">
      <c r="A8777" t="s">
        <v>2162</v>
      </c>
      <c r="B8777" t="s">
        <v>2163</v>
      </c>
      <c r="C8777">
        <v>8</v>
      </c>
      <c r="D8777" t="s">
        <v>1447</v>
      </c>
      <c r="E8777" t="s">
        <v>2115</v>
      </c>
      <c r="F8777" t="s">
        <v>1791</v>
      </c>
      <c r="J8777" t="str">
        <f>IF(ISBLANK('Q 10'!$I154),"",IF('Q 10'!$I154="&lt;please select&gt;","",'Q 10'!$I154))</f>
        <v/>
      </c>
    </row>
    <row r="8778" spans="1:10" x14ac:dyDescent="0.3">
      <c r="A8778" t="s">
        <v>2162</v>
      </c>
      <c r="B8778" t="s">
        <v>2163</v>
      </c>
      <c r="C8778">
        <v>9</v>
      </c>
      <c r="D8778" t="s">
        <v>1447</v>
      </c>
      <c r="E8778" t="s">
        <v>2115</v>
      </c>
      <c r="F8778" t="s">
        <v>1791</v>
      </c>
      <c r="J8778" t="str">
        <f>IF(ISBLANK('Q 10'!$I155),"",IF('Q 10'!$I155="&lt;please select&gt;","",'Q 10'!$I155))</f>
        <v/>
      </c>
    </row>
    <row r="8779" spans="1:10" x14ac:dyDescent="0.3">
      <c r="A8779" t="s">
        <v>2162</v>
      </c>
      <c r="B8779" t="s">
        <v>2163</v>
      </c>
      <c r="C8779">
        <v>10</v>
      </c>
      <c r="D8779" t="s">
        <v>1447</v>
      </c>
      <c r="E8779" t="s">
        <v>2115</v>
      </c>
      <c r="F8779" t="s">
        <v>1791</v>
      </c>
      <c r="J8779" t="str">
        <f>IF(ISBLANK('Q 10'!$I156),"",IF('Q 10'!$I156="&lt;please select&gt;","",'Q 10'!$I156))</f>
        <v/>
      </c>
    </row>
    <row r="8780" spans="1:10" x14ac:dyDescent="0.3">
      <c r="A8780" t="s">
        <v>2162</v>
      </c>
      <c r="B8780" t="s">
        <v>2163</v>
      </c>
      <c r="C8780">
        <v>11</v>
      </c>
      <c r="D8780" t="s">
        <v>1447</v>
      </c>
      <c r="E8780" t="s">
        <v>2115</v>
      </c>
      <c r="F8780" t="s">
        <v>1791</v>
      </c>
      <c r="J8780" t="str">
        <f>IF(ISBLANK('Q 10'!$I157),"",IF('Q 10'!$I157="&lt;please select&gt;","",'Q 10'!$I157))</f>
        <v>Jeśli operator statków powietrznych nie zwróci nadmiarowo wydanych uprawnień w terminie 30 dni od dnia otrzymania wniosku Krajowego ośrodka, Krajowy ośrodek przekazuje ministrowi właściwemu do spraw klimatu informację o operatorze statków powietrznych, który nie dopełnił obowiązku zwrotu. Minister właściwy do spraw klimatu wydaje decyzję w sprawie zwrotu równowartości nadmiarowo wydanych uprawnień do emisji, określając kwotę podlegającą zwrotowi oraz termin jej uiszczenia. (art. 18 ustawy)</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Wykonywanie operacji lotniczych bez zatwierdzenia planu monitorowania wielkości emisji (art. 103 ust. 1 ustawy).</v>
      </c>
    </row>
    <row r="8786" spans="1:11" x14ac:dyDescent="0.3">
      <c r="A8786" t="s">
        <v>2162</v>
      </c>
      <c r="B8786" t="s">
        <v>2163</v>
      </c>
      <c r="C8786">
        <v>13</v>
      </c>
      <c r="D8786" t="s">
        <v>1419</v>
      </c>
      <c r="E8786" t="s">
        <v>2116</v>
      </c>
      <c r="F8786" t="s">
        <v>1791</v>
      </c>
      <c r="J8786" t="str">
        <f>IF(ISBLANK('Q 10'!$D159),"",IF('Q 10'!$D159="&lt;please select&gt;","",'Q 10'!$D159))</f>
        <v xml:space="preserve">Niedokonanie przez operatora statku powietrznego rozliczenia wielkości emisji w terminie podlega karze pieniężnej w wysokości równej iloczynowi liczby uprawnień do emisji, która nie została umorzona, i jednostkowej stawki administracyjnej kary pieniężnej za rok okresu rozliczeniowego, za który to rozliczenie powinno nastąpić. Jednostkowa stawka administracyjnej kary pieniężnej stanowi równowartość 100 euro. (art. 104 ustawy)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Ustawa z dnia 12 czerwca 2015 r. o systemie handlu uprawnieniami do emisji gazów cieplarnianych (t.j. Dz.U. 2022 poz. 1092).</v>
      </c>
    </row>
    <row r="8790" spans="1:11" x14ac:dyDescent="0.3">
      <c r="A8790" t="s">
        <v>2165</v>
      </c>
      <c r="B8790" t="s">
        <v>2166</v>
      </c>
      <c r="C8790">
        <v>1</v>
      </c>
      <c r="D8790" t="s">
        <v>1447</v>
      </c>
      <c r="E8790" t="s">
        <v>2119</v>
      </c>
      <c r="F8790" t="s">
        <v>1737</v>
      </c>
      <c r="K8790" t="str">
        <f>IF(ISBLANK('Q 10'!$C171),"",IF('Q 10'!$C171="&lt;please select&gt;","",'Q 10'!$C171))</f>
        <v>Failure to submit a verified emission report by 31 March or earlier if the competent authority set an earlier deadline</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10689.01</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No</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No</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No</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nd</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Na operatora statków powietrznych musi zostać nałożona kara pieniężna na mocy ostatecznej decyzji administracyjnej za niedopełnienie obowiązku sporządzenia i przedłożenia do zatwierdzenia planu monitorowania emisji z operacji lotniczych albo uproszczonego planu monitorowania emisji z operacji lotniczych albo z powodu niezłożenia wniosku o zmianę tego planu lub nierozliczenia wielkości emisji. W terminie 30 dni od dnia, w którym decyzja o nałożeniu kary stała się ostateczna, organ Inspekcji Ochrony Środowiska przekazuje ministrowi właściwemu do spraw klimatu informacje o operatorach statków powietrznych, którzy nie dopełnili ww. obowiązków. Po otrzymaniu powyższych informacji i stwierdzeniu, że mimo nałożenia kary ww. obowiązki nie zostały dokonane przez operatora statku powietrznego, minister wł. ds. klimatu zawiadamia danego operatora statku powietrznego o wszczęciu postępowania w sprawie skierowania do Komisji Europejskiej wniosku o nałożenie zakazu prowadzenia przez tego operatora operacji lotniczych. Operator statku powietrznego może w terminie 14 dni od dnia otrzymania zawiadomienia, złożyć ministrowi właściwemu do spraw klimatu wyjaśnienia. Minister właściwy do spraw klimatu po powiadomieniu Rady Ministrów przesyła do Komisji Europejskiej wniosek o nałożenie zakazu prowadzenia przez tego operatora operacji lotniczych. (art. 109 ustawy).</v>
      </c>
    </row>
    <row r="8918" spans="1:11" x14ac:dyDescent="0.3">
      <c r="A8918" t="s">
        <v>2174</v>
      </c>
      <c r="B8918" t="s">
        <v>2175</v>
      </c>
      <c r="C8918">
        <v>0</v>
      </c>
      <c r="D8918" t="s">
        <v>1447</v>
      </c>
      <c r="E8918" t="s">
        <v>2175</v>
      </c>
      <c r="F8918" t="s">
        <v>1741</v>
      </c>
      <c r="G8918" t="str">
        <f>IF(ISBLANK('Q 11'!$C$6),"",IF('Q 11'!$C$6="&lt;please select&gt;","",'Q 11'!$C$6))</f>
        <v xml:space="preserve">Uprawnienia do emisji mają charakter zbywalnych praw majątkowych przy zachowaniu ich administracyjnoprawnego charakteru. Mogą być przedmiotem zastawu. Na podstawie art. 2 ust. 1 pkt 2 lit. c) i j) ustawy z dnia 29 lipca 2005 r. o obrocie instrumentami finansowymi (Dz. U. z 2022 r., poz. 861, ze zm.), uprawnienia do emisji stanowią instrumenty finansowe niebędące papierami wartościowymi. </v>
      </c>
    </row>
    <row r="8919" spans="1:11" x14ac:dyDescent="0.3">
      <c r="A8919" t="s">
        <v>2176</v>
      </c>
      <c r="B8919" t="s">
        <v>2177</v>
      </c>
      <c r="C8919">
        <v>0</v>
      </c>
      <c r="D8919" t="s">
        <v>1447</v>
      </c>
      <c r="E8919" t="s">
        <v>2177</v>
      </c>
      <c r="F8919" t="s">
        <v>1741</v>
      </c>
      <c r="G8919" t="str">
        <f>IF(ISBLANK('Q 11'!$C$9),"",IF('Q 11'!$C$9="&lt;please select&gt;","",'Q 11'!$C$9))</f>
        <v xml:space="preserve">Ujęcie przyznanych i nabytych praw do emisji przez prowadzących instalacje i operatorów statków powietrznych. Przyznane i nabyte prawa do emisji spełniają definicję wartości niematerialnych i prawnych. Prawa do emisji ujmuje się w księgach rachunkowych jednostki pod datą ich nabycia w cenie nabycia oraz wykazuje w sprawozdaniu finansowym (bilansie) w oddzielnej pozycji w grupie wartości niematerialnych i prawnych, bez względu na ich przeznaczenie (wykorzystanie na potrzeby własne lub inne rozporządzenie). Dla każdej instalacji prowadzi się odrębną ewidencję ilościowo-wartościową przyznanych i nabytych praw do emisji. Cenę nabycia praw do emisji wylicza się zgodnie z przepisami art. 28 ust. 2 ustawy z dnia 29 września 1994 r. o rachunkowości (Dz.U. z 2021 r., poz. 217, ze zm., dalej: "ustawa o rachunkowości"). W przypadku przyznanych praw do emisji cenę nabycia stanowi iloczyn jednostkowej ceny sprzedaży przyznanego prawa do emisji z dnia ich przyznania oraz liczby przyznanych praw (art. 28 ust. 2 ustawy o rachunkowości, zdanie ostatnie). Przyznane prawa do emisji ujmuje się - zgodnie z przepisami art. 41 ust. 2 w powiązaniu z ust. 1 pkt 2 ustawy o rachunkowości - jako rozliczenia międzyokresowe przychodów, które równolegle do odpisów amortyzacyjnych dokonywanych od tych praw zwiększają stopniowo pozostałe przychody operacyjne. Prawa do emisji, które jednostka zamierza sprzedać, ujmuje się w księgach rachunkowych i wykazuje w sprawozdaniu finansowym (bilansie) łącznie z prawami do emisji przeznaczonymi do wykorzystania na własne potrzeby. W informacji dodatkowej sprawozdania finansowego przedstawia się informacje o posiadanych prawach do emisji w podziale na prawa do emisji wykorzystywane na własne potrzeby oraz prawa do emisji przeznaczone do sprzedaży (z wyodrębnieniem uprawnień do emisji, jednostek poświadczonej redukcji emisji i jednostek redukcji emisji). Zbycie, w tym sprzedaż praw do emisji (zarówno wcześniej przeznaczonych i zakwalifikowanych do zbycia, jak i nie zakwalifikowanych pierwotnie do zbycia) wpływa na wynik finansowy tego okresu sprawozdawczego, w którym prawa te zostały zbyte; wynik sprzedaży wykazuje się odpowiednio jako zysk lub stratę w pozycji pozostałych przychodów/kosztów operacyjnych. Jeżeli ceny nabycia posiadanych praw do emisji są różne, to do wyceny rozchodu z tytułu ich wykorzystania, zwrotu lub innego rozporządzenia, jednostka przyjmuje jedną z metod określonych w art. 34 ust. 4 pkt 1-3 ustawy o rachunkowości tj. metodę cen przeciętnych, ustalonych w wysokości średniej ważonej cen praw do emisji, metodę pierwsze przyszło - pierwsze wyszło (FIFO) lub metodę ostanie przyszło - pierwsze wyszło - (LIFO). Ewentualny odpis z tytułu trwałej utraty wartości praw do emisji, dokonany zgodnie z art. 28 ust. 7 ustawy o rachunkowości, odnosi się w pozostałe koszty operacyjne tego okresu, w którym wystąpiły okoliczności uzasadniające dokonanie takiego odpisu. Ujęcie nabytych praw do emisji u innych jednostek (pośredników). W razie nabycia praw do emisji w celu ich późniejszej odprzedaży prawa te kwalifikuje się do inwestycji - odpowiednio długoterminowych lub krótkoterminowych i wycenia zgodnie z art. 28 ust. 1 pkt 1a lub pkt 5 i art. 35 ustawy o rachunkowości. Zaleca się ujęcie nabytych praw do emisji jako inwestycji krótkoterminowych i ich wycenę w cenie nabycia lub cenie rynkowej zależnie od tego, która z nich jest niższa. W razie znaczących różnic między wyceną praw do emisji w cenach ich nabycia i cenach rynkowych w informacji dodatkowej sprawozdania finansowego przedstawia się dane o tych prawach w wartościach rynkowych. </v>
      </c>
    </row>
    <row r="8920" spans="1:11" x14ac:dyDescent="0.3">
      <c r="A8920" t="s">
        <v>2178</v>
      </c>
      <c r="B8920" t="s">
        <v>2179</v>
      </c>
      <c r="C8920">
        <v>0</v>
      </c>
      <c r="D8920" t="s">
        <v>1447</v>
      </c>
      <c r="E8920" t="s">
        <v>2179</v>
      </c>
      <c r="F8920" t="s">
        <v>1759</v>
      </c>
      <c r="K8920" t="str">
        <f>IF(ISBLANK('Q 11'!$I$11),"",IF('Q 11'!$I$11="&lt;please select&gt;","",'Q 11'!$I$11))</f>
        <v>Yes</v>
      </c>
    </row>
    <row r="8921" spans="1:11" x14ac:dyDescent="0.3">
      <c r="A8921" t="s">
        <v>2178</v>
      </c>
      <c r="B8921" t="s">
        <v>2180</v>
      </c>
      <c r="C8921">
        <v>0</v>
      </c>
      <c r="D8921" t="s">
        <v>1447</v>
      </c>
      <c r="E8921" t="s">
        <v>2180</v>
      </c>
      <c r="F8921" t="s">
        <v>1759</v>
      </c>
      <c r="K8921" t="str">
        <f>IF(ISBLANK('Q 11'!$I$13),"",IF('Q 11'!$I$13="&lt;please select&gt;","",'Q 11'!$I$13))</f>
        <v>No</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0.23</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Nie ma regulacji o charakterze szczególnym. Obowiązują zasady określone w ustawie z dnia 6 czerwca 1997 r. Kodeks postępowania karnego (t.j. Dz. U. z 2021 r. poz. 534, ze zm., dalej: „kpk”). Zgodnie z art. 303 kpk w przypadku uzasadnionego podejrzenia popełnienia przestępstwa, właściwy organ ścigania wydaje z urzędu lub na skutek zawiadomienia o przestępstwie postanowienie o wszczęciu śledztwa. Z kolei zgodnie z art. 304 ust. 1 kpk każdy, dowiedziawszy się o popełnieniu przestępstwa ściganego z urzędu, ma społeczny obowiązek zawiadomić o tym prokuratora lub Policję.</v>
      </c>
    </row>
    <row r="8936" spans="1:7" x14ac:dyDescent="0.3">
      <c r="A8936" t="s">
        <v>2186</v>
      </c>
      <c r="B8936" t="s">
        <v>2187</v>
      </c>
      <c r="C8936">
        <v>2</v>
      </c>
      <c r="D8936" t="s">
        <v>1447</v>
      </c>
      <c r="E8936" t="s">
        <v>2188</v>
      </c>
      <c r="F8936" t="s">
        <v>1741</v>
      </c>
      <c r="G8936" t="str">
        <f>IF(ISBLANK('Q 12'!$G8),"",IF('Q 12'!$G8="&lt;please select&gt;","",'Q 12'!$G8))</f>
        <v>Tak.</v>
      </c>
    </row>
    <row r="8937" spans="1:7" x14ac:dyDescent="0.3">
      <c r="A8937" t="s">
        <v>2186</v>
      </c>
      <c r="B8937" t="s">
        <v>2187</v>
      </c>
      <c r="C8937">
        <v>3</v>
      </c>
      <c r="D8937" t="s">
        <v>1447</v>
      </c>
      <c r="E8937" t="s">
        <v>2188</v>
      </c>
      <c r="F8937" t="s">
        <v>1741</v>
      </c>
      <c r="G8937" t="str">
        <f>IF(ISBLANK('Q 12'!$G9),"",IF('Q 12'!$G9="&lt;please select&gt;","",'Q 12'!$G9))</f>
        <v>Zastosowanie znajdują ogólne przepisy Kodeksu postępowania karnego dotyczące ścigania oszustw. Śledztwo prowadzi prokurator. Prokurator może powierzyć Policji przeprowadzenie śledztwa w całości lub w określonym zakresie albo dokonanie poszczególnych czynności śledztwa. (art. 311 § 1 i 2 kpk). W przypadku, jeżeli wartość przedmiotu przestępstwa albo szkoda wyrządzona lub grożąca nie przekracza 200 000 zł, dochodzenie prowadzone jest przez Policję lub organy, którym przysługują uprawnienia Policji tj. organy Straży Granicznej, Agencji Bezpieczeństwa Wewnętrznego, Krajowej Administracji Skarbowej, Centralnego Biura Antykorupcyjnego oraz Żandarmerii Wojskowej, w zakresie ich właściwości lub inne organy przewidziane w przepisach szczególnych. Dochodzenie może prowadzić także prokurator. (art. 325a i 325b kpk)</v>
      </c>
    </row>
    <row r="8938" spans="1:7" x14ac:dyDescent="0.3">
      <c r="A8938" t="s">
        <v>2186</v>
      </c>
      <c r="B8938" t="s">
        <v>2187</v>
      </c>
      <c r="C8938">
        <v>4</v>
      </c>
      <c r="D8938" t="s">
        <v>1447</v>
      </c>
      <c r="E8938" t="s">
        <v>2188</v>
      </c>
      <c r="F8938" t="s">
        <v>1741</v>
      </c>
      <c r="G8938" t="str">
        <f>IF(ISBLANK('Q 12'!$G10),"",IF('Q 12'!$G10="&lt;please select&gt;","",'Q 12'!$G10))</f>
        <v>Tak.</v>
      </c>
    </row>
    <row r="8939" spans="1:7" x14ac:dyDescent="0.3">
      <c r="A8939" t="s">
        <v>2186</v>
      </c>
      <c r="B8939" t="s">
        <v>2187</v>
      </c>
      <c r="C8939">
        <v>5</v>
      </c>
      <c r="D8939" t="s">
        <v>1447</v>
      </c>
      <c r="E8939" t="s">
        <v>2188</v>
      </c>
      <c r="F8939" t="s">
        <v>1741</v>
      </c>
      <c r="G8939" t="str">
        <f>IF(ISBLANK('Q 12'!$G11),"",IF('Q 12'!$G11="&lt;please select&gt;","",'Q 12'!$G11))</f>
        <v>Tak.</v>
      </c>
    </row>
    <row r="8940" spans="1:7" x14ac:dyDescent="0.3">
      <c r="A8940" t="s">
        <v>2186</v>
      </c>
      <c r="B8940" t="s">
        <v>2187</v>
      </c>
      <c r="C8940">
        <v>6</v>
      </c>
      <c r="D8940" t="s">
        <v>1447</v>
      </c>
      <c r="E8940" t="s">
        <v>2188</v>
      </c>
      <c r="F8940" t="s">
        <v>1741</v>
      </c>
      <c r="G8940" t="str">
        <f>IF(ISBLANK('Q 12'!$G12),"",IF('Q 12'!$G12="&lt;please select&gt;","",'Q 12'!$G12))</f>
        <v>Oszustwo jest występkiem stypizowanym w art. 286 ustawy z dnia 6 czerwca 1997 r. Kodeks karny (t.j. Dz. U. z 2021 r. poz. 534, ze zm.). Zgodnie z § 1 wskazanego przepisu, kto, w celu osiągnięcia korzyści majątkowej, doprowadza inną osobę do niekorzystnego rozporządzenia własnym lub cudzym mieniem za pomocą wprowadzenia jej w błąd albo wyzyskania błędu lub niezdolności do należytego pojmowania przedsiębranego działania, podlega karze pozbawienia wolności od 6 miesięcy do lat 8. Zgodnie z § 3. w wypadku mniejszej wagi sprawca podlega grzywnie, karze ograniczenia wolności albo pozbawienia wolności do lat 2. W myśl art. 33 § 1 i § 2 Kodeksu karnego grzywnę wymierza się w stawkach dziennych, określając liczbę stawek oraz wysokość jednej stawki, najniższa liczba stawek wynosi 10, zaś najwyższa 540. Grzywnę można wymierzyć obok kary pozbawienia wolności, jeżeli sprawca dopuścił się czynu w celu osiągnięcia korzyści majątkowej lub gdy korzyść majątkową osiągnął. Karę pozbawienia wolność wymierza się w miesiącach i latach (art. 37 Kodeksu karnego).</v>
      </c>
    </row>
    <row r="8941" spans="1:7" x14ac:dyDescent="0.3">
      <c r="A8941" t="s">
        <v>2189</v>
      </c>
      <c r="B8941" t="s">
        <v>2190</v>
      </c>
      <c r="C8941">
        <v>1</v>
      </c>
      <c r="D8941" t="s">
        <v>1447</v>
      </c>
      <c r="E8941" t="s">
        <v>2191</v>
      </c>
      <c r="F8941" t="s">
        <v>1741</v>
      </c>
      <c r="G8941" t="str">
        <f>IF(ISBLANK('Q 12'!$G17),"",IF('Q 12'!$G17="&lt;please select&gt;","",'Q 12'!$G17))</f>
        <v>Nie, brak procedur w tym zakresie.</v>
      </c>
    </row>
    <row r="8942" spans="1:7" x14ac:dyDescent="0.3">
      <c r="A8942" t="s">
        <v>2189</v>
      </c>
      <c r="B8942" t="s">
        <v>2190</v>
      </c>
      <c r="C8942">
        <v>2</v>
      </c>
      <c r="D8942" t="s">
        <v>1447</v>
      </c>
      <c r="E8942" t="s">
        <v>2191</v>
      </c>
      <c r="F8942" t="s">
        <v>1741</v>
      </c>
      <c r="G8942" t="str">
        <f>IF(ISBLANK('Q 12'!$G18),"",IF('Q 12'!$G18="&lt;please select&gt;","",'Q 12'!$G18))</f>
        <v>Nie, brak procedur w tym zakresie.</v>
      </c>
    </row>
    <row r="8943" spans="1:7" x14ac:dyDescent="0.3">
      <c r="A8943" t="s">
        <v>2189</v>
      </c>
      <c r="B8943" t="s">
        <v>2190</v>
      </c>
      <c r="C8943">
        <v>3</v>
      </c>
      <c r="D8943" t="s">
        <v>1447</v>
      </c>
      <c r="E8943" t="s">
        <v>2191</v>
      </c>
      <c r="F8943" t="s">
        <v>1741</v>
      </c>
      <c r="G8943" t="str">
        <f>IF(ISBLANK('Q 12'!$G19),"",IF('Q 12'!$G19="&lt;please select&gt;","",'Q 12'!$G19))</f>
        <v>Nie, brak procedur w tym zakresie.</v>
      </c>
    </row>
    <row r="8944" spans="1:7" x14ac:dyDescent="0.3">
      <c r="A8944" t="s">
        <v>2189</v>
      </c>
      <c r="B8944" t="s">
        <v>2190</v>
      </c>
      <c r="C8944">
        <v>4</v>
      </c>
      <c r="D8944" t="s">
        <v>1447</v>
      </c>
      <c r="E8944" t="s">
        <v>2191</v>
      </c>
      <c r="F8944" t="s">
        <v>1741</v>
      </c>
      <c r="G8944" t="str">
        <f>IF(ISBLANK('Q 12'!$G20),"",IF('Q 12'!$G20="&lt;please select&gt;","",'Q 12'!$G20))</f>
        <v>Nie, brak procedur w tym zakresie.</v>
      </c>
    </row>
    <row r="8945" spans="1:10" x14ac:dyDescent="0.3">
      <c r="A8945" t="s">
        <v>2192</v>
      </c>
      <c r="B8945" t="s">
        <v>2193</v>
      </c>
      <c r="C8945">
        <v>1</v>
      </c>
      <c r="D8945" t="s">
        <v>1447</v>
      </c>
      <c r="E8945" t="s">
        <v>2194</v>
      </c>
      <c r="F8945" t="s">
        <v>1748</v>
      </c>
      <c r="H8945" s="165" t="str">
        <f>IF(ISBLANK('Q 12'!$H28),"",IF('Q 12'!$H28="&lt;please select&gt;","",'Q 12'!$H28))</f>
        <v/>
      </c>
    </row>
    <row r="8946" spans="1:10" x14ac:dyDescent="0.3">
      <c r="A8946" t="s">
        <v>2192</v>
      </c>
      <c r="B8946" t="s">
        <v>2193</v>
      </c>
      <c r="C8946">
        <v>2</v>
      </c>
      <c r="D8946" t="s">
        <v>1447</v>
      </c>
      <c r="E8946" t="s">
        <v>2194</v>
      </c>
      <c r="F8946" t="s">
        <v>1748</v>
      </c>
      <c r="H8946" s="165" t="str">
        <f>IF(ISBLANK('Q 12'!$H29),"",IF('Q 12'!$H29="&lt;please select&gt;","",'Q 12'!$H29))</f>
        <v/>
      </c>
    </row>
    <row r="8947" spans="1:10" x14ac:dyDescent="0.3">
      <c r="A8947" t="s">
        <v>2192</v>
      </c>
      <c r="B8947" t="s">
        <v>2193</v>
      </c>
      <c r="C8947">
        <v>3</v>
      </c>
      <c r="D8947" t="s">
        <v>1447</v>
      </c>
      <c r="E8947" t="s">
        <v>2194</v>
      </c>
      <c r="F8947" t="s">
        <v>1748</v>
      </c>
      <c r="H8947" s="165" t="str">
        <f>IF(ISBLANK('Q 12'!$H30),"",IF('Q 12'!$H30="&lt;please select&gt;","",'Q 12'!$H30))</f>
        <v/>
      </c>
    </row>
    <row r="8948" spans="1:10" x14ac:dyDescent="0.3">
      <c r="A8948" t="s">
        <v>2192</v>
      </c>
      <c r="B8948" t="s">
        <v>2193</v>
      </c>
      <c r="C8948">
        <v>4</v>
      </c>
      <c r="D8948" t="s">
        <v>1447</v>
      </c>
      <c r="E8948" t="s">
        <v>2194</v>
      </c>
      <c r="F8948" t="s">
        <v>1748</v>
      </c>
      <c r="H8948" s="165" t="str">
        <f>IF(ISBLANK('Q 12'!$H31),"",IF('Q 12'!$H31="&lt;please select&gt;","",'Q 12'!$H31))</f>
        <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
      </c>
    </row>
    <row r="8952" spans="1:10" x14ac:dyDescent="0.3">
      <c r="A8952" t="s">
        <v>2195</v>
      </c>
      <c r="B8952" t="s">
        <v>2196</v>
      </c>
      <c r="C8952">
        <v>4</v>
      </c>
      <c r="D8952" t="s">
        <v>1447</v>
      </c>
      <c r="E8952" t="s">
        <v>2197</v>
      </c>
      <c r="F8952" t="s">
        <v>1791</v>
      </c>
      <c r="J8952" t="str">
        <f>IF(ISBLANK('Q 13'!E10),"",IF('Q 13'!E10="&lt;please select&gt;","",'Q 13'!E10))</f>
        <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Ze względu na ograniczenia formularza raportu rocznego wprowadzono następujące uproszczenia:
- w przypadku wprowadzenia w raporcie rocznym kilku kodów CRF dla kategorii energetycznej lub emisji procesowych zastosowano wyłącznie pierwszy kod;                                                                                                                                                                                                                                            - emisję obliczaną przy pomocy bilansu masowego oraz emisję gazów cieplarnianych innych niż CO2 przyporządkowano do emisji procesowych;                                                                                                             
- dane o emisjach prowadzących instalację, którzy nie wprowadzili w raporcie rocznym informacji o kodzie CRF zagregowano w ostatnim wierszu zestawienia (wiersz 98).
Z uwagi na ograniczenie formularza wpisywania wartości ujemnej dla kodu 1A2a, 2B2, 2H1 została wpisana wartość dodatnia.  
Wartość ujemna dla tego kodu wynika z procesów jakim jest bilans masowy, w którym dla niektórych strumieni emisja ma wartość ujemną.</v>
      </c>
    </row>
    <row r="8961" spans="1:10" x14ac:dyDescent="0.3">
      <c r="A8961" t="s">
        <v>2195</v>
      </c>
      <c r="B8961" t="s">
        <v>2196</v>
      </c>
      <c r="C8961">
        <v>13</v>
      </c>
      <c r="D8961" t="s">
        <v>1447</v>
      </c>
      <c r="E8961" t="s">
        <v>2197</v>
      </c>
      <c r="F8961" t="s">
        <v>1791</v>
      </c>
      <c r="J8961" t="str">
        <f>IF(ISBLANK('Q 13'!E19),"",IF('Q 13'!E19="&lt;please select&gt;","",'Q 13'!E19))</f>
        <v>W przypadku paliw i materiałów: olej opałowy lekki, gaz technologiczny, biogaz, mączka surowcowa do produkcji klinkieru cementowego (1 instalacja) oraz gaz poreakcyjny, częstotliwość analiz laboratoryjnych inna niż wymagana zgodnie z załącznikiem VII do rozporządzenia (UE) nr 2018/2066 dotyczy strumieni de minimis.</v>
      </c>
    </row>
    <row r="8962" spans="1:10" x14ac:dyDescent="0.3">
      <c r="A8962" t="s">
        <v>2195</v>
      </c>
      <c r="B8962" t="s">
        <v>2196</v>
      </c>
      <c r="C8962">
        <v>14</v>
      </c>
      <c r="D8962" t="s">
        <v>1447</v>
      </c>
      <c r="E8962" t="s">
        <v>2197</v>
      </c>
      <c r="F8962" t="s">
        <v>1791</v>
      </c>
      <c r="J8962" t="str">
        <f>IF(ISBLANK('Q 13'!E20),"",IF('Q 13'!E20="&lt;please select&gt;","",'Q 13'!E20))</f>
        <v>Liczba instalacji, które powinny złożyć raport w zakresie udoskonaleń w metodyce monitorowania do dnia 30 czerwca 2021 roku została wyznaczona na podstawie następujących założeń:
 instalacje:
- kategorii C, które zgodnie z posiadanym zezwoleniem na emisję gazów cieplarnianych stosują niższe poziomy dokładności niż wymagane rozporządzeniem 601/2012 oraz rozporządzeniem 2018/2066, i którym w okresie od 01 lipca 2020 roku do 30 czerwca 2021 roku właściwy organ nie wydał decyzji zmieniającej zezwolenie.
- kategorii B, które zgodnie z posiadanym zezwoleniem na emisję gazów cieplarnianych stosują  niższe poziomy dokładności niż wymagane rozporządzeniem 601/2012 oraz rozporządzeniem 2018/2066, i którym w okresie od 01 lipca 2019 roku do 30 czerwca 2021 roku właściwy organ nie wydał decyzji zmieniającej zezwolenie.
- kategorii A, które zgodnie z posiadanym zezwoleniem na emisję gazów cieplarnianych stosują  niższe poziomy dokładności niż wymagane rozporządzeniem 601/2012 oraz rozporządzeniem 2018/2066, i którym w okresie od 01 lipca 2017 roku do 30 czerwca 2021 roku właściwy organ nie wydał decyzji zmieniającej zezwolenie.
- w związku ze stosowaniem metodyki rezerwowej (art 69 (3) MRR) wszystkie instalacje,                                                                                                                                                     
- w przypadku zidentyfikowania przez weryfikatora w sprawozdaniu z weryfikacji (art 69 (4) MRR)  nieusuniętych nieprawidłowości (Załącznik 1AA) i  nieusuniętych niezgodności (Załącznik 1AB) instalacje należące do kategorii A, B i C,
- w przypadku zidentyfikowania przez weryfikatora w sprawozdaniu z weryfikacji (art 69 (4) MRR)  ewentualnych zalecanych ulepszeń  (załącznik 1AD) instalacje kategorii A, B i C z wyjątkiem instalacji o "niskim poziomie emisji" zgodnie z art 47 (3) MRR.</v>
      </c>
    </row>
    <row r="8963" spans="1:10" x14ac:dyDescent="0.3">
      <c r="A8963" t="s">
        <v>2195</v>
      </c>
      <c r="B8963" t="s">
        <v>2196</v>
      </c>
      <c r="C8963">
        <v>15</v>
      </c>
      <c r="D8963" t="s">
        <v>1447</v>
      </c>
      <c r="E8963" t="s">
        <v>2197</v>
      </c>
      <c r="F8963" t="s">
        <v>1791</v>
      </c>
      <c r="J8963" t="str">
        <f>IF(ISBLANK('Q 13'!E21),"",IF('Q 13'!E21="&lt;please select&gt;","",'Q 13'!E21))</f>
        <v>Przedstawione informacje nie uwzględniają/ nie obejmują  strumieni materiałów wsadowych zawierających biomasę w ilości od 32,5 do 100%, (użytych w procesie technologicznym) która nie podlegała spalaniu i dla których nie mają zastosowania kryteria zrównoważonego rozwoju, występujących w kilku instalacjach kategorii A zakwalifikowanych zgodnie z załącznikiem I do dyrektywy 2003/87/WE jako przemysł ceramiczny (1 388 920,85 t materiałów wsadowych zawierających biomasę o łącznej wielkości emisji z węgla kopalnego wynoszącej 103356,2261 Mg CO2), a także instalacji kategorii C zakwalifikowanej jako instalacja hutnicza (23 526, 6 t materiałów wsadowych zawierających biomasę o łącznej wielkości emisji z węgla kopalnego wynoszącej 7593,747 Mg/CO2).</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Brak jest sankcji przewidzianych w prawie krajowym w przypadku naruszeń rozporządzenia delegowanego Komisji (UE) 2019/331 i rozporządzenia Komisji (UE) 2019/1842. Zapewnia się środki administracyjne, niemające charakteru sankcji, stosowane w celu zapewnienia przestrzegania ww. przepisów, opisane w tabeli 8.17.</v>
      </c>
    </row>
    <row r="8999" spans="1:10" x14ac:dyDescent="0.3">
      <c r="A8999" t="s">
        <v>2195</v>
      </c>
      <c r="B8999" t="s">
        <v>2196</v>
      </c>
      <c r="C8999">
        <v>51</v>
      </c>
      <c r="D8999" t="s">
        <v>1447</v>
      </c>
      <c r="E8999" t="s">
        <v>2197</v>
      </c>
      <c r="F8999" t="s">
        <v>1791</v>
      </c>
      <c r="J8999" t="str">
        <f>IF(ISBLANK('Q 13'!E57),"",IF('Q 13'!E57="&lt;please select&gt;","",'Q 13'!E57))</f>
        <v>Brak jest sankcji przewidzianych w prawie krajowym w przypadku naruszeń rozporządzenia delegowanego Komisji (UE) 2019/331 i rozporządzenia Komisji (UE) 2019/1842. Zapewnia się środki administracyjne, niemające charakteru sankcji, stosowane w celu zapewnienia przestrzegania ww. przepisów, opisane w tabeli 8.17.</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xml:space="preserve">Do przeliczenia kwot z PLN na euro przyjęto kurs średni NBP z dnia 4 maja 2022 r., który wynosił 4,6777 PLN/EURO. W przypadku postępowania w przedmiocie zmiany albo wygaszenia zezwolenia opłata jest należna tylko jeżeli postępowanie zostało wszczęte na wniosek prowadzącego instalację. W przypadku wszczęcia ww. postępowań z urzędu opłata nie jest pobierana. Zmiana planu monitorowania - 2,13 EUR. </v>
      </c>
    </row>
    <row r="9017" spans="1:10" x14ac:dyDescent="0.3">
      <c r="A9017" t="s">
        <v>2195</v>
      </c>
      <c r="B9017" t="s">
        <v>2196</v>
      </c>
      <c r="C9017">
        <v>69</v>
      </c>
      <c r="D9017" t="s">
        <v>1447</v>
      </c>
      <c r="E9017" t="s">
        <v>2197</v>
      </c>
      <c r="F9017" t="s">
        <v>1791</v>
      </c>
      <c r="J9017" t="str">
        <f>IF(ISBLANK('Q 13'!E75),"",IF('Q 13'!E75="&lt;please select&gt;","",'Q 13'!E75))</f>
        <v>Do przeliczenia kwot z PLN na euro przyjęto kurs średni NBP z dnia 4 maja 2022 r., który wynosił 4,6777 PLN/EURO.</v>
      </c>
    </row>
    <row r="9018" spans="1:10" x14ac:dyDescent="0.3">
      <c r="A9018" t="s">
        <v>2195</v>
      </c>
      <c r="B9018" t="s">
        <v>2196</v>
      </c>
      <c r="C9018">
        <v>70</v>
      </c>
      <c r="D9018" t="s">
        <v>1447</v>
      </c>
      <c r="E9018" t="s">
        <v>2197</v>
      </c>
      <c r="F9018" t="s">
        <v>1791</v>
      </c>
      <c r="J9018" t="str">
        <f>IF(ISBLANK('Q 13'!E76),"",IF('Q 13'!E76="&lt;please select&gt;","",'Q 13'!E76))</f>
        <v>Do przeliczenia kwot z PLN na euro przyjęto kurs średni NBP z dnia 4 maja 2022 r., który wynosił 4,6777 PLN/EURO.</v>
      </c>
    </row>
    <row r="9019" spans="1:10" x14ac:dyDescent="0.3">
      <c r="A9019" t="s">
        <v>2195</v>
      </c>
      <c r="B9019" t="s">
        <v>2196</v>
      </c>
      <c r="C9019">
        <v>71</v>
      </c>
      <c r="D9019" t="s">
        <v>1447</v>
      </c>
      <c r="E9019" t="s">
        <v>2197</v>
      </c>
      <c r="F9019" t="s">
        <v>1791</v>
      </c>
      <c r="J9019" t="str">
        <f>IF(ISBLANK('Q 13'!E77),"",IF('Q 13'!E77="&lt;please select&gt;","",'Q 13'!E77))</f>
        <v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prowadzącego instalację administracyjnej kary pieniężnej nie zwalnia go od rozliczenia wielkości emisji. Do przeliczenia kar na euro przyjęto kurs średni NBP z dnia 4 maja 2022 r., który wynosił 4,6777 PLN/EURO. </v>
      </c>
    </row>
    <row r="9020" spans="1:10" x14ac:dyDescent="0.3">
      <c r="A9020" t="s">
        <v>2195</v>
      </c>
      <c r="B9020" t="s">
        <v>2196</v>
      </c>
      <c r="C9020">
        <v>72</v>
      </c>
      <c r="D9020" t="s">
        <v>1447</v>
      </c>
      <c r="E9020" t="s">
        <v>2197</v>
      </c>
      <c r="F9020" t="s">
        <v>1791</v>
      </c>
      <c r="J9020" t="str">
        <f>IF(ISBLANK('Q 13'!E78),"",IF('Q 13'!E78="&lt;please select&gt;","",'Q 13'!E78))</f>
        <v>(1) Decyzja Śląskiego Wojewódzkiego Inspektora Ochrony Środowiska z dnia 16 września 2021 r. nakładająca karę pieniężną w wysokości 5 000 zł (1 068.90 euro) za niezłożenie w terminie raportu na temat wielkości emisji lub sprawozdania z weryfikacji za rok 2020.
(2) Decyzja Podlaskiego Wojewódzkiego Inspektora Ochrony Środowiska z dnia 21 grudnia 2021 r. nakładająca karę pieniężną w wysokości 5 000 zł (1 068.90 euro) za niezłożenie w terminie raportu na temat wielkości emisji lub sprawozdania z weryfikacji za rok 2020.
(3) Decyzja Małopolskiego Wojewódzkiego Inspektora Ochrony Środowiska z dnia 12 kwietnia 2021 r. nakładająca karę pieniężną w wysokości 5 000 zł (1 068.90 euro) za niezłożenie w terminie raportu na temat wielkości emisji lub sprawozdania z weryfikacji za rok 2019.
(4) Decyzja Śląskiego Wojewódzkiego Inspektora Ochrony Środowiska z dnia 23 września 2021 r. nakładająca karę pieniężną w wysokości 5 000 zł (1 068.90 euro) za niezłożenie w terminie raportu na temat wielkości emisji lub sprawozdania z weryfikacji za rok 2020.
(5) Decyzja Śląskiego Wojewódzkiego Inspektora Ochrony Środowiska z dnia 13 października 2021 r. nakładająca karę pieniężną w wysokości 5 000 zł (1 068.90 euro) za niezłożenie w terminie raportu na temat wielkości emisji lub sprawozdania z weryfikacji za rok 2020.
(6) Decyzja Małopolskiego Wojewódzkiego Inspektora Ochrony Środowiska z dnia 13 kwietnia 2021 r. nakładająca karę pieniężną w wysokości 18 092 827 zł (3 867 889.56 euro) za niedokonanie w terminie rozliczenia wielkości emisji za lata 2018 i 2019. Do przeliczenia kar na euro przyjęto kurs średni NBP z dnia 4 maja 2021 r., który wynosił 4,6777 PLN/EURO.</v>
      </c>
    </row>
    <row r="9021" spans="1:10" x14ac:dyDescent="0.3">
      <c r="A9021" t="s">
        <v>2195</v>
      </c>
      <c r="B9021" t="s">
        <v>2196</v>
      </c>
      <c r="C9021">
        <v>73</v>
      </c>
      <c r="D9021" t="s">
        <v>1447</v>
      </c>
      <c r="E9021" t="s">
        <v>2197</v>
      </c>
      <c r="F9021" t="s">
        <v>1791</v>
      </c>
      <c r="J9021" t="str">
        <f>IF(ISBLANK('Q 13'!E79),"",IF('Q 13'!E79="&lt;please select&gt;","",'Q 13'!E79))</f>
        <v xml:space="preserve">W PL nie występuje autonomiczne naruszenie polegające na niezłożeniu dokumentacji uzupełniającej zgodnie z art. 12 ust. 1 rozporządzenia (UE) 2018/2066. Odnośnie kary z art. 104 ustawy - Wysokość stawki administracyjnej kary pieniężnej ustala się z uwzględnieniem średniego kursu euro w przeliczeniu na złote ogłaszanego przez Narodowy Bank Polski na pierwszy dzień roboczy następujący po dniu 30 kwietnia roku, w którym powstał obowiązek rozliczenia. Jednostkowa stawka administracyjnej kary pieniężnej podlega corocznej waloryzacji o średnioroczny zharmonizowany wskaźnik cen konsumpcyjnych (HICP) ogółem w poprzednim roku dla obszaru Unii Europejskiej, ustalany na podstawie rozporządzenia Parlamentu Europejskiego i Rady (UE) 2016/792 z dnia 11 maja 2016 r. w sprawie zharmonizowanych wskaźników cen konsumpcyjnych oraz wskaźnika cen nieruchomości mieszkalnych i uchylającego rozporządzenie Rady (WE) nr 2494/95 (Tekst mający znaczenie dla EOG) (Dz. Urz. UE L 135 z 24.05.2016, str. 11). Zwaloryzowana jednostkowa stawka administracyjnej kary pieniężnej za rok 2021 wynosiła 109,28 euro. Uiszczenie przez operatora statku powietrznego administracyjnej kary pieniężnej nie zwalnia go od rozliczenia wielkości emisji. Do przeliczenia kar na euro przyjęto kurs średni NBP z dnia 4 maja 2022 r., który wynosił 4,6777 PLN/EURO. </v>
      </c>
    </row>
    <row r="9022" spans="1:10" x14ac:dyDescent="0.3">
      <c r="A9022" t="s">
        <v>2195</v>
      </c>
      <c r="B9022" t="s">
        <v>2196</v>
      </c>
      <c r="C9022">
        <v>74</v>
      </c>
      <c r="D9022" t="s">
        <v>1447</v>
      </c>
      <c r="E9022" t="s">
        <v>2197</v>
      </c>
      <c r="F9022" t="s">
        <v>1791</v>
      </c>
      <c r="J9022" t="str">
        <f>IF(ISBLANK('Q 13'!E80),"",IF('Q 13'!E80="&lt;please select&gt;","",'Q 13'!E80))</f>
        <v>Decyzja Głównego Inspektora Ochrony Środowiska z dnia 11 czerwca 2021 r. nakładająca karę pieniężną w wysokości 50 000 zł (10 689.01 euro) za niezłożenie w terminie raportu na temat wielkości emisji lub sprawozdania z weryfikacji za rok 2019. Do przeliczenia kary na euro przyjęto kurs średni NBP z dnia 4 maja 2021 r., który wynosił 4,6777 PLN/EURO.</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W związku ze zmianą ustawy z dnia 11 marca 2004 r. o podatku od towarów i usług (Dz. U. z 2022, poz. 931, ze zm.) od dnia 1 listopada 2019 r. obrót uprawnieniami do emisji nie jest już objęty mechanizmem odwrotnego obciążenia. Zgodnie z art. 108a ust. 1a tej ustawy, przy dokonywaniu płatności za nabyte towary lub usługi wymienione w załączniku nr 15 do ustawy (w tym także uprawnienia do emisji), udokumentowane fakturą, w której kwota należności ogółem przekracza 15 000 zł, podatnicy są obowiązani zastosować mechanizm podzielonej płatności. 
Brak możliwości udzielenia jednoznacznej odpowiedzi TAK/NIE na połączone pytanie o opodatkowanie wydania i transakcji uprawnieniami, ponieważ w PL jedynie transakcje na rynku wtórnym obciążone są podatkiem VAT.</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Brak informacji w tym zakresie.</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
      </c>
    </row>
    <row r="9036" spans="1:11" x14ac:dyDescent="0.3">
      <c r="A9036" t="s">
        <v>2195</v>
      </c>
      <c r="B9036" t="s">
        <v>2196</v>
      </c>
      <c r="C9036">
        <v>4</v>
      </c>
      <c r="D9036" t="s">
        <v>1447</v>
      </c>
      <c r="E9036" t="s">
        <v>2198</v>
      </c>
      <c r="F9036" t="s">
        <v>1737</v>
      </c>
      <c r="K9036" t="str">
        <f>IF(ISBLANK('Q 13'!$D10),"",IF('Q 13'!$D10="&lt;please select&gt;","",'Q 13'!$D10))</f>
        <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Question 5.6</v>
      </c>
    </row>
    <row r="9045" spans="1:11" x14ac:dyDescent="0.3">
      <c r="A9045" t="s">
        <v>2195</v>
      </c>
      <c r="B9045" t="s">
        <v>2196</v>
      </c>
      <c r="C9045">
        <v>13</v>
      </c>
      <c r="D9045" t="s">
        <v>1447</v>
      </c>
      <c r="E9045" t="s">
        <v>2198</v>
      </c>
      <c r="F9045" t="s">
        <v>1737</v>
      </c>
      <c r="K9045" t="str">
        <f>IF(ISBLANK('Q 13'!$D19),"",IF('Q 13'!$D19="&lt;please select&gt;","",'Q 13'!$D19))</f>
        <v>Question 5.8</v>
      </c>
    </row>
    <row r="9046" spans="1:11" x14ac:dyDescent="0.3">
      <c r="A9046" t="s">
        <v>2195</v>
      </c>
      <c r="B9046" t="s">
        <v>2196</v>
      </c>
      <c r="C9046">
        <v>14</v>
      </c>
      <c r="D9046" t="s">
        <v>1447</v>
      </c>
      <c r="E9046" t="s">
        <v>2198</v>
      </c>
      <c r="F9046" t="s">
        <v>1737</v>
      </c>
      <c r="K9046" t="str">
        <f>IF(ISBLANK('Q 13'!$D20),"",IF('Q 13'!$D20="&lt;please select&gt;","",'Q 13'!$D20))</f>
        <v>Question 5.12</v>
      </c>
    </row>
    <row r="9047" spans="1:11" x14ac:dyDescent="0.3">
      <c r="A9047" t="s">
        <v>2195</v>
      </c>
      <c r="B9047" t="s">
        <v>2196</v>
      </c>
      <c r="C9047">
        <v>15</v>
      </c>
      <c r="D9047" t="s">
        <v>1447</v>
      </c>
      <c r="E9047" t="s">
        <v>2198</v>
      </c>
      <c r="F9047" t="s">
        <v>1737</v>
      </c>
      <c r="K9047" t="str">
        <f>IF(ISBLANK('Q 13'!$D21),"",IF('Q 13'!$D21="&lt;please select&gt;","",'Q 13'!$D21))</f>
        <v>Question 5.15</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Question 8.17</v>
      </c>
    </row>
    <row r="9083" spans="1:11" x14ac:dyDescent="0.3">
      <c r="A9083" t="s">
        <v>2195</v>
      </c>
      <c r="B9083" t="s">
        <v>2196</v>
      </c>
      <c r="C9083">
        <v>51</v>
      </c>
      <c r="D9083" t="s">
        <v>1447</v>
      </c>
      <c r="E9083" t="s">
        <v>2198</v>
      </c>
      <c r="F9083" t="s">
        <v>1737</v>
      </c>
      <c r="K9083" t="str">
        <f>IF(ISBLANK('Q 13'!$D57),"",IF('Q 13'!$D57="&lt;please select&gt;","",'Q 13'!$D57))</f>
        <v>Question 8.18</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Question 9.1</v>
      </c>
    </row>
    <row r="9101" spans="1:11" x14ac:dyDescent="0.3">
      <c r="A9101" t="s">
        <v>2195</v>
      </c>
      <c r="B9101" t="s">
        <v>2196</v>
      </c>
      <c r="C9101">
        <v>69</v>
      </c>
      <c r="D9101" t="s">
        <v>1447</v>
      </c>
      <c r="E9101" t="s">
        <v>2198</v>
      </c>
      <c r="F9101" t="s">
        <v>1737</v>
      </c>
      <c r="K9101" t="str">
        <f>IF(ISBLANK('Q 13'!$D75),"",IF('Q 13'!$D75="&lt;please select&gt;","",'Q 13'!$D75))</f>
        <v>Question 9.2</v>
      </c>
    </row>
    <row r="9102" spans="1:11" x14ac:dyDescent="0.3">
      <c r="A9102" t="s">
        <v>2195</v>
      </c>
      <c r="B9102" t="s">
        <v>2196</v>
      </c>
      <c r="C9102">
        <v>70</v>
      </c>
      <c r="D9102" t="s">
        <v>1447</v>
      </c>
      <c r="E9102" t="s">
        <v>2198</v>
      </c>
      <c r="F9102" t="s">
        <v>1737</v>
      </c>
      <c r="K9102" t="str">
        <f>IF(ISBLANK('Q 13'!$D76),"",IF('Q 13'!$D76="&lt;please select&gt;","",'Q 13'!$D76))</f>
        <v>Question 9.3</v>
      </c>
    </row>
    <row r="9103" spans="1:11" x14ac:dyDescent="0.3">
      <c r="A9103" t="s">
        <v>2195</v>
      </c>
      <c r="B9103" t="s">
        <v>2196</v>
      </c>
      <c r="C9103">
        <v>71</v>
      </c>
      <c r="D9103" t="s">
        <v>1447</v>
      </c>
      <c r="E9103" t="s">
        <v>2198</v>
      </c>
      <c r="F9103" t="s">
        <v>1737</v>
      </c>
      <c r="K9103" t="str">
        <f>IF(ISBLANK('Q 13'!$D77),"",IF('Q 13'!$D77="&lt;please select&gt;","",'Q 13'!$D77))</f>
        <v>Question 10.2</v>
      </c>
    </row>
    <row r="9104" spans="1:11" x14ac:dyDescent="0.3">
      <c r="A9104" t="s">
        <v>2195</v>
      </c>
      <c r="B9104" t="s">
        <v>2196</v>
      </c>
      <c r="C9104">
        <v>72</v>
      </c>
      <c r="D9104" t="s">
        <v>1447</v>
      </c>
      <c r="E9104" t="s">
        <v>2198</v>
      </c>
      <c r="F9104" t="s">
        <v>1737</v>
      </c>
      <c r="K9104" t="str">
        <f>IF(ISBLANK('Q 13'!$D78),"",IF('Q 13'!$D78="&lt;please select&gt;","",'Q 13'!$D78))</f>
        <v>Question 10.3</v>
      </c>
    </row>
    <row r="9105" spans="1:11" x14ac:dyDescent="0.3">
      <c r="A9105" t="s">
        <v>2195</v>
      </c>
      <c r="B9105" t="s">
        <v>2196</v>
      </c>
      <c r="C9105">
        <v>73</v>
      </c>
      <c r="D9105" t="s">
        <v>1447</v>
      </c>
      <c r="E9105" t="s">
        <v>2198</v>
      </c>
      <c r="F9105" t="s">
        <v>1737</v>
      </c>
      <c r="K9105" t="str">
        <f>IF(ISBLANK('Q 13'!$D79),"",IF('Q 13'!$D79="&lt;please select&gt;","",'Q 13'!$D79))</f>
        <v>Question 10.6</v>
      </c>
    </row>
    <row r="9106" spans="1:11" x14ac:dyDescent="0.3">
      <c r="A9106" t="s">
        <v>2195</v>
      </c>
      <c r="B9106" t="s">
        <v>2196</v>
      </c>
      <c r="C9106">
        <v>74</v>
      </c>
      <c r="D9106" t="s">
        <v>1447</v>
      </c>
      <c r="E9106" t="s">
        <v>2198</v>
      </c>
      <c r="F9106" t="s">
        <v>1737</v>
      </c>
      <c r="K9106" t="str">
        <f>IF(ISBLANK('Q 13'!$D80),"",IF('Q 13'!$D80="&lt;please select&gt;","",'Q 13'!$D80))</f>
        <v>Question 10.7</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Question 11.3</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Question 12.3</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Yes</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6" t="s">
        <v>5</v>
      </c>
      <c r="C3" s="256"/>
      <c r="D3" s="256"/>
      <c r="E3" s="256"/>
      <c r="F3" s="256"/>
      <c r="G3" s="256"/>
      <c r="H3" s="256"/>
      <c r="I3" s="256"/>
    </row>
    <row r="4" spans="1:9" s="69" customFormat="1" ht="12" customHeight="1" x14ac:dyDescent="0.3">
      <c r="A4" s="81"/>
      <c r="B4" s="82"/>
      <c r="C4" s="82"/>
      <c r="D4" s="82"/>
      <c r="E4" s="82"/>
      <c r="F4" s="82"/>
      <c r="G4" s="82"/>
      <c r="H4" s="82"/>
      <c r="I4" s="82"/>
    </row>
    <row r="5" spans="1:9" s="69" customFormat="1" ht="14.4" x14ac:dyDescent="0.3">
      <c r="A5" s="68"/>
      <c r="C5" s="254" t="s">
        <v>653</v>
      </c>
      <c r="D5" s="250"/>
      <c r="E5" s="243" t="str">
        <f>_xlfn.CONCAT(_xlfn.XLOOKUP("[S01_InstitutionDetails][0][NameAndDepartment]",Submission!$O:$O,Submission!$H:$N,""))</f>
        <v>Instytut Ochrony Środowiska – Państwowy Instytut Badawczy, Krajowy Ośrodek Bilansowania i Zarządzania Emisjami</v>
      </c>
      <c r="F5" s="244"/>
      <c r="G5" s="244"/>
      <c r="H5" s="244"/>
      <c r="I5" s="245"/>
    </row>
    <row r="6" spans="1:9" s="69" customFormat="1" ht="14.4" x14ac:dyDescent="0.3">
      <c r="A6" s="68"/>
      <c r="C6" s="254" t="s">
        <v>654</v>
      </c>
      <c r="D6" s="250"/>
      <c r="E6" s="243" t="str">
        <f>_xlfn.CONCAT(_xlfn.XLOOKUP("[S01_InstitutionDetails][0][ContactPersonName]",Submission!$O:$O,Submission!$H:$N,""))</f>
        <v>Adam Kociniak</v>
      </c>
      <c r="F6" s="244"/>
      <c r="G6" s="244"/>
      <c r="H6" s="244"/>
      <c r="I6" s="245"/>
    </row>
    <row r="7" spans="1:9" s="69" customFormat="1" ht="14.4" x14ac:dyDescent="0.3">
      <c r="A7" s="68"/>
      <c r="C7" s="254" t="s">
        <v>655</v>
      </c>
      <c r="D7" s="250"/>
      <c r="E7" s="243" t="str">
        <f>_xlfn.CONCAT(_xlfn.XLOOKUP("[S01_InstitutionDetails][0][ContactPersonJobTitle]",Submission!$O:$O,Submission!$H:$N,""))</f>
        <v>Główny specjalista</v>
      </c>
      <c r="F7" s="244"/>
      <c r="G7" s="244"/>
      <c r="H7" s="244"/>
      <c r="I7" s="245"/>
    </row>
    <row r="8" spans="1:9" s="69" customFormat="1" ht="14.4" x14ac:dyDescent="0.3">
      <c r="A8" s="68"/>
      <c r="C8" s="254" t="s">
        <v>656</v>
      </c>
      <c r="D8" s="250"/>
      <c r="E8" s="243" t="str">
        <f>_xlfn.CONCAT(_xlfn.XLOOKUP("[S01_InstitutionDetails][0][Address]",Submission!$O:$O,Submission!$H:$N,""))</f>
        <v>ul. Chmielna 132/134, 00-805 Warszawa</v>
      </c>
      <c r="F8" s="244"/>
      <c r="G8" s="244"/>
      <c r="H8" s="244"/>
      <c r="I8" s="245"/>
    </row>
    <row r="9" spans="1:9" s="69" customFormat="1" ht="14.4" x14ac:dyDescent="0.3">
      <c r="A9" s="68"/>
      <c r="C9" s="254" t="s">
        <v>657</v>
      </c>
      <c r="D9" s="250"/>
      <c r="E9" s="246" t="str">
        <f>_xlfn.CONCAT(_xlfn.XLOOKUP("[S01_InstitutionDetails][0][InternationalTelephoneNumber]",Submission!$O:$O,Submission!$H:$N,""))</f>
        <v>48225696535</v>
      </c>
      <c r="F9" s="247"/>
      <c r="G9" s="247"/>
      <c r="H9" s="247"/>
      <c r="I9" s="248"/>
    </row>
    <row r="10" spans="1:9" s="69" customFormat="1" ht="14.4" x14ac:dyDescent="0.3">
      <c r="A10" s="68"/>
      <c r="C10" s="254" t="s">
        <v>658</v>
      </c>
      <c r="D10" s="250"/>
      <c r="E10" s="255" t="str">
        <f>_xlfn.CONCAT(_xlfn.XLOOKUP("[S01_InstitutionDetails][0][EMail]",Submission!$O:$O,Submission!$H:$N,""))</f>
        <v>adam.kociniak@kobize.pl</v>
      </c>
      <c r="F10" s="244"/>
      <c r="G10" s="244"/>
      <c r="H10" s="244"/>
      <c r="I10" s="245"/>
    </row>
    <row r="11" spans="1:9" s="79" customFormat="1" ht="14.4" x14ac:dyDescent="0.3">
      <c r="A11" s="78"/>
      <c r="C11" s="249" t="s">
        <v>2229</v>
      </c>
      <c r="D11" s="250"/>
      <c r="E11" s="251" t="str">
        <f>_xlfn.CONCAT(_xlfn.XLOOKUP("[S01_InstitutionDetails][0][ReportingYear]",Submission!$O:$O,Submission!$H:$N,""))</f>
        <v>2021</v>
      </c>
      <c r="F11" s="252"/>
      <c r="G11" s="252"/>
      <c r="H11" s="252"/>
      <c r="I11" s="253"/>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B41" sqref="B41:H41"/>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6" t="s">
        <v>659</v>
      </c>
      <c r="C3" s="256"/>
      <c r="D3" s="256"/>
      <c r="E3" s="256"/>
      <c r="F3" s="256"/>
      <c r="G3" s="256"/>
      <c r="H3" s="256"/>
      <c r="I3" s="256"/>
    </row>
    <row r="4" spans="1:11" s="69" customFormat="1" ht="15.6" x14ac:dyDescent="0.3">
      <c r="A4" s="57" t="s">
        <v>12</v>
      </c>
      <c r="B4" s="286" t="s">
        <v>660</v>
      </c>
      <c r="C4" s="287"/>
      <c r="D4" s="287"/>
      <c r="E4" s="287"/>
      <c r="F4" s="287"/>
      <c r="G4" s="287"/>
      <c r="H4" s="287"/>
      <c r="I4" s="287"/>
    </row>
    <row r="5" spans="1:11" s="27" customFormat="1" ht="34.950000000000003" customHeight="1" x14ac:dyDescent="0.3">
      <c r="A5" s="144"/>
      <c r="B5" s="278" t="s">
        <v>661</v>
      </c>
      <c r="C5" s="279"/>
      <c r="D5" s="279"/>
      <c r="E5" s="279"/>
      <c r="F5" s="279"/>
      <c r="G5" s="279"/>
      <c r="H5" s="279"/>
      <c r="I5" s="279"/>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Minister Klimatu i Środowiska</v>
      </c>
      <c r="D7" s="72" t="str">
        <f>_xlfn.CONCAT(_xlfn.XLOOKUP("[S02_CompetentAuthority][1][CAAbbreviation]",Submission!$O:$O,Submission!$H:$N,""))</f>
        <v>MKiŚ</v>
      </c>
      <c r="E7" s="72" t="str">
        <f>_xlfn.CONCAT(_xlfn.XLOOKUP("[S02_CompetentAuthority][1][CAType]",Submission!$O:$O,Submission!$H:$N,""))</f>
        <v>Central competent authority</v>
      </c>
      <c r="F7" s="105" t="str">
        <f>_xlfn.CONCAT(_xlfn.XLOOKUP("[S02_CompetentAuthority][1][CANumber]",Submission!$O:$O,Submission!$H:$N,""))</f>
        <v>1</v>
      </c>
      <c r="G7" s="177" t="str">
        <f>_xlfn.CONCAT(_xlfn.XLOOKUP("[S02_CompetentAuthority][1][CATelephone]",Submission!$O:$O,Submission!$H:$N,""))</f>
        <v>48223692900</v>
      </c>
      <c r="H7" s="83" t="str">
        <f>_xlfn.CONCAT(_xlfn.XLOOKUP("[S02_CompetentAuthority][1][CAEmail]",Submission!$O:$O,Submission!$H:$N,""))</f>
        <v>info@klimat.gov.pl</v>
      </c>
      <c r="I7" s="72" t="str">
        <f>_xlfn.CONCAT(_xlfn.XLOOKUP("[S02_CompetentAuthority][1][CAWebsite]",Submission!$O:$O,Submission!$H:$N,""))</f>
        <v>https://www.gov.pl/web/klimat</v>
      </c>
      <c r="J7" s="79"/>
    </row>
    <row r="8" spans="1:11" s="58" customFormat="1" ht="15.9" customHeight="1" x14ac:dyDescent="0.3">
      <c r="B8" s="79"/>
      <c r="C8" s="71" t="str">
        <f>_xlfn.CONCAT(_xlfn.XLOOKUP("[S02_CompetentAuthority][2][CAName]",Submission!$O:$O,Submission!$H:$N,""))</f>
        <v>Instytut Ochrony Środowiska – Państwowy Instytut Badawczy, Krajowy Ośrodek Bilansowania i Zarządzania Emisjami</v>
      </c>
      <c r="D8" s="72" t="str">
        <f>_xlfn.CONCAT(_xlfn.XLOOKUP("[S02_CompetentAuthority][2][CAAbbreviation]",Submission!$O:$O,Submission!$H:$N,""))</f>
        <v>KOBiZE</v>
      </c>
      <c r="E8" s="72" t="str">
        <f>_xlfn.CONCAT(_xlfn.XLOOKUP("[S02_CompetentAuthority][2][CAType]",Submission!$O:$O,Submission!$H:$N,""))</f>
        <v>Central competent authority</v>
      </c>
      <c r="F8" s="105" t="str">
        <f>_xlfn.CONCAT(_xlfn.XLOOKUP("[S02_CompetentAuthority][2][CANumber]",Submission!$O:$O,Submission!$H:$N,""))</f>
        <v>1</v>
      </c>
      <c r="G8" s="177" t="str">
        <f>_xlfn.CONCAT(_xlfn.XLOOKUP("[S02_CompetentAuthority][2][CATelephone]",Submission!$O:$O,Submission!$H:$N,""))</f>
        <v>48225696511</v>
      </c>
      <c r="H8" s="83" t="str">
        <f>_xlfn.CONCAT(_xlfn.XLOOKUP("[S02_CompetentAuthority][2][CAEmail]",Submission!$O:$O,Submission!$H:$N,""))</f>
        <v>sekretariat@kobize.pl</v>
      </c>
      <c r="I8" s="72" t="str">
        <f>_xlfn.CONCAT(_xlfn.XLOOKUP("[S02_CompetentAuthority][2][CAWebsite]",Submission!$O:$O,Submission!$H:$N,""))</f>
        <v>https://www.kobize.pl</v>
      </c>
      <c r="J8" s="79"/>
    </row>
    <row r="9" spans="1:11" s="58" customFormat="1" ht="15.9" customHeight="1" x14ac:dyDescent="0.3">
      <c r="B9" s="79"/>
      <c r="C9" s="71" t="str">
        <f>_xlfn.CONCAT(_xlfn.XLOOKUP("[S02_CompetentAuthority][3][CAName]",Submission!$O:$O,Submission!$H:$N,""))</f>
        <v>Główny Inspektor Ochrony Środowiska</v>
      </c>
      <c r="D9" s="72" t="str">
        <f>_xlfn.CONCAT(_xlfn.XLOOKUP("[S02_CompetentAuthority][3][CAAbbreviation]",Submission!$O:$O,Submission!$H:$N,""))</f>
        <v>GIOŚ</v>
      </c>
      <c r="E9" s="72" t="str">
        <f>_xlfn.CONCAT(_xlfn.XLOOKUP("[S02_CompetentAuthority][3][CAType]",Submission!$O:$O,Submission!$H:$N,""))</f>
        <v>Central competent authority</v>
      </c>
      <c r="F9" s="105" t="str">
        <f>_xlfn.CONCAT(_xlfn.XLOOKUP("[S02_CompetentAuthority][3][CANumber]",Submission!$O:$O,Submission!$H:$N,""))</f>
        <v>1</v>
      </c>
      <c r="G9" s="177" t="str">
        <f>_xlfn.CONCAT(_xlfn.XLOOKUP("[S02_CompetentAuthority][3][CATelephone]",Submission!$O:$O,Submission!$H:$N,""))</f>
        <v>48223692226</v>
      </c>
      <c r="H9" s="83" t="str">
        <f>_xlfn.CONCAT(_xlfn.XLOOKUP("[S02_CompetentAuthority][3][CAEmail]",Submission!$O:$O,Submission!$H:$N,""))</f>
        <v>gios@gios.gov.pl</v>
      </c>
      <c r="I9" s="72" t="str">
        <f>_xlfn.CONCAT(_xlfn.XLOOKUP("[S02_CompetentAuthority][3][CAWebsite]",Submission!$O:$O,Submission!$H:$N,""))</f>
        <v>http://www.gios.gov.pl/pl</v>
      </c>
      <c r="J9" s="79"/>
    </row>
    <row r="10" spans="1:11" s="58" customFormat="1" ht="15.9" customHeight="1" x14ac:dyDescent="0.3">
      <c r="B10" s="79"/>
      <c r="C10" s="71" t="str">
        <f>_xlfn.CONCAT(_xlfn.XLOOKUP("[S02_CompetentAuthority][4][CAName]",Submission!$O:$O,Submission!$H:$N,""))</f>
        <v>Wojewódzki Inspektor Ochrony Środowiska</v>
      </c>
      <c r="D10" s="72" t="str">
        <f>_xlfn.CONCAT(_xlfn.XLOOKUP("[S02_CompetentAuthority][4][CAAbbreviation]",Submission!$O:$O,Submission!$H:$N,""))</f>
        <v>WIOŚ</v>
      </c>
      <c r="E10" s="72" t="str">
        <f>_xlfn.CONCAT(_xlfn.XLOOKUP("[S02_CompetentAuthority][4][CAType]",Submission!$O:$O,Submission!$H:$N,""))</f>
        <v>Regional competent authority</v>
      </c>
      <c r="F10" s="105" t="str">
        <f>_xlfn.CONCAT(_xlfn.XLOOKUP("[S02_CompetentAuthority][4][CANumber]",Submission!$O:$O,Submission!$H:$N,""))</f>
        <v>16</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http://www.gios.gov.pl/pl/inne/wojewodzkie-inspektoraty-ochrony-srodowiska</v>
      </c>
      <c r="J10" s="79"/>
    </row>
    <row r="11" spans="1:11" s="58" customFormat="1" ht="41.4" x14ac:dyDescent="0.3">
      <c r="B11" s="79"/>
      <c r="C11" s="71" t="str">
        <f>_xlfn.CONCAT(_xlfn.XLOOKUP("[S02_CompetentAuthority][5][CAName]",Submission!$O:$O,Submission!$H:$N,""))</f>
        <v>Regionalny Dyrektor Ochrony Środowiska</v>
      </c>
      <c r="D11" s="72" t="str">
        <f>_xlfn.CONCAT(_xlfn.XLOOKUP("[S02_CompetentAuthority][5][CAAbbreviation]",Submission!$O:$O,Submission!$H:$N,""))</f>
        <v>R</v>
      </c>
      <c r="E11" s="72" t="str">
        <f>_xlfn.CONCAT(_xlfn.XLOOKUP("[S02_CompetentAuthority][5][CAType]",Submission!$O:$O,Submission!$H:$N,""))</f>
        <v>Regional competent authority</v>
      </c>
      <c r="F11" s="105" t="str">
        <f>_xlfn.CONCAT(_xlfn.XLOOKUP("[S02_CompetentAuthority][5][CANumber]",Submission!$O:$O,Submission!$H:$N,""))</f>
        <v>16</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www.gdos.gov.pl/regionalni-dyrektorzyochrony-srodowiska</v>
      </c>
      <c r="J11" s="79"/>
    </row>
    <row r="12" spans="1:11" s="58" customFormat="1" ht="15.6" hidden="1" outlineLevel="1" x14ac:dyDescent="0.3">
      <c r="B12" s="79"/>
      <c r="C12" s="71" t="str">
        <f>_xlfn.CONCAT(_xlfn.XLOOKUP("[S02_CompetentAuthority][6][CAName]",Submission!$O:$O,Submission!$H:$N,""))</f>
        <v xml:space="preserve">Urząd Regulacji Energetyki </v>
      </c>
      <c r="D12" s="72" t="str">
        <f>_xlfn.CONCAT(_xlfn.XLOOKUP("[S02_CompetentAuthority][6][CAAbbreviation]",Submission!$O:$O,Submission!$H:$N,""))</f>
        <v>URE</v>
      </c>
      <c r="E12" s="72" t="str">
        <f>_xlfn.CONCAT(_xlfn.XLOOKUP("[S02_CompetentAuthority][6][CAType]",Submission!$O:$O,Submission!$H:$N,""))</f>
        <v>Central competent authority</v>
      </c>
      <c r="F12" s="103" t="str">
        <f>_xlfn.CONCAT(_xlfn.XLOOKUP("[S02_CompetentAuthority][6][CANumber]",Submission!$O:$O,Submission!$H:$N,""))</f>
        <v>1</v>
      </c>
      <c r="G12" s="177" t="str">
        <f>_xlfn.CONCAT(_xlfn.XLOOKUP("[S02_CompetentAuthority][6][CATelephone]",Submission!$O:$O,Submission!$H:$N,""))</f>
        <v>48224875570</v>
      </c>
      <c r="H12" s="83" t="str">
        <f>_xlfn.CONCAT(_xlfn.XLOOKUP("[S02_CompetentAuthority][6][CAEmail]",Submission!$O:$O,Submission!$H:$N,""))</f>
        <v>ure@ure.gov.pl</v>
      </c>
      <c r="I12" s="72" t="str">
        <f>_xlfn.CONCAT(_xlfn.XLOOKUP("[S02_CompetentAuthority][6][CAWebsite]",Submission!$O:$O,Submission!$H:$N,""))</f>
        <v>https://www.ure.gov.pl/</v>
      </c>
      <c r="J12" s="79"/>
    </row>
    <row r="13" spans="1:11" s="58" customFormat="1" ht="27.6" hidden="1" outlineLevel="1" x14ac:dyDescent="0.3">
      <c r="B13" s="79"/>
      <c r="C13" s="71" t="str">
        <f>_xlfn.CONCAT(_xlfn.XLOOKUP("[S02_CompetentAuthority][7][CAName]",Submission!$O:$O,Submission!$H:$N,""))</f>
        <v>Marszałek Województwa</v>
      </c>
      <c r="D13" s="72" t="str">
        <f>_xlfn.CONCAT(_xlfn.XLOOKUP("[S02_CompetentAuthority][7][CAAbbreviation]",Submission!$O:$O,Submission!$H:$N,""))</f>
        <v>W</v>
      </c>
      <c r="E13" s="72" t="str">
        <f>_xlfn.CONCAT(_xlfn.XLOOKUP("[S02_CompetentAuthority][7][CAType]",Submission!$O:$O,Submission!$H:$N,""))</f>
        <v>Regional competent authority</v>
      </c>
      <c r="F13" s="103" t="str">
        <f>_xlfn.CONCAT(_xlfn.XLOOKUP("[S02_CompetentAuthority][7][CANumber]",Submission!$O:$O,Submission!$H:$N,""))</f>
        <v>16</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Starosta Powiatu</v>
      </c>
      <c r="D14" s="72" t="str">
        <f>_xlfn.CONCAT(_xlfn.XLOOKUP("[S02_CompetentAuthority][8][CAAbbreviation]",Submission!$O:$O,Submission!$H:$N,""))</f>
        <v>S</v>
      </c>
      <c r="E14" s="72" t="str">
        <f>_xlfn.CONCAT(_xlfn.XLOOKUP("[S02_CompetentAuthority][8][CAType]",Submission!$O:$O,Submission!$H:$N,""))</f>
        <v>Local competent authority</v>
      </c>
      <c r="F14" s="103" t="str">
        <f>_xlfn.CONCAT(_xlfn.XLOOKUP("[S02_CompetentAuthority][8][CANumber]",Submission!$O:$O,Submission!$H:$N,""))</f>
        <v>380</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5" t="s">
        <v>669</v>
      </c>
      <c r="D30" s="266"/>
      <c r="E30" s="266"/>
      <c r="F30" s="266"/>
      <c r="G30" s="266"/>
      <c r="H30" s="266"/>
      <c r="I30" s="266"/>
      <c r="J30" s="79"/>
      <c r="K30" s="69"/>
    </row>
    <row r="31" spans="2:11" s="58" customFormat="1" ht="15.6" x14ac:dyDescent="0.3">
      <c r="B31" s="84"/>
      <c r="C31" s="265" t="s">
        <v>670</v>
      </c>
      <c r="D31" s="266"/>
      <c r="E31" s="266"/>
      <c r="F31" s="266"/>
      <c r="G31" s="266"/>
      <c r="H31" s="266"/>
      <c r="I31" s="266"/>
      <c r="J31" s="79"/>
      <c r="K31" s="69"/>
    </row>
    <row r="32" spans="2:11" s="58" customFormat="1" ht="15.6" x14ac:dyDescent="0.3">
      <c r="B32" s="84"/>
      <c r="C32" s="265" t="s">
        <v>671</v>
      </c>
      <c r="D32" s="266"/>
      <c r="E32" s="266"/>
      <c r="F32" s="266"/>
      <c r="G32" s="266"/>
      <c r="H32" s="266"/>
      <c r="I32" s="266"/>
      <c r="J32" s="79"/>
      <c r="K32" s="69"/>
    </row>
    <row r="33" spans="1:9" s="69" customFormat="1" ht="14.4" x14ac:dyDescent="0.3"/>
    <row r="34" spans="1:9" s="58" customFormat="1" ht="45.6" customHeight="1" x14ac:dyDescent="0.3">
      <c r="A34" s="75"/>
      <c r="B34" s="288" t="s">
        <v>672</v>
      </c>
      <c r="C34" s="289"/>
      <c r="D34" s="289"/>
      <c r="E34" s="289"/>
      <c r="F34" s="289"/>
      <c r="G34" s="289"/>
      <c r="H34" s="290"/>
      <c r="I34" s="41" t="str">
        <f>_xlfn.CONCAT(_xlfn.XLOOKUP("[S02_AccreditationBodyYesNo][0][S02_AccreditationBodyYesNo]",Submission!$O:$O,Submission!$H:$N,""))</f>
        <v>Yes</v>
      </c>
    </row>
    <row r="35" spans="1:9" s="27" customFormat="1" ht="16.95" customHeight="1" x14ac:dyDescent="0.3">
      <c r="A35" s="154"/>
      <c r="B35" s="149"/>
      <c r="C35" s="282" t="s">
        <v>673</v>
      </c>
      <c r="D35" s="283"/>
      <c r="E35" s="283"/>
      <c r="F35" s="283"/>
      <c r="G35" s="283"/>
      <c r="H35" s="283"/>
      <c r="I35" s="283"/>
    </row>
    <row r="36" spans="1:9" s="58" customFormat="1" ht="15.9" customHeight="1" x14ac:dyDescent="0.3">
      <c r="A36" s="75"/>
      <c r="B36" s="76"/>
      <c r="C36" s="66"/>
      <c r="D36" s="66"/>
      <c r="E36" s="66"/>
      <c r="F36" s="66"/>
      <c r="G36" s="66"/>
      <c r="H36" s="66"/>
    </row>
    <row r="37" spans="1:9" s="58" customFormat="1" ht="19.95" customHeight="1" x14ac:dyDescent="0.3">
      <c r="A37" s="75"/>
      <c r="B37" s="267" t="s">
        <v>674</v>
      </c>
      <c r="C37" s="268"/>
      <c r="D37" s="268"/>
      <c r="E37" s="268"/>
      <c r="F37" s="268"/>
      <c r="G37" s="268"/>
      <c r="H37" s="268"/>
      <c r="I37" s="268"/>
    </row>
    <row r="38" spans="1:9" s="58" customFormat="1" ht="15.9" customHeight="1" x14ac:dyDescent="0.3">
      <c r="C38" s="297" t="s">
        <v>662</v>
      </c>
      <c r="D38" s="298"/>
      <c r="E38" s="53" t="s">
        <v>663</v>
      </c>
      <c r="F38" s="53" t="s">
        <v>675</v>
      </c>
      <c r="G38" s="44" t="s">
        <v>676</v>
      </c>
      <c r="H38" s="293" t="s">
        <v>677</v>
      </c>
      <c r="I38" s="294"/>
    </row>
    <row r="39" spans="1:9" s="58" customFormat="1" ht="15.9" customHeight="1" x14ac:dyDescent="0.3">
      <c r="C39" s="291" t="str">
        <f>_xlfn.CONCAT(_xlfn.XLOOKUP("[S02_AccreditationBody][1][AccBodyName]",Submission!$O:$O,Submission!$H:$N,""))</f>
        <v>Polskie Centrum Akredytacji</v>
      </c>
      <c r="D39" s="292"/>
      <c r="E39" s="72" t="str">
        <f>_xlfn.CONCAT(_xlfn.XLOOKUP("[S02_AccreditationBody][1][AccBodyAbbreviation]",Submission!$O:$O,Submission!$H:$N,""))</f>
        <v>PCA</v>
      </c>
      <c r="F39" s="177" t="str">
        <f>_xlfn.CONCAT(_xlfn.XLOOKUP("[S02_AccreditationBody][1][AccBodyTelephone]",Submission!$O:$O,Submission!$H:$N,""))</f>
        <v>48223557000</v>
      </c>
      <c r="G39" s="77" t="str">
        <f>_xlfn.CONCAT(_xlfn.XLOOKUP("[S02_AccreditationBody][1][AccBodyEmail]",Submission!$O:$O,Submission!$H:$N,""))</f>
        <v>sekretariat@pca.gov.pl</v>
      </c>
      <c r="H39" s="295" t="str">
        <f>_xlfn.CONCAT(_xlfn.XLOOKUP("[S02_AccreditationBody][1][AccBodyWebsite]",Submission!$O:$O,Submission!$H:$N,""))</f>
        <v>https://www.pca.gov.pl</v>
      </c>
      <c r="I39" s="296"/>
    </row>
    <row r="40" spans="1:9" s="58" customFormat="1" ht="15.9" customHeight="1" x14ac:dyDescent="0.3">
      <c r="A40" s="75"/>
    </row>
    <row r="41" spans="1:9" s="58" customFormat="1" ht="15.6" x14ac:dyDescent="0.3">
      <c r="A41" s="75"/>
      <c r="B41" s="280" t="s">
        <v>678</v>
      </c>
      <c r="C41" s="268"/>
      <c r="D41" s="268"/>
      <c r="E41" s="268"/>
      <c r="F41" s="268"/>
      <c r="G41" s="268"/>
      <c r="H41" s="281"/>
      <c r="I41" s="41" t="str">
        <f>_xlfn.CONCAT(_xlfn.XLOOKUP("[CertificationBodySetUp][0][CertificationBodySetUp]",Submission!$O:$O,Submission!$H:$N,""))</f>
        <v>No</v>
      </c>
    </row>
    <row r="42" spans="1:9" s="58" customFormat="1" ht="20.399999999999999" customHeight="1" x14ac:dyDescent="0.3">
      <c r="A42" s="75"/>
      <c r="B42" s="280" t="s">
        <v>679</v>
      </c>
      <c r="C42" s="268"/>
      <c r="D42" s="268"/>
      <c r="E42" s="268"/>
      <c r="F42" s="268"/>
      <c r="G42" s="268"/>
      <c r="H42" s="268"/>
      <c r="I42" s="268"/>
    </row>
    <row r="43" spans="1:9" s="27" customFormat="1" ht="29.4" customHeight="1" x14ac:dyDescent="0.3">
      <c r="A43" s="154"/>
      <c r="B43" s="22"/>
      <c r="C43" s="282" t="s">
        <v>680</v>
      </c>
      <c r="D43" s="283"/>
      <c r="E43" s="283"/>
      <c r="F43" s="283"/>
      <c r="G43" s="283"/>
      <c r="H43" s="283"/>
      <c r="I43" s="283"/>
    </row>
    <row r="44" spans="1:9" s="58" customFormat="1" ht="15.9" customHeight="1" x14ac:dyDescent="0.3">
      <c r="C44" s="297" t="s">
        <v>662</v>
      </c>
      <c r="D44" s="298"/>
      <c r="E44" s="53" t="s">
        <v>663</v>
      </c>
      <c r="F44" s="53" t="s">
        <v>675</v>
      </c>
      <c r="G44" s="44" t="s">
        <v>676</v>
      </c>
      <c r="H44" s="293" t="s">
        <v>677</v>
      </c>
      <c r="I44" s="294"/>
    </row>
    <row r="45" spans="1:9" s="58" customFormat="1" ht="15.9" customHeight="1" x14ac:dyDescent="0.3">
      <c r="C45" s="291" t="str">
        <f>_xlfn.CONCAT(_xlfn.XLOOKUP("[S02_CertificationAuthExistsDetails][1][CertAuthName]",Submission!$O:$O,Submission!$H:$N,""))</f>
        <v/>
      </c>
      <c r="D45" s="292"/>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5" t="str">
        <f>_xlfn.CONCAT(_xlfn.XLOOKUP("[S02_CertificationAuthExistsDetails][1][CertAuthWebsite]",Submission!$O:$O,Submission!$H:$N,""))</f>
        <v/>
      </c>
      <c r="I45" s="296"/>
    </row>
    <row r="46" spans="1:9" s="58" customFormat="1" ht="15.9" customHeight="1" x14ac:dyDescent="0.3">
      <c r="A46" s="75"/>
    </row>
    <row r="47" spans="1:9" s="58" customFormat="1" ht="18" customHeight="1" x14ac:dyDescent="0.3">
      <c r="A47" s="75"/>
      <c r="B47" s="267" t="s">
        <v>681</v>
      </c>
      <c r="C47" s="268"/>
      <c r="D47" s="268"/>
      <c r="E47" s="268"/>
      <c r="F47" s="268"/>
      <c r="G47" s="268"/>
      <c r="H47" s="268"/>
      <c r="I47" s="268"/>
    </row>
    <row r="48" spans="1:9" s="58" customFormat="1" ht="15.9" customHeight="1" x14ac:dyDescent="0.3">
      <c r="C48" s="297" t="s">
        <v>662</v>
      </c>
      <c r="D48" s="298"/>
      <c r="E48" s="53" t="s">
        <v>663</v>
      </c>
      <c r="F48" s="53" t="s">
        <v>675</v>
      </c>
      <c r="G48" s="44" t="s">
        <v>676</v>
      </c>
      <c r="H48" s="293" t="s">
        <v>677</v>
      </c>
      <c r="I48" s="294"/>
    </row>
    <row r="49" spans="1:9" s="58" customFormat="1" ht="15.9" customHeight="1" x14ac:dyDescent="0.3">
      <c r="C49" s="291" t="str">
        <f>_xlfn.CONCAT(_xlfn.XLOOKUP("[S02_RegistryAdministrator][1][RegAdminName]",Submission!$O:$O,Submission!$H:$N,""))</f>
        <v>Instytut Ochrony Środowiska – Państwowy Instytut Badawczy, Krajowy Ośrodek Bilansowania i Zarządzania Emisjami</v>
      </c>
      <c r="D49" s="292"/>
      <c r="E49" s="72" t="str">
        <f>_xlfn.CONCAT(_xlfn.XLOOKUP("[S02_RegistryAdministrator][1][RegAdminAbbreviation]",Submission!$O:$O,Submission!$H:$N,""))</f>
        <v>KOBiZE</v>
      </c>
      <c r="F49" s="177" t="str">
        <f>_xlfn.CONCAT(_xlfn.XLOOKUP("[S02_RegistryAdministrator][1][RegAdminTelephone]",Submission!$O:$O,Submission!$H:$N,""))</f>
        <v>48225696511</v>
      </c>
      <c r="G49" s="77" t="str">
        <f>_xlfn.CONCAT(_xlfn.XLOOKUP("[S02_RegistryAdministrator][1][RegAdminEmail]",Submission!$O:$O,Submission!$H:$N,""))</f>
        <v>sekretariat@kobize.pl</v>
      </c>
      <c r="H49" s="295" t="str">
        <f>_xlfn.CONCAT(_xlfn.XLOOKUP("[S02_RegistryAdministrator][1][RegAdminWebsite]",Submission!$O:$O,Submission!$H:$N,""))</f>
        <v>https://www.kobize.pl</v>
      </c>
      <c r="I49" s="296"/>
    </row>
    <row r="50" spans="1:9" s="58" customFormat="1" ht="15.9" customHeight="1" x14ac:dyDescent="0.3">
      <c r="A50" s="75"/>
    </row>
    <row r="51" spans="1:9" s="58" customFormat="1" ht="15.9" customHeight="1" x14ac:dyDescent="0.3">
      <c r="A51" s="57" t="s">
        <v>18</v>
      </c>
      <c r="B51" s="280" t="s">
        <v>682</v>
      </c>
      <c r="C51" s="268"/>
      <c r="D51" s="268"/>
      <c r="E51" s="268"/>
      <c r="F51" s="268"/>
      <c r="G51" s="268"/>
      <c r="H51" s="268"/>
      <c r="I51" s="268"/>
    </row>
    <row r="52" spans="1:9" s="79" customFormat="1" ht="13.2" customHeight="1" x14ac:dyDescent="0.3">
      <c r="A52" s="78"/>
      <c r="C52" s="284" t="s">
        <v>683</v>
      </c>
      <c r="D52" s="284"/>
      <c r="E52" s="284"/>
      <c r="F52" s="284"/>
      <c r="G52" s="284"/>
      <c r="H52" s="284"/>
      <c r="I52" s="284"/>
    </row>
    <row r="53" spans="1:9" s="79" customFormat="1" ht="14.4" x14ac:dyDescent="0.3">
      <c r="A53" s="78"/>
      <c r="C53" s="272" t="s">
        <v>684</v>
      </c>
      <c r="D53" s="273"/>
      <c r="E53" s="274"/>
      <c r="F53" s="285" t="s">
        <v>74</v>
      </c>
      <c r="G53" s="285"/>
      <c r="H53" s="285" t="s">
        <v>685</v>
      </c>
      <c r="I53" s="285"/>
    </row>
    <row r="54" spans="1:9" s="79" customFormat="1" ht="28.95" customHeight="1" x14ac:dyDescent="0.3">
      <c r="A54" s="78"/>
      <c r="C54" s="254" t="s">
        <v>686</v>
      </c>
      <c r="D54" s="275"/>
      <c r="E54" s="276"/>
      <c r="F54" s="258" t="str">
        <f>_xlfn.CONCAT(_xlfn.XLOOKUP("[S02_CompetentAuthorityRoles][1][CAForInstallationTask]",Submission!$O:$O,Submission!$H:$N,""))</f>
        <v>R,W,S</v>
      </c>
      <c r="G54" s="259"/>
      <c r="H54" s="264"/>
      <c r="I54" s="264"/>
    </row>
    <row r="55" spans="1:9" s="79" customFormat="1" ht="28.95" customHeight="1" x14ac:dyDescent="0.3">
      <c r="A55" s="78"/>
      <c r="C55" s="254" t="s">
        <v>687</v>
      </c>
      <c r="D55" s="275"/>
      <c r="E55" s="276"/>
      <c r="F55" s="258" t="str">
        <f>_xlfn.CONCAT(_xlfn.XLOOKUP("[S02_CompetentAuthorityRoles][2][CAForInstallationTask]",Submission!$O:$O,Submission!$H:$N,""))</f>
        <v>R,W,S</v>
      </c>
      <c r="G55" s="259"/>
      <c r="H55" s="264"/>
      <c r="I55" s="264"/>
    </row>
    <row r="56" spans="1:9" s="79" customFormat="1" ht="28.95" customHeight="1" x14ac:dyDescent="0.3">
      <c r="A56" s="78"/>
      <c r="C56" s="254" t="s">
        <v>688</v>
      </c>
      <c r="D56" s="275"/>
      <c r="E56" s="276"/>
      <c r="F56" s="258" t="str">
        <f>_xlfn.CONCAT(_xlfn.XLOOKUP("[S02_CompetentAuthorityRoles][3][CAForInstallationTask]",Submission!$O:$O,Submission!$H:$N,""))</f>
        <v>MKiŚ</v>
      </c>
      <c r="G56" s="259"/>
      <c r="H56" s="264"/>
      <c r="I56" s="264"/>
    </row>
    <row r="57" spans="1:9" s="79" customFormat="1" ht="28.95" customHeight="1" x14ac:dyDescent="0.3">
      <c r="A57" s="78"/>
      <c r="C57" s="254" t="s">
        <v>689</v>
      </c>
      <c r="D57" s="275"/>
      <c r="E57" s="276"/>
      <c r="F57" s="258" t="str">
        <f>_xlfn.CONCAT(_xlfn.XLOOKUP("[S02_CompetentAuthorityRoles][4][CAForInstallationTask]",Submission!$O:$O,Submission!$H:$N,""))</f>
        <v>KOBiZE</v>
      </c>
      <c r="G57" s="259"/>
      <c r="H57" s="264"/>
      <c r="I57" s="264"/>
    </row>
    <row r="58" spans="1:9" s="79" customFormat="1" ht="28.95" customHeight="1" x14ac:dyDescent="0.3">
      <c r="A58" s="78"/>
      <c r="C58" s="254" t="s">
        <v>690</v>
      </c>
      <c r="D58" s="275"/>
      <c r="E58" s="276"/>
      <c r="F58" s="264"/>
      <c r="G58" s="264"/>
      <c r="H58" s="258" t="str">
        <f>_xlfn.CONCAT(_xlfn.XLOOKUP("[S02_CompetentAuthorityRoles][5][CAForAviationTask]",Submission!$O:$O,Submission!$H:$N,""))</f>
        <v>MKiŚ</v>
      </c>
      <c r="I58" s="259"/>
    </row>
    <row r="59" spans="1:9" s="79" customFormat="1" ht="28.95" customHeight="1" x14ac:dyDescent="0.3">
      <c r="A59" s="78"/>
      <c r="C59" s="254" t="s">
        <v>691</v>
      </c>
      <c r="D59" s="275"/>
      <c r="E59" s="276"/>
      <c r="F59" s="258" t="str">
        <f>_xlfn.CONCAT(_xlfn.XLOOKUP("[S02_CompetentAuthorityRoles][6][CAForInstallationTask]",Submission!$O:$O,Submission!$H:$N,""))</f>
        <v>KOBiZE</v>
      </c>
      <c r="G59" s="259"/>
      <c r="H59" s="258" t="str">
        <f>_xlfn.CONCAT(_xlfn.XLOOKUP("[S02_CompetentAuthorityRoles][6][CAForAviationTask]",Submission!$O:$O,Submission!$H:$N,""))</f>
        <v>KOBiZE</v>
      </c>
      <c r="I59" s="259"/>
    </row>
    <row r="60" spans="1:9" s="79" customFormat="1" ht="28.95" customHeight="1" x14ac:dyDescent="0.3">
      <c r="A60" s="78"/>
      <c r="C60" s="254" t="s">
        <v>42</v>
      </c>
      <c r="D60" s="275"/>
      <c r="E60" s="276"/>
      <c r="F60" s="258" t="str">
        <f>_xlfn.CONCAT(_xlfn.XLOOKUP("[S02_CompetentAuthorityRoles][7][CAForInstallationTask]",Submission!$O:$O,Submission!$H:$N,""))</f>
        <v>KOBiZE</v>
      </c>
      <c r="G60" s="259"/>
      <c r="H60" s="258" t="str">
        <f>_xlfn.CONCAT(_xlfn.XLOOKUP("[S02_CompetentAuthorityRoles][7][CAForAviationTask]",Submission!$O:$O,Submission!$H:$N,""))</f>
        <v>KOBiZE</v>
      </c>
      <c r="I60" s="259"/>
    </row>
    <row r="61" spans="1:9" s="79" customFormat="1" ht="28.95" customHeight="1" x14ac:dyDescent="0.3">
      <c r="A61" s="78"/>
      <c r="C61" s="254" t="s">
        <v>692</v>
      </c>
      <c r="D61" s="275"/>
      <c r="E61" s="276"/>
      <c r="F61" s="258" t="str">
        <f>_xlfn.CONCAT(_xlfn.XLOOKUP("[S02_CompetentAuthorityRoles][8][CAForInstallationTask]",Submission!$O:$O,Submission!$H:$N,""))</f>
        <v>R,W,S</v>
      </c>
      <c r="G61" s="259"/>
      <c r="H61" s="258" t="str">
        <f>_xlfn.CONCAT(_xlfn.XLOOKUP("[S02_CompetentAuthorityRoles][8][CAForAviationTask]",Submission!$O:$O,Submission!$H:$N,""))</f>
        <v>MKiŚ</v>
      </c>
      <c r="I61" s="259"/>
    </row>
    <row r="62" spans="1:9" s="79" customFormat="1" ht="28.95" customHeight="1" x14ac:dyDescent="0.3">
      <c r="A62" s="78"/>
      <c r="C62" s="254" t="s">
        <v>693</v>
      </c>
      <c r="D62" s="275"/>
      <c r="E62" s="276"/>
      <c r="F62" s="258" t="str">
        <f>_xlfn.CONCAT(_xlfn.XLOOKUP("[S02_CompetentAuthorityRoles][9][CAForInstallationTask]",Submission!$O:$O,Submission!$H:$N,""))</f>
        <v>KOBiZE</v>
      </c>
      <c r="G62" s="259"/>
      <c r="H62" s="258" t="str">
        <f>_xlfn.CONCAT(_xlfn.XLOOKUP("[S02_CompetentAuthorityRoles][9][CAForAviationTask]",Submission!$O:$O,Submission!$H:$N,""))</f>
        <v>KOBiZE</v>
      </c>
      <c r="I62" s="259"/>
    </row>
    <row r="63" spans="1:9" s="79" customFormat="1" ht="28.95" customHeight="1" x14ac:dyDescent="0.3">
      <c r="A63" s="78"/>
      <c r="C63" s="254" t="s">
        <v>694</v>
      </c>
      <c r="D63" s="275"/>
      <c r="E63" s="276"/>
      <c r="F63" s="258" t="str">
        <f>_xlfn.CONCAT(_xlfn.XLOOKUP("[S02_CompetentAuthorityRoles][10][CAForInstallationTask]",Submission!$O:$O,Submission!$H:$N,""))</f>
        <v>R,W,S</v>
      </c>
      <c r="G63" s="259"/>
      <c r="H63" s="258" t="str">
        <f>_xlfn.CONCAT(_xlfn.XLOOKUP("[S02_CompetentAuthorityRoles][10][CAForAviationTask]",Submission!$O:$O,Submission!$H:$N,""))</f>
        <v>MKiŚ</v>
      </c>
      <c r="I63" s="259"/>
    </row>
    <row r="64" spans="1:9" s="79" customFormat="1" ht="28.95" customHeight="1" x14ac:dyDescent="0.3">
      <c r="A64" s="78"/>
      <c r="C64" s="254" t="s">
        <v>46</v>
      </c>
      <c r="D64" s="275"/>
      <c r="E64" s="276"/>
      <c r="F64" s="258" t="str">
        <f>_xlfn.CONCAT(_xlfn.XLOOKUP("[S02_CompetentAuthorityRoles][11][CAForInstallationTask]",Submission!$O:$O,Submission!$H:$N,""))</f>
        <v>WIOŚ</v>
      </c>
      <c r="G64" s="259"/>
      <c r="H64" s="258" t="str">
        <f>_xlfn.CONCAT(_xlfn.XLOOKUP("[S02_CompetentAuthorityRoles][11][CAForAviationTask]",Submission!$O:$O,Submission!$H:$N,""))</f>
        <v>GIOŚ</v>
      </c>
      <c r="I64" s="259"/>
    </row>
    <row r="65" spans="1:9" s="79" customFormat="1" ht="28.95" customHeight="1" x14ac:dyDescent="0.3">
      <c r="A65" s="78"/>
      <c r="C65" s="254" t="s">
        <v>695</v>
      </c>
      <c r="D65" s="275"/>
      <c r="E65" s="276"/>
      <c r="F65" s="258" t="str">
        <f>_xlfn.CONCAT(_xlfn.XLOOKUP("[S02_CompetentAuthorityRoles][12][CAForInstallationTask]",Submission!$O:$O,Submission!$H:$N,""))</f>
        <v/>
      </c>
      <c r="G65" s="259"/>
      <c r="H65" s="264"/>
      <c r="I65" s="264"/>
    </row>
    <row r="66" spans="1:9" s="79" customFormat="1" ht="28.95" customHeight="1" x14ac:dyDescent="0.3">
      <c r="A66" s="78"/>
      <c r="C66" s="254" t="s">
        <v>696</v>
      </c>
      <c r="D66" s="275"/>
      <c r="E66" s="276"/>
      <c r="F66" s="258" t="str">
        <f>_xlfn.CONCAT(_xlfn.XLOOKUP("[S02_CompetentAuthorityRoles][13][CAForInstallationTask]",Submission!$O:$O,Submission!$H:$N,""))</f>
        <v/>
      </c>
      <c r="G66" s="259"/>
      <c r="H66" s="264"/>
      <c r="I66" s="264"/>
    </row>
    <row r="67" spans="1:9" s="79" customFormat="1" ht="28.95" customHeight="1" x14ac:dyDescent="0.3">
      <c r="A67" s="78"/>
      <c r="C67" s="80" t="s">
        <v>697</v>
      </c>
      <c r="D67" s="257" t="str">
        <f>_xlfn.CONCAT(_xlfn.XLOOKUP("[S02_CompetentAuthorityRoles][14][OtherDescription]",Submission!$O:$O,Submission!$H:$N,""))</f>
        <v/>
      </c>
      <c r="E67" s="257"/>
      <c r="F67" s="258" t="str">
        <f>_xlfn.CONCAT(_xlfn.XLOOKUP("[S02_CompetentAuthorityRoles][14][CAForInstallationTask]",Submission!$O:$O,Submission!$H:$N,""))</f>
        <v/>
      </c>
      <c r="G67" s="259"/>
      <c r="H67" s="258" t="str">
        <f>_xlfn.CONCAT(_xlfn.XLOOKUP("[S02_CompetentAuthorityRoles][14][CAForAviationTask]",Submission!$O:$O,Submission!$H:$N,""))</f>
        <v/>
      </c>
      <c r="I67" s="259"/>
    </row>
    <row r="68" spans="1:9" s="79" customFormat="1" ht="28.95" hidden="1" customHeight="1" outlineLevel="1" x14ac:dyDescent="0.3">
      <c r="A68" s="78"/>
      <c r="C68" s="80" t="s">
        <v>697</v>
      </c>
      <c r="D68" s="257" t="str">
        <f>_xlfn.CONCAT(_xlfn.XLOOKUP("[S02_CompetentAuthorityRoles][15][OtherDescription]",Submission!$O:$O,Submission!$H:$N,""))</f>
        <v/>
      </c>
      <c r="E68" s="257"/>
      <c r="F68" s="258" t="str">
        <f>_xlfn.CONCAT(_xlfn.XLOOKUP("[S02_CompetentAuthorityRoles][15][CAForInstallationTask]",Submission!$O:$O,Submission!$H:$N,""))</f>
        <v/>
      </c>
      <c r="G68" s="259"/>
      <c r="H68" s="258" t="str">
        <f>_xlfn.CONCAT(_xlfn.XLOOKUP("[S02_CompetentAuthorityRoles][15][CAForAviationTask]",Submission!$O:$O,Submission!$H:$N,""))</f>
        <v/>
      </c>
      <c r="I68" s="259"/>
    </row>
    <row r="69" spans="1:9" s="79" customFormat="1" ht="28.95" hidden="1" customHeight="1" outlineLevel="1" x14ac:dyDescent="0.3">
      <c r="A69" s="78"/>
      <c r="C69" s="80" t="s">
        <v>697</v>
      </c>
      <c r="D69" s="257" t="str">
        <f>_xlfn.CONCAT(_xlfn.XLOOKUP("[S02_CompetentAuthorityRoles][16][OtherDescription]",Submission!$O:$O,Submission!$H:$N,""))</f>
        <v/>
      </c>
      <c r="E69" s="257"/>
      <c r="F69" s="258" t="str">
        <f>_xlfn.CONCAT(_xlfn.XLOOKUP("[S02_CompetentAuthorityRoles][16][CAForInstallationTask]",Submission!$O:$O,Submission!$H:$N,""))</f>
        <v/>
      </c>
      <c r="G69" s="259"/>
      <c r="H69" s="258" t="str">
        <f>_xlfn.CONCAT(_xlfn.XLOOKUP("[S02_CompetentAuthorityRoles][16][CAForAviationTask]",Submission!$O:$O,Submission!$H:$N,""))</f>
        <v/>
      </c>
      <c r="I69" s="259"/>
    </row>
    <row r="70" spans="1:9" s="79" customFormat="1" ht="28.95" hidden="1" customHeight="1" outlineLevel="1" x14ac:dyDescent="0.3">
      <c r="A70" s="78"/>
      <c r="C70" s="80" t="s">
        <v>697</v>
      </c>
      <c r="D70" s="257" t="str">
        <f>_xlfn.CONCAT(_xlfn.XLOOKUP("[S02_CompetentAuthorityRoles][17][OtherDescription]",Submission!$O:$O,Submission!$H:$N,""))</f>
        <v/>
      </c>
      <c r="E70" s="257"/>
      <c r="F70" s="258" t="str">
        <f>_xlfn.CONCAT(_xlfn.XLOOKUP("[S02_CompetentAuthorityRoles][17][CAForInstallationTask]",Submission!$O:$O,Submission!$H:$N,""))</f>
        <v/>
      </c>
      <c r="G70" s="259"/>
      <c r="H70" s="258" t="str">
        <f>_xlfn.CONCAT(_xlfn.XLOOKUP("[S02_CompetentAuthorityRoles][17][CAForAviationTask]",Submission!$O:$O,Submission!$H:$N,""))</f>
        <v/>
      </c>
      <c r="I70" s="259"/>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5" t="s">
        <v>698</v>
      </c>
      <c r="D72" s="266"/>
      <c r="E72" s="266"/>
      <c r="F72" s="266"/>
      <c r="G72" s="266"/>
      <c r="H72" s="266"/>
      <c r="I72" s="266"/>
    </row>
    <row r="73" spans="1:9" s="79" customFormat="1" ht="29.25" customHeight="1" x14ac:dyDescent="0.3">
      <c r="A73" s="78"/>
      <c r="B73" s="73"/>
      <c r="C73" s="265" t="s">
        <v>699</v>
      </c>
      <c r="D73" s="266"/>
      <c r="E73" s="266"/>
      <c r="F73" s="266"/>
      <c r="G73" s="266"/>
      <c r="H73" s="266"/>
      <c r="I73" s="266"/>
    </row>
    <row r="74" spans="1:9" s="79" customFormat="1" ht="29.25" customHeight="1" x14ac:dyDescent="0.3">
      <c r="A74" s="78"/>
      <c r="B74" s="73"/>
      <c r="C74" s="265" t="s">
        <v>700</v>
      </c>
      <c r="D74" s="266"/>
      <c r="E74" s="266"/>
      <c r="F74" s="266"/>
      <c r="G74" s="266"/>
      <c r="H74" s="266"/>
      <c r="I74" s="266"/>
    </row>
    <row r="75" spans="1:9" s="79" customFormat="1" ht="29.25" customHeight="1" x14ac:dyDescent="0.3">
      <c r="A75" s="78"/>
      <c r="B75" s="73"/>
      <c r="C75" s="265" t="s">
        <v>701</v>
      </c>
      <c r="D75" s="266"/>
      <c r="E75" s="266"/>
      <c r="F75" s="266"/>
      <c r="G75" s="266"/>
      <c r="H75" s="266"/>
      <c r="I75" s="266"/>
    </row>
    <row r="76" spans="1:9" s="79" customFormat="1" ht="17.25" customHeight="1" x14ac:dyDescent="0.3">
      <c r="A76" s="78"/>
      <c r="C76" s="265" t="s">
        <v>702</v>
      </c>
      <c r="D76" s="266"/>
      <c r="E76" s="266"/>
      <c r="F76" s="266"/>
      <c r="G76" s="266"/>
      <c r="H76" s="266"/>
      <c r="I76" s="266"/>
    </row>
    <row r="77" spans="1:9" s="79" customFormat="1" ht="17.25" customHeight="1" x14ac:dyDescent="0.3">
      <c r="A77" s="78"/>
      <c r="C77" s="265" t="s">
        <v>703</v>
      </c>
      <c r="D77" s="266"/>
      <c r="E77" s="266"/>
      <c r="F77" s="266"/>
      <c r="G77" s="266"/>
      <c r="H77" s="266"/>
      <c r="I77" s="266"/>
    </row>
    <row r="78" spans="1:9" s="79" customFormat="1" ht="12.9" customHeight="1" x14ac:dyDescent="0.3">
      <c r="A78" s="78"/>
    </row>
    <row r="79" spans="1:9" s="79" customFormat="1" ht="37.200000000000003" customHeight="1" x14ac:dyDescent="0.3">
      <c r="A79" s="57" t="s">
        <v>48</v>
      </c>
      <c r="B79" s="267" t="s">
        <v>704</v>
      </c>
      <c r="C79" s="268"/>
      <c r="D79" s="268"/>
      <c r="E79" s="268"/>
      <c r="F79" s="268"/>
      <c r="G79" s="268"/>
      <c r="H79" s="268"/>
      <c r="I79" s="268"/>
    </row>
    <row r="80" spans="1:9" s="79" customFormat="1" ht="28.95" customHeight="1" x14ac:dyDescent="0.3">
      <c r="A80" s="57"/>
      <c r="B80" s="65"/>
      <c r="C80" s="265" t="s">
        <v>705</v>
      </c>
      <c r="D80" s="266"/>
      <c r="E80" s="266"/>
      <c r="F80" s="266"/>
      <c r="G80" s="266"/>
      <c r="H80" s="266"/>
      <c r="I80" s="266"/>
    </row>
    <row r="81" spans="1:9" s="79" customFormat="1" ht="27" customHeight="1" x14ac:dyDescent="0.3">
      <c r="C81" s="272" t="s">
        <v>706</v>
      </c>
      <c r="D81" s="273"/>
      <c r="E81" s="273"/>
      <c r="F81" s="274"/>
      <c r="G81" s="269" t="s">
        <v>663</v>
      </c>
      <c r="H81" s="270"/>
      <c r="I81" s="271"/>
    </row>
    <row r="82" spans="1:9" s="79" customFormat="1" ht="12.9" customHeight="1" x14ac:dyDescent="0.3">
      <c r="A82" s="78"/>
      <c r="C82" s="257" t="str">
        <f>_xlfn.CONCAT(_xlfn.XLOOKUP("[S02_CAFocalPoint][0][CAArt70]",Submission!$O:$O,Submission!$H:$N,""))</f>
        <v>Minister Klimatu i Środowiska</v>
      </c>
      <c r="D82" s="257"/>
      <c r="E82" s="257"/>
      <c r="F82" s="257"/>
      <c r="G82" s="257" t="str">
        <f>_xlfn.CONCAT(_xlfn.XLOOKUP("[S02_CAFocalPoint][0][CAArt70Abbrev]",Submission!$O:$O,Submission!$H:$N,""))</f>
        <v>MKiŚ</v>
      </c>
      <c r="H82" s="257"/>
      <c r="I82" s="257"/>
    </row>
    <row r="83" spans="1:9" s="79" customFormat="1" ht="12.9" customHeight="1" x14ac:dyDescent="0.3">
      <c r="A83" s="78"/>
    </row>
    <row r="84" spans="1:9" s="79" customFormat="1" ht="34.950000000000003" customHeight="1" x14ac:dyDescent="0.3">
      <c r="A84" s="78"/>
      <c r="B84" s="267" t="s">
        <v>707</v>
      </c>
      <c r="C84" s="268"/>
      <c r="D84" s="268"/>
      <c r="E84" s="268"/>
      <c r="F84" s="268"/>
      <c r="G84" s="268"/>
      <c r="H84" s="268"/>
      <c r="I84" s="268"/>
    </row>
    <row r="85" spans="1:9" s="79" customFormat="1" ht="15" customHeight="1" x14ac:dyDescent="0.3">
      <c r="A85" s="78"/>
      <c r="C85" s="272" t="s">
        <v>708</v>
      </c>
      <c r="D85" s="273"/>
      <c r="E85" s="273"/>
      <c r="F85" s="274"/>
      <c r="G85" s="67" t="s">
        <v>709</v>
      </c>
      <c r="H85" s="272" t="s">
        <v>710</v>
      </c>
      <c r="I85" s="274"/>
    </row>
    <row r="86" spans="1:9" s="79" customFormat="1" ht="24.6" customHeight="1" x14ac:dyDescent="0.3">
      <c r="A86" s="78"/>
      <c r="C86" s="249" t="s">
        <v>711</v>
      </c>
      <c r="D86" s="275"/>
      <c r="E86" s="275"/>
      <c r="F86" s="276"/>
      <c r="G86" s="64" t="str">
        <f>_xlfn.CONCAT(_xlfn.XLOOKUP("[S02_CompetentAuthorityCoordination][1][CACoordinationYesNo]",Submission!$O:$O,Submission!$H:$N,""))</f>
        <v>Yes</v>
      </c>
      <c r="H86" s="261" t="str">
        <f>_xlfn.CONCAT(_xlfn.XLOOKUP("[S02_CompetentAuthorityCoordination][1][CACoordinationComment]",Submission!$O:$O,Submission!$H:$N,""))</f>
        <v/>
      </c>
      <c r="I86" s="263"/>
    </row>
    <row r="87" spans="1:9" s="79" customFormat="1" ht="23.4" customHeight="1" x14ac:dyDescent="0.3">
      <c r="A87" s="78"/>
      <c r="C87" s="249" t="s">
        <v>712</v>
      </c>
      <c r="D87" s="275"/>
      <c r="E87" s="275"/>
      <c r="F87" s="276"/>
      <c r="G87" s="64" t="str">
        <f>_xlfn.CONCAT(_xlfn.XLOOKUP("[S02_CompetentAuthorityCoordination][2][CACoordinationYesNo]",Submission!$O:$O,Submission!$H:$N,""))</f>
        <v>Yes</v>
      </c>
      <c r="H87" s="261" t="str">
        <f>_xlfn.CONCAT(_xlfn.XLOOKUP("[S02_CompetentAuthorityCoordination][2][CACoordinationComment]",Submission!$O:$O,Submission!$H:$N,""))</f>
        <v/>
      </c>
      <c r="I87" s="263"/>
    </row>
    <row r="88" spans="1:9" s="79" customFormat="1" ht="23.4" customHeight="1" x14ac:dyDescent="0.3">
      <c r="A88" s="78"/>
      <c r="C88" s="249" t="s">
        <v>713</v>
      </c>
      <c r="D88" s="275"/>
      <c r="E88" s="275"/>
      <c r="F88" s="276"/>
      <c r="G88" s="64" t="str">
        <f>_xlfn.CONCAT(_xlfn.XLOOKUP("[S02_CompetentAuthorityCoordination][3][CACoordinationYesNo]",Submission!$O:$O,Submission!$H:$N,""))</f>
        <v>No</v>
      </c>
      <c r="H88" s="261" t="str">
        <f>_xlfn.CONCAT(_xlfn.XLOOKUP("[S02_CompetentAuthorityCoordination][3][CACoordinationComment]",Submission!$O:$O,Submission!$H:$N,""))</f>
        <v/>
      </c>
      <c r="I88" s="263"/>
    </row>
    <row r="89" spans="1:9" s="79" customFormat="1" ht="23.4" customHeight="1" x14ac:dyDescent="0.3">
      <c r="A89" s="78"/>
      <c r="C89" s="249" t="s">
        <v>60</v>
      </c>
      <c r="D89" s="275"/>
      <c r="E89" s="275"/>
      <c r="F89" s="276"/>
      <c r="G89" s="64" t="str">
        <f>_xlfn.CONCAT(_xlfn.XLOOKUP("[S02_CompetentAuthorityCoordination][4][CACoordinationYesNo]",Submission!$O:$O,Submission!$H:$N,""))</f>
        <v>No</v>
      </c>
      <c r="H89" s="261" t="str">
        <f>_xlfn.CONCAT(_xlfn.XLOOKUP("[S02_CompetentAuthorityCoordination][4][CACoordinationComment]",Submission!$O:$O,Submission!$H:$N,""))</f>
        <v/>
      </c>
      <c r="I89" s="263"/>
    </row>
    <row r="90" spans="1:9" s="79" customFormat="1" ht="23.4" customHeight="1" x14ac:dyDescent="0.3">
      <c r="A90" s="78"/>
      <c r="C90" s="249" t="s">
        <v>714</v>
      </c>
      <c r="D90" s="275"/>
      <c r="E90" s="275"/>
      <c r="F90" s="276"/>
      <c r="G90" s="64" t="str">
        <f>_xlfn.CONCAT(_xlfn.XLOOKUP("[S02_CompetentAuthorityCoordination][5][CACoordinationYesNo]",Submission!$O:$O,Submission!$H:$N,""))</f>
        <v>No</v>
      </c>
      <c r="H90" s="261" t="str">
        <f>_xlfn.CONCAT(_xlfn.XLOOKUP("[S02_CompetentAuthorityCoordination][5][CACoordinationComment]",Submission!$O:$O,Submission!$H:$N,""))</f>
        <v/>
      </c>
      <c r="I90" s="263"/>
    </row>
    <row r="91" spans="1:9" s="79" customFormat="1" ht="24.6" customHeight="1" x14ac:dyDescent="0.3">
      <c r="A91" s="78"/>
      <c r="C91" s="249" t="s">
        <v>715</v>
      </c>
      <c r="D91" s="275"/>
      <c r="E91" s="275"/>
      <c r="F91" s="276"/>
      <c r="G91" s="64" t="str">
        <f>_xlfn.CONCAT(_xlfn.XLOOKUP("[S02_CompetentAuthorityCoordination][6][CACoordinationYesNo]",Submission!$O:$O,Submission!$H:$N,""))</f>
        <v>No</v>
      </c>
      <c r="H91" s="261" t="str">
        <f>_xlfn.CONCAT(_xlfn.XLOOKUP("[S02_CompetentAuthorityCoordination][6][CACoordinationComment]",Submission!$O:$O,Submission!$H:$N,""))</f>
        <v/>
      </c>
      <c r="I91" s="263"/>
    </row>
    <row r="92" spans="1:9" s="79" customFormat="1" ht="23.4" customHeight="1" x14ac:dyDescent="0.3">
      <c r="A92" s="78"/>
      <c r="C92" s="249" t="s">
        <v>716</v>
      </c>
      <c r="D92" s="260"/>
      <c r="E92" s="250"/>
      <c r="F92" s="261" t="str">
        <f>_xlfn.CONCAT(_xlfn.XLOOKUP("[S02_CompetentAuthorityCoordination][7][OtherDescription]",Submission!$O:$O,Submission!$H:$N,""))</f>
        <v/>
      </c>
      <c r="G92" s="262"/>
      <c r="H92" s="261" t="str">
        <f>_xlfn.CONCAT(_xlfn.XLOOKUP("[S02_CompetentAuthorityCoordination][7][CACoordinationComment]",Submission!$O:$O,Submission!$H:$N,""))</f>
        <v/>
      </c>
      <c r="I92" s="263"/>
    </row>
    <row r="93" spans="1:9" s="79" customFormat="1" ht="23.4" hidden="1" customHeight="1" outlineLevel="1" x14ac:dyDescent="0.3">
      <c r="A93" s="78"/>
      <c r="C93" s="249" t="s">
        <v>716</v>
      </c>
      <c r="D93" s="260"/>
      <c r="E93" s="250"/>
      <c r="F93" s="261" t="str">
        <f>_xlfn.CONCAT(_xlfn.XLOOKUP("[S02_CompetentAuthorityCoordination][8][OtherDescription]",Submission!$O:$O,Submission!$H:$N,""))</f>
        <v/>
      </c>
      <c r="G93" s="262"/>
      <c r="H93" s="261" t="str">
        <f>_xlfn.CONCAT(_xlfn.XLOOKUP("[S02_CompetentAuthorityCoordination][8][CACoordinationComment]",Submission!$O:$O,Submission!$H:$N,""))</f>
        <v/>
      </c>
      <c r="I93" s="263"/>
    </row>
    <row r="94" spans="1:9" s="79" customFormat="1" ht="23.4" hidden="1" customHeight="1" outlineLevel="1" x14ac:dyDescent="0.3">
      <c r="A94" s="78"/>
      <c r="C94" s="249" t="s">
        <v>716</v>
      </c>
      <c r="D94" s="260"/>
      <c r="E94" s="250"/>
      <c r="F94" s="261" t="str">
        <f>_xlfn.CONCAT(_xlfn.XLOOKUP("[S02_CompetentAuthorityCoordination][9][OtherDescription]",Submission!$O:$O,Submission!$H:$N,""))</f>
        <v/>
      </c>
      <c r="G94" s="262"/>
      <c r="H94" s="261" t="str">
        <f>_xlfn.CONCAT(_xlfn.XLOOKUP("[S02_CompetentAuthorityCoordination][9][CACoordinationComment]",Submission!$O:$O,Submission!$H:$N,""))</f>
        <v/>
      </c>
      <c r="I94" s="263"/>
    </row>
    <row r="95" spans="1:9" s="79" customFormat="1" ht="23.4" hidden="1" customHeight="1" outlineLevel="1" x14ac:dyDescent="0.3">
      <c r="A95" s="78"/>
      <c r="C95" s="249" t="s">
        <v>716</v>
      </c>
      <c r="D95" s="260"/>
      <c r="E95" s="250"/>
      <c r="F95" s="261" t="str">
        <f>_xlfn.CONCAT(_xlfn.XLOOKUP("[S02_CompetentAuthorityCoordination][10][OtherDescription]",Submission!$O:$O,Submission!$H:$N,""))</f>
        <v/>
      </c>
      <c r="G95" s="262"/>
      <c r="H95" s="261" t="str">
        <f>_xlfn.CONCAT(_xlfn.XLOOKUP("[S02_CompetentAuthorityCoordination][10][CACoordinationComment]",Submission!$O:$O,Submission!$H:$N,""))</f>
        <v/>
      </c>
      <c r="I95" s="263"/>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8" t="s">
        <v>717</v>
      </c>
      <c r="C98" s="279"/>
      <c r="D98" s="279"/>
      <c r="E98" s="279"/>
      <c r="F98" s="279"/>
      <c r="G98" s="279"/>
      <c r="H98" s="279"/>
      <c r="I98" s="279"/>
    </row>
    <row r="99" spans="1:9" s="79" customFormat="1" ht="15" customHeight="1" x14ac:dyDescent="0.3">
      <c r="A99" s="78"/>
      <c r="C99" s="272" t="s">
        <v>718</v>
      </c>
      <c r="D99" s="273"/>
      <c r="E99" s="273"/>
      <c r="F99" s="274"/>
      <c r="G99" s="67" t="s">
        <v>709</v>
      </c>
      <c r="H99" s="272" t="s">
        <v>710</v>
      </c>
      <c r="I99" s="274"/>
    </row>
    <row r="100" spans="1:9" s="79" customFormat="1" ht="27.6" customHeight="1" x14ac:dyDescent="0.3">
      <c r="A100" s="78"/>
      <c r="C100" s="249" t="s">
        <v>719</v>
      </c>
      <c r="D100" s="260"/>
      <c r="E100" s="260"/>
      <c r="F100" s="250"/>
      <c r="G100" s="64" t="str">
        <f>_xlfn.CONCAT(_xlfn.XLOOKUP("[S02_InformationExchangeAccBodyAndCA][1][InfoExchangeYesNo]",Submission!$O:$O,Submission!$H:$N,""))</f>
        <v>No</v>
      </c>
      <c r="H100" s="277" t="str">
        <f>_xlfn.CONCAT(_xlfn.XLOOKUP("[S02_InformationExchangeAccBodyAndCA][1][InfoExchangeComment]",Submission!$O:$O,Submission!$H:$N,""))</f>
        <v/>
      </c>
      <c r="I100" s="262"/>
    </row>
    <row r="101" spans="1:9" s="79" customFormat="1" ht="27.6" customHeight="1" x14ac:dyDescent="0.3">
      <c r="A101" s="78"/>
      <c r="C101" s="249" t="s">
        <v>720</v>
      </c>
      <c r="D101" s="260"/>
      <c r="E101" s="260"/>
      <c r="F101" s="250"/>
      <c r="G101" s="64" t="str">
        <f>_xlfn.CONCAT(_xlfn.XLOOKUP("[S02_InformationExchangeAccBodyAndCA][2][InfoExchangeYesNo]",Submission!$O:$O,Submission!$H:$N,""))</f>
        <v>No</v>
      </c>
      <c r="H101" s="277" t="str">
        <f>_xlfn.CONCAT(_xlfn.XLOOKUP("[S02_InformationExchangeAccBodyAndCA][2][InfoExchangeComment]",Submission!$O:$O,Submission!$H:$N,""))</f>
        <v/>
      </c>
      <c r="I101" s="262"/>
    </row>
    <row r="102" spans="1:9" s="79" customFormat="1" ht="27.6" customHeight="1" x14ac:dyDescent="0.3">
      <c r="A102" s="78"/>
      <c r="C102" s="249" t="s">
        <v>721</v>
      </c>
      <c r="D102" s="260"/>
      <c r="E102" s="260"/>
      <c r="F102" s="250"/>
      <c r="G102" s="64" t="str">
        <f>_xlfn.CONCAT(_xlfn.XLOOKUP("[S02_InformationExchangeAccBodyAndCA][3][InfoExchangeYesNo]",Submission!$O:$O,Submission!$H:$N,""))</f>
        <v>Yes</v>
      </c>
      <c r="H102" s="277" t="str">
        <f>_xlfn.CONCAT(_xlfn.XLOOKUP("[S02_InformationExchangeAccBodyAndCA][3][InfoExchangeComment]",Submission!$O:$O,Submission!$H:$N,""))</f>
        <v>Możliwe w ramach roboczej współpracy.</v>
      </c>
      <c r="I102" s="262"/>
    </row>
    <row r="103" spans="1:9" s="79" customFormat="1" ht="27.6" customHeight="1" x14ac:dyDescent="0.3">
      <c r="A103" s="78"/>
      <c r="C103" s="249" t="s">
        <v>716</v>
      </c>
      <c r="D103" s="260"/>
      <c r="E103" s="250"/>
      <c r="F103" s="261" t="str">
        <f>_xlfn.CONCAT(_xlfn.XLOOKUP("[S02_InformationExchangeAccBodyAndCA][4][OtherDescription]",Submission!$O:$O,Submission!$H:$N,""))</f>
        <v>Polskie Centrum Akredytacji, działające na podstawie ustawy z dnia 13 kwietnia 2016 r. o systemach oceny zgodności i nadzoru rynku (t.j. Dz. U. z 2022 r. poz. 5, dalej: PCA), przekazuje ministrowi właściwemu ds. klimatu: - do dnia 31 grudnia każdego roku program ocen zaplanowanych w odniesieniu do każdego weryfikatora rocznych raportów dotyczących emisji gazów cieplarnianych, - do dnia 1 czerwca każdego roku sprawozdanie z wykonanych zadań, z uwzględnieniem formularza przygotowanego przez Komisję Europejską. Ponadto minister właściwy ds. klimatu jest informowany o zawieszeniu, cofnięciu lub ograniczeniu akredytacji weryfikatora na warunkach wskazanych w dokumencie Opis systemu akredytacji (DA-01). PCA rozpoznaje również przekazane przez ministra właściwego ds. klimatu informacje o stwierdzeniu nieprzestrzegania rozporządzenia Komisji (UE) nr 2018/2067 przez akredytowanego weryfikatora.</v>
      </c>
      <c r="G103" s="262"/>
      <c r="H103" s="277" t="str">
        <f>_xlfn.CONCAT(_xlfn.XLOOKUP("[S02_InformationExchangeAccBodyAndCA][4][InfoExchangeComment]",Submission!$O:$O,Submission!$H:$N,""))</f>
        <v/>
      </c>
      <c r="I103" s="262"/>
    </row>
    <row r="104" spans="1:9" s="79" customFormat="1" ht="27.6" hidden="1" customHeight="1" outlineLevel="1" x14ac:dyDescent="0.3">
      <c r="A104" s="78"/>
      <c r="C104" s="249" t="s">
        <v>716</v>
      </c>
      <c r="D104" s="260"/>
      <c r="E104" s="250"/>
      <c r="F104" s="261" t="str">
        <f>_xlfn.CONCAT(_xlfn.XLOOKUP("[S02_InformationExchangeAccBodyAndCA][5][OtherDescription]",Submission!$O:$O,Submission!$H:$N,""))</f>
        <v>Robocza współpraca z PCA.</v>
      </c>
      <c r="G104" s="262"/>
      <c r="H104" s="277" t="str">
        <f>_xlfn.CONCAT(_xlfn.XLOOKUP("[S02_InformationExchangeAccBodyAndCA][5][InfoExchangeComment]",Submission!$O:$O,Submission!$H:$N,""))</f>
        <v/>
      </c>
      <c r="I104" s="262"/>
    </row>
    <row r="105" spans="1:9" s="79" customFormat="1" ht="27.6" hidden="1" customHeight="1" outlineLevel="1" x14ac:dyDescent="0.3">
      <c r="A105" s="78"/>
      <c r="C105" s="249" t="s">
        <v>716</v>
      </c>
      <c r="D105" s="260"/>
      <c r="E105" s="250"/>
      <c r="F105" s="261" t="str">
        <f>_xlfn.CONCAT(_xlfn.XLOOKUP("[S02_InformationExchangeAccBodyAndCA][6][OtherDescription]",Submission!$O:$O,Submission!$H:$N,""))</f>
        <v/>
      </c>
      <c r="G105" s="262"/>
      <c r="H105" s="277" t="str">
        <f>_xlfn.CONCAT(_xlfn.XLOOKUP("[S02_InformationExchangeAccBodyAndCA][6][InfoExchangeComment]",Submission!$O:$O,Submission!$H:$N,""))</f>
        <v/>
      </c>
      <c r="I105" s="262"/>
    </row>
    <row r="106" spans="1:9" s="79" customFormat="1" ht="27.6" hidden="1" customHeight="1" outlineLevel="1" x14ac:dyDescent="0.3">
      <c r="A106" s="78"/>
      <c r="C106" s="249" t="s">
        <v>716</v>
      </c>
      <c r="D106" s="260"/>
      <c r="E106" s="250"/>
      <c r="F106" s="261" t="str">
        <f>_xlfn.CONCAT(_xlfn.XLOOKUP("[S02_InformationExchangeAccBodyAndCA][7][OtherDescription]",Submission!$O:$O,Submission!$H:$N,""))</f>
        <v/>
      </c>
      <c r="G106" s="262"/>
      <c r="H106" s="277" t="str">
        <f>_xlfn.CONCAT(_xlfn.XLOOKUP("[S02_InformationExchangeAccBodyAndCA][7][InfoExchangeComment]",Submission!$O:$O,Submission!$H:$N,""))</f>
        <v/>
      </c>
      <c r="I106" s="262"/>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12" t="s">
        <v>722</v>
      </c>
      <c r="C3" s="312"/>
      <c r="D3" s="312"/>
      <c r="E3" s="312"/>
      <c r="F3" s="312"/>
      <c r="G3" s="312"/>
      <c r="H3" s="312"/>
      <c r="I3" s="312"/>
    </row>
    <row r="4" spans="1:9" s="7" customFormat="1" ht="18.899999999999999" customHeight="1" x14ac:dyDescent="0.35">
      <c r="A4" s="48" t="s">
        <v>723</v>
      </c>
      <c r="B4" s="313" t="s">
        <v>74</v>
      </c>
      <c r="C4" s="313"/>
      <c r="D4" s="313"/>
      <c r="E4" s="313"/>
      <c r="F4" s="313"/>
      <c r="G4" s="313"/>
      <c r="H4" s="313"/>
      <c r="I4" s="314"/>
    </row>
    <row r="5" spans="1:9" s="7" customFormat="1" ht="51" customHeight="1" x14ac:dyDescent="0.3">
      <c r="A5" s="12" t="s">
        <v>75</v>
      </c>
      <c r="B5" s="315" t="s">
        <v>724</v>
      </c>
      <c r="C5" s="316"/>
      <c r="D5" s="316"/>
      <c r="E5" s="316"/>
      <c r="F5" s="316"/>
      <c r="G5" s="316"/>
      <c r="H5" s="316"/>
      <c r="I5" s="316"/>
    </row>
    <row r="6" spans="1:9" s="7" customFormat="1" ht="12.6" customHeight="1" x14ac:dyDescent="0.3">
      <c r="A6" s="8"/>
      <c r="C6" s="317" t="s">
        <v>725</v>
      </c>
      <c r="D6" s="318"/>
      <c r="E6" s="318"/>
      <c r="F6" s="319"/>
      <c r="G6" s="317" t="s">
        <v>726</v>
      </c>
      <c r="H6" s="318"/>
      <c r="I6" s="319"/>
    </row>
    <row r="7" spans="1:9" s="7" customFormat="1" ht="15" customHeight="1" x14ac:dyDescent="0.3">
      <c r="A7" s="8"/>
      <c r="C7" s="304" t="s">
        <v>76</v>
      </c>
      <c r="D7" s="305"/>
      <c r="E7" s="305"/>
      <c r="F7" s="306"/>
      <c r="G7" s="307" t="str">
        <f>_xlfn.CONCAT(_xlfn.XLOOKUP("[S03_EmittingInstallations][1][NumberOfInstallations]",Submission!$O:$O,Submission!$H:$N,""))</f>
        <v>602</v>
      </c>
      <c r="H7" s="308"/>
      <c r="I7" s="309"/>
    </row>
    <row r="8" spans="1:9" s="7" customFormat="1" ht="15" customHeight="1" x14ac:dyDescent="0.3">
      <c r="A8" s="8"/>
      <c r="C8" s="304" t="s">
        <v>727</v>
      </c>
      <c r="D8" s="305"/>
      <c r="E8" s="305"/>
      <c r="F8" s="306"/>
      <c r="G8" s="307" t="str">
        <f>_xlfn.CONCAT(_xlfn.XLOOKUP("[S03_EmittingInstallations][2][NumberOfInstallations]",Submission!$O:$O,Submission!$H:$N,""))</f>
        <v>363</v>
      </c>
      <c r="H8" s="308"/>
      <c r="I8" s="309"/>
    </row>
    <row r="9" spans="1:9" s="7" customFormat="1" ht="15" customHeight="1" x14ac:dyDescent="0.3">
      <c r="A9" s="8"/>
      <c r="C9" s="304" t="s">
        <v>728</v>
      </c>
      <c r="D9" s="305"/>
      <c r="E9" s="305"/>
      <c r="F9" s="306"/>
      <c r="G9" s="307" t="str">
        <f>_xlfn.CONCAT(_xlfn.XLOOKUP("[S03_EmittingInstallations][3][NumberOfInstallations]",Submission!$O:$O,Submission!$H:$N,""))</f>
        <v>170</v>
      </c>
      <c r="H9" s="308"/>
      <c r="I9" s="309"/>
    </row>
    <row r="10" spans="1:9" s="7" customFormat="1" ht="15" customHeight="1" x14ac:dyDescent="0.3">
      <c r="A10" s="8"/>
      <c r="C10" s="304" t="s">
        <v>729</v>
      </c>
      <c r="D10" s="305"/>
      <c r="E10" s="305"/>
      <c r="F10" s="306"/>
      <c r="G10" s="307" t="str">
        <f>_xlfn.CONCAT(_xlfn.XLOOKUP("[S03_EmittingInstallations][4][NumberOfInstallations]",Submission!$O:$O,Submission!$H:$N,""))</f>
        <v>69</v>
      </c>
      <c r="H10" s="308"/>
      <c r="I10" s="309"/>
    </row>
    <row r="11" spans="1:9" s="7" customFormat="1" ht="15" customHeight="1" x14ac:dyDescent="0.3">
      <c r="A11" s="8"/>
      <c r="C11" s="304" t="s">
        <v>730</v>
      </c>
      <c r="D11" s="305"/>
      <c r="E11" s="305"/>
      <c r="F11" s="306"/>
      <c r="G11" s="307" t="str">
        <f>_xlfn.CONCAT(_xlfn.XLOOKUP("[S03_EmittingInstallations][5][NumberOfInstallations]",Submission!$O:$O,Submission!$H:$N,""))</f>
        <v>199</v>
      </c>
      <c r="H11" s="308"/>
      <c r="I11" s="309"/>
    </row>
    <row r="12" spans="1:9" s="11" customFormat="1" ht="14.4" x14ac:dyDescent="0.3"/>
    <row r="13" spans="1:9" s="7" customFormat="1" ht="20.399999999999999" customHeight="1" x14ac:dyDescent="0.3">
      <c r="A13" s="12"/>
      <c r="B13" s="310" t="s">
        <v>731</v>
      </c>
      <c r="C13" s="311"/>
      <c r="D13" s="311"/>
      <c r="E13" s="311"/>
      <c r="F13" s="311"/>
      <c r="G13" s="311"/>
      <c r="H13" s="311"/>
      <c r="I13" s="311"/>
    </row>
    <row r="14" spans="1:9" s="11" customFormat="1" ht="15" customHeight="1" x14ac:dyDescent="0.3">
      <c r="C14" s="322" t="s">
        <v>732</v>
      </c>
      <c r="D14" s="323"/>
      <c r="E14" s="323"/>
      <c r="F14" s="323"/>
      <c r="G14" s="324"/>
      <c r="H14" s="320" t="s">
        <v>709</v>
      </c>
      <c r="I14" s="321"/>
    </row>
    <row r="15" spans="1:9" s="11" customFormat="1" ht="14.4" x14ac:dyDescent="0.3">
      <c r="C15" s="299" t="s">
        <v>733</v>
      </c>
      <c r="D15" s="300"/>
      <c r="E15" s="300"/>
      <c r="F15" s="300"/>
      <c r="G15" s="301"/>
      <c r="H15" s="302" t="str">
        <f>_xlfn.CONCAT(_xlfn.XLOOKUP("[S03_ActivityPermits][1][ActivityPermitsIssued]",Submission!$O:$O,Submission!$H:$N,""))</f>
        <v>Yes</v>
      </c>
      <c r="I15" s="303"/>
    </row>
    <row r="16" spans="1:9" s="11" customFormat="1" ht="14.4" x14ac:dyDescent="0.3">
      <c r="C16" s="299" t="s">
        <v>734</v>
      </c>
      <c r="D16" s="300"/>
      <c r="E16" s="300"/>
      <c r="F16" s="300"/>
      <c r="G16" s="301"/>
      <c r="H16" s="302" t="str">
        <f>_xlfn.CONCAT(_xlfn.XLOOKUP("[S03_ActivityPermits][2][ActivityPermitsIssued]",Submission!$O:$O,Submission!$H:$N,""))</f>
        <v>Yes</v>
      </c>
      <c r="I16" s="303"/>
    </row>
    <row r="17" spans="3:9" s="11" customFormat="1" ht="14.4" x14ac:dyDescent="0.3">
      <c r="C17" s="299" t="s">
        <v>735</v>
      </c>
      <c r="D17" s="300"/>
      <c r="E17" s="300"/>
      <c r="F17" s="300"/>
      <c r="G17" s="301"/>
      <c r="H17" s="302" t="str">
        <f>_xlfn.CONCAT(_xlfn.XLOOKUP("[S03_ActivityPermits][3][ActivityPermitsIssued]",Submission!$O:$O,Submission!$H:$N,""))</f>
        <v>Yes</v>
      </c>
      <c r="I17" s="303"/>
    </row>
    <row r="18" spans="3:9" s="11" customFormat="1" ht="14.4" x14ac:dyDescent="0.3">
      <c r="C18" s="299" t="s">
        <v>736</v>
      </c>
      <c r="D18" s="300"/>
      <c r="E18" s="300"/>
      <c r="F18" s="300"/>
      <c r="G18" s="301"/>
      <c r="H18" s="302" t="str">
        <f>_xlfn.CONCAT(_xlfn.XLOOKUP("[S03_ActivityPermits][4][ActivityPermitsIssued]",Submission!$O:$O,Submission!$H:$N,""))</f>
        <v>Yes</v>
      </c>
      <c r="I18" s="303"/>
    </row>
    <row r="19" spans="3:9" s="11" customFormat="1" ht="14.4" x14ac:dyDescent="0.3">
      <c r="C19" s="299" t="s">
        <v>737</v>
      </c>
      <c r="D19" s="300"/>
      <c r="E19" s="300"/>
      <c r="F19" s="300"/>
      <c r="G19" s="301"/>
      <c r="H19" s="302" t="str">
        <f>_xlfn.CONCAT(_xlfn.XLOOKUP("[S03_ActivityPermits][5][ActivityPermitsIssued]",Submission!$O:$O,Submission!$H:$N,""))</f>
        <v>Yes</v>
      </c>
      <c r="I19" s="303"/>
    </row>
    <row r="20" spans="3:9" s="11" customFormat="1" ht="14.4" x14ac:dyDescent="0.3">
      <c r="C20" s="299" t="s">
        <v>738</v>
      </c>
      <c r="D20" s="300"/>
      <c r="E20" s="300"/>
      <c r="F20" s="300"/>
      <c r="G20" s="301"/>
      <c r="H20" s="302" t="str">
        <f>_xlfn.CONCAT(_xlfn.XLOOKUP("[S03_ActivityPermits][6][ActivityPermitsIssued]",Submission!$O:$O,Submission!$H:$N,""))</f>
        <v>Yes</v>
      </c>
      <c r="I20" s="303"/>
    </row>
    <row r="21" spans="3:9" s="11" customFormat="1" ht="14.4" x14ac:dyDescent="0.3">
      <c r="C21" s="299" t="s">
        <v>739</v>
      </c>
      <c r="D21" s="300"/>
      <c r="E21" s="300"/>
      <c r="F21" s="300"/>
      <c r="G21" s="301"/>
      <c r="H21" s="302" t="str">
        <f>_xlfn.CONCAT(_xlfn.XLOOKUP("[S03_ActivityPermits][7][ActivityPermitsIssued]",Submission!$O:$O,Submission!$H:$N,""))</f>
        <v>No</v>
      </c>
      <c r="I21" s="303"/>
    </row>
    <row r="22" spans="3:9" s="11" customFormat="1" ht="14.4" x14ac:dyDescent="0.3">
      <c r="C22" s="299" t="s">
        <v>740</v>
      </c>
      <c r="D22" s="300"/>
      <c r="E22" s="300"/>
      <c r="F22" s="300"/>
      <c r="G22" s="301"/>
      <c r="H22" s="302" t="str">
        <f>_xlfn.CONCAT(_xlfn.XLOOKUP("[S03_ActivityPermits][8][ActivityPermitsIssued]",Submission!$O:$O,Submission!$H:$N,""))</f>
        <v>No</v>
      </c>
      <c r="I22" s="303"/>
    </row>
    <row r="23" spans="3:9" s="11" customFormat="1" ht="14.4" x14ac:dyDescent="0.3">
      <c r="C23" s="299" t="s">
        <v>741</v>
      </c>
      <c r="D23" s="300"/>
      <c r="E23" s="300"/>
      <c r="F23" s="300"/>
      <c r="G23" s="301"/>
      <c r="H23" s="302" t="str">
        <f>_xlfn.CONCAT(_xlfn.XLOOKUP("[S03_ActivityPermits][9][ActivityPermitsIssued]",Submission!$O:$O,Submission!$H:$N,""))</f>
        <v>Yes</v>
      </c>
      <c r="I23" s="303"/>
    </row>
    <row r="24" spans="3:9" s="11" customFormat="1" ht="14.4" x14ac:dyDescent="0.3">
      <c r="C24" s="299" t="s">
        <v>742</v>
      </c>
      <c r="D24" s="300"/>
      <c r="E24" s="300"/>
      <c r="F24" s="300"/>
      <c r="G24" s="301"/>
      <c r="H24" s="302" t="str">
        <f>_xlfn.CONCAT(_xlfn.XLOOKUP("[S03_ActivityPermits][10][ActivityPermitsIssued]",Submission!$O:$O,Submission!$H:$N,""))</f>
        <v>Yes</v>
      </c>
      <c r="I24" s="303"/>
    </row>
    <row r="25" spans="3:9" s="11" customFormat="1" ht="14.4" x14ac:dyDescent="0.3">
      <c r="C25" s="299" t="s">
        <v>743</v>
      </c>
      <c r="D25" s="300"/>
      <c r="E25" s="300"/>
      <c r="F25" s="300"/>
      <c r="G25" s="301"/>
      <c r="H25" s="302" t="str">
        <f>_xlfn.CONCAT(_xlfn.XLOOKUP("[S03_ActivityPermits][11][ActivityPermitsIssued]",Submission!$O:$O,Submission!$H:$N,""))</f>
        <v>Yes</v>
      </c>
      <c r="I25" s="303"/>
    </row>
    <row r="26" spans="3:9" s="11" customFormat="1" ht="14.4" x14ac:dyDescent="0.3">
      <c r="C26" s="299" t="s">
        <v>744</v>
      </c>
      <c r="D26" s="300"/>
      <c r="E26" s="300"/>
      <c r="F26" s="300"/>
      <c r="G26" s="301"/>
      <c r="H26" s="302" t="str">
        <f>_xlfn.CONCAT(_xlfn.XLOOKUP("[S03_ActivityPermits][12][ActivityPermitsIssued]",Submission!$O:$O,Submission!$H:$N,""))</f>
        <v>Yes</v>
      </c>
      <c r="I26" s="303"/>
    </row>
    <row r="27" spans="3:9" s="11" customFormat="1" ht="14.4" x14ac:dyDescent="0.3">
      <c r="C27" s="299" t="s">
        <v>745</v>
      </c>
      <c r="D27" s="300"/>
      <c r="E27" s="300"/>
      <c r="F27" s="300"/>
      <c r="G27" s="301"/>
      <c r="H27" s="302" t="str">
        <f>_xlfn.CONCAT(_xlfn.XLOOKUP("[S03_ActivityPermits][13][ActivityPermitsIssued]",Submission!$O:$O,Submission!$H:$N,""))</f>
        <v>Yes</v>
      </c>
      <c r="I27" s="303"/>
    </row>
    <row r="28" spans="3:9" s="11" customFormat="1" ht="14.4" x14ac:dyDescent="0.3">
      <c r="C28" s="299" t="s">
        <v>746</v>
      </c>
      <c r="D28" s="300"/>
      <c r="E28" s="300"/>
      <c r="F28" s="300"/>
      <c r="G28" s="301"/>
      <c r="H28" s="302" t="str">
        <f>_xlfn.CONCAT(_xlfn.XLOOKUP("[S03_ActivityPermits][14][ActivityPermitsIssued]",Submission!$O:$O,Submission!$H:$N,""))</f>
        <v>Yes</v>
      </c>
      <c r="I28" s="303"/>
    </row>
    <row r="29" spans="3:9" s="11" customFormat="1" ht="14.4" x14ac:dyDescent="0.3">
      <c r="C29" s="299" t="s">
        <v>747</v>
      </c>
      <c r="D29" s="300"/>
      <c r="E29" s="300"/>
      <c r="F29" s="300"/>
      <c r="G29" s="301"/>
      <c r="H29" s="302" t="str">
        <f>_xlfn.CONCAT(_xlfn.XLOOKUP("[S03_ActivityPermits][15][ActivityPermitsIssued]",Submission!$O:$O,Submission!$H:$N,""))</f>
        <v>Yes</v>
      </c>
      <c r="I29" s="303"/>
    </row>
    <row r="30" spans="3:9" s="11" customFormat="1" ht="14.4" x14ac:dyDescent="0.3">
      <c r="C30" s="299" t="s">
        <v>748</v>
      </c>
      <c r="D30" s="300"/>
      <c r="E30" s="300"/>
      <c r="F30" s="300"/>
      <c r="G30" s="301"/>
      <c r="H30" s="302" t="str">
        <f>_xlfn.CONCAT(_xlfn.XLOOKUP("[S03_ActivityPermits][16][ActivityPermitsIssued]",Submission!$O:$O,Submission!$H:$N,""))</f>
        <v>Yes</v>
      </c>
      <c r="I30" s="303"/>
    </row>
    <row r="31" spans="3:9" s="11" customFormat="1" ht="14.4" x14ac:dyDescent="0.3">
      <c r="C31" s="299" t="s">
        <v>749</v>
      </c>
      <c r="D31" s="300"/>
      <c r="E31" s="300"/>
      <c r="F31" s="300"/>
      <c r="G31" s="301"/>
      <c r="H31" s="302" t="str">
        <f>_xlfn.CONCAT(_xlfn.XLOOKUP("[S03_ActivityPermits][17][ActivityPermitsIssued]",Submission!$O:$O,Submission!$H:$N,""))</f>
        <v>Yes</v>
      </c>
      <c r="I31" s="303"/>
    </row>
    <row r="32" spans="3:9" s="11" customFormat="1" ht="14.4" x14ac:dyDescent="0.3">
      <c r="C32" s="299" t="s">
        <v>750</v>
      </c>
      <c r="D32" s="300"/>
      <c r="E32" s="300"/>
      <c r="F32" s="300"/>
      <c r="G32" s="301"/>
      <c r="H32" s="302" t="str">
        <f>_xlfn.CONCAT(_xlfn.XLOOKUP("[S03_ActivityPermits][18][ActivityPermitsIssued]",Submission!$O:$O,Submission!$H:$N,""))</f>
        <v>Yes</v>
      </c>
      <c r="I32" s="303"/>
    </row>
    <row r="33" spans="1:9" s="11" customFormat="1" ht="14.4" x14ac:dyDescent="0.3">
      <c r="C33" s="299" t="s">
        <v>751</v>
      </c>
      <c r="D33" s="300"/>
      <c r="E33" s="300"/>
      <c r="F33" s="300"/>
      <c r="G33" s="301"/>
      <c r="H33" s="302" t="str">
        <f>_xlfn.CONCAT(_xlfn.XLOOKUP("[S03_ActivityPermits][19][ActivityPermitsIssued]",Submission!$O:$O,Submission!$H:$N,""))</f>
        <v>Yes</v>
      </c>
      <c r="I33" s="303"/>
    </row>
    <row r="34" spans="1:9" s="11" customFormat="1" ht="14.4" x14ac:dyDescent="0.3">
      <c r="C34" s="299" t="s">
        <v>752</v>
      </c>
      <c r="D34" s="300"/>
      <c r="E34" s="300"/>
      <c r="F34" s="300"/>
      <c r="G34" s="301"/>
      <c r="H34" s="302" t="str">
        <f>_xlfn.CONCAT(_xlfn.XLOOKUP("[S03_ActivityPermits][20][ActivityPermitsIssued]",Submission!$O:$O,Submission!$H:$N,""))</f>
        <v>No</v>
      </c>
      <c r="I34" s="303"/>
    </row>
    <row r="35" spans="1:9" s="11" customFormat="1" ht="14.4" x14ac:dyDescent="0.3">
      <c r="C35" s="299" t="s">
        <v>753</v>
      </c>
      <c r="D35" s="300"/>
      <c r="E35" s="300"/>
      <c r="F35" s="300"/>
      <c r="G35" s="301"/>
      <c r="H35" s="302" t="str">
        <f>_xlfn.CONCAT(_xlfn.XLOOKUP("[S03_ActivityPermits][21][ActivityPermitsIssued]",Submission!$O:$O,Submission!$H:$N,""))</f>
        <v>No</v>
      </c>
      <c r="I35" s="303"/>
    </row>
    <row r="36" spans="1:9" s="11" customFormat="1" ht="14.4" x14ac:dyDescent="0.3">
      <c r="C36" s="299" t="s">
        <v>754</v>
      </c>
      <c r="D36" s="300"/>
      <c r="E36" s="300"/>
      <c r="F36" s="300"/>
      <c r="G36" s="301"/>
      <c r="H36" s="302" t="str">
        <f>_xlfn.CONCAT(_xlfn.XLOOKUP("[S03_ActivityPermits][22][ActivityPermitsIssued]",Submission!$O:$O,Submission!$H:$N,""))</f>
        <v>Yes</v>
      </c>
      <c r="I36" s="303"/>
    </row>
    <row r="37" spans="1:9" s="11" customFormat="1" ht="14.4" x14ac:dyDescent="0.3">
      <c r="C37" s="299" t="s">
        <v>755</v>
      </c>
      <c r="D37" s="300"/>
      <c r="E37" s="300"/>
      <c r="F37" s="300"/>
      <c r="G37" s="301"/>
      <c r="H37" s="302" t="str">
        <f>_xlfn.CONCAT(_xlfn.XLOOKUP("[S03_ActivityPermits][23][ActivityPermitsIssued]",Submission!$O:$O,Submission!$H:$N,""))</f>
        <v>Yes</v>
      </c>
      <c r="I37" s="303"/>
    </row>
    <row r="38" spans="1:9" s="11" customFormat="1" ht="15" x14ac:dyDescent="0.3">
      <c r="C38" s="299" t="s">
        <v>756</v>
      </c>
      <c r="D38" s="300"/>
      <c r="E38" s="300"/>
      <c r="F38" s="300"/>
      <c r="G38" s="301"/>
      <c r="H38" s="302" t="str">
        <f>_xlfn.CONCAT(_xlfn.XLOOKUP("[S03_ActivityPermits][24][ActivityPermitsIssued]",Submission!$O:$O,Submission!$H:$N,""))</f>
        <v>Yes</v>
      </c>
      <c r="I38" s="303"/>
    </row>
    <row r="39" spans="1:9" s="11" customFormat="1" ht="15" x14ac:dyDescent="0.3">
      <c r="C39" s="299" t="s">
        <v>757</v>
      </c>
      <c r="D39" s="300"/>
      <c r="E39" s="300"/>
      <c r="F39" s="300"/>
      <c r="G39" s="301"/>
      <c r="H39" s="302" t="str">
        <f>_xlfn.CONCAT(_xlfn.XLOOKUP("[S03_ActivityPermits][25][ActivityPermitsIssued]",Submission!$O:$O,Submission!$H:$N,""))</f>
        <v>Yes</v>
      </c>
      <c r="I39" s="303"/>
    </row>
    <row r="40" spans="1:9" s="11" customFormat="1" ht="14.4" x14ac:dyDescent="0.3">
      <c r="C40" s="299" t="s">
        <v>758</v>
      </c>
      <c r="D40" s="300"/>
      <c r="E40" s="300"/>
      <c r="F40" s="300"/>
      <c r="G40" s="301"/>
      <c r="H40" s="302" t="str">
        <f>_xlfn.CONCAT(_xlfn.XLOOKUP("[S03_ActivityPermits][26][ActivityPermitsIssued]",Submission!$O:$O,Submission!$H:$N,""))</f>
        <v>No</v>
      </c>
      <c r="I40" s="303"/>
    </row>
    <row r="41" spans="1:9" s="11" customFormat="1" ht="14.4" x14ac:dyDescent="0.3">
      <c r="C41" s="299" t="s">
        <v>759</v>
      </c>
      <c r="D41" s="300"/>
      <c r="E41" s="300"/>
      <c r="F41" s="300"/>
      <c r="G41" s="301"/>
      <c r="H41" s="302" t="str">
        <f>_xlfn.CONCAT(_xlfn.XLOOKUP("[S03_ActivityPermits][27][ActivityPermitsIssued]",Submission!$O:$O,Submission!$H:$N,""))</f>
        <v>No</v>
      </c>
      <c r="I41" s="303"/>
    </row>
    <row r="42" spans="1:9" s="11" customFormat="1" ht="14.4" x14ac:dyDescent="0.3">
      <c r="C42" s="299" t="s">
        <v>760</v>
      </c>
      <c r="D42" s="300"/>
      <c r="E42" s="300"/>
      <c r="F42" s="300"/>
      <c r="G42" s="301"/>
      <c r="H42" s="302" t="str">
        <f>_xlfn.CONCAT(_xlfn.XLOOKUP("[S03_ActivityPermits][28][ActivityPermitsIssued]",Submission!$O:$O,Submission!$H:$N,""))</f>
        <v>No</v>
      </c>
      <c r="I42" s="303"/>
    </row>
    <row r="43" spans="1:9" s="11" customFormat="1" ht="29.25" customHeight="1" x14ac:dyDescent="0.3">
      <c r="C43" s="347" t="s">
        <v>761</v>
      </c>
      <c r="D43" s="347"/>
      <c r="E43" s="347"/>
      <c r="F43" s="347"/>
      <c r="G43" s="347"/>
      <c r="H43" s="347"/>
      <c r="I43" s="347"/>
    </row>
    <row r="44" spans="1:9" s="7" customFormat="1" ht="18.75" customHeight="1" x14ac:dyDescent="0.3">
      <c r="A44" s="8"/>
    </row>
    <row r="45" spans="1:9" ht="18" customHeight="1" x14ac:dyDescent="0.3">
      <c r="A45" s="12" t="s">
        <v>80</v>
      </c>
      <c r="B45" s="341" t="s">
        <v>762</v>
      </c>
      <c r="C45" s="311"/>
      <c r="D45" s="311"/>
      <c r="E45" s="311"/>
      <c r="F45" s="311"/>
      <c r="G45" s="311"/>
      <c r="H45" s="348"/>
      <c r="I45" s="41" t="str">
        <f>_xlfn.CONCAT(_xlfn.XLOOKUP("[InstallationsExcludedArt27][0][InstallationsExcludedArt27]",Submission!$O:$O,Submission!$H:$N,""))</f>
        <v>No</v>
      </c>
    </row>
    <row r="46" spans="1:9" ht="16.95" customHeight="1" x14ac:dyDescent="0.3">
      <c r="B46" s="341" t="s">
        <v>763</v>
      </c>
      <c r="C46" s="311"/>
      <c r="D46" s="311"/>
      <c r="E46" s="311"/>
      <c r="F46" s="311"/>
      <c r="G46" s="311"/>
      <c r="H46" s="311"/>
      <c r="I46" s="311"/>
    </row>
    <row r="47" spans="1:9" ht="28.2" customHeight="1" x14ac:dyDescent="0.3">
      <c r="B47" s="36" t="s">
        <v>8</v>
      </c>
      <c r="C47" s="342" t="s">
        <v>764</v>
      </c>
      <c r="D47" s="342"/>
      <c r="E47" s="342"/>
      <c r="F47" s="342"/>
      <c r="G47" s="342"/>
      <c r="H47" s="342"/>
      <c r="I47" s="342"/>
    </row>
    <row r="48" spans="1:9" ht="30.6" customHeight="1" x14ac:dyDescent="0.3">
      <c r="B48" s="36" t="s">
        <v>8</v>
      </c>
      <c r="C48" s="342" t="s">
        <v>765</v>
      </c>
      <c r="D48" s="342"/>
      <c r="E48" s="342"/>
      <c r="F48" s="342"/>
      <c r="G48" s="342"/>
      <c r="H48" s="342"/>
      <c r="I48" s="342"/>
    </row>
    <row r="49" spans="1:12" ht="31.95" customHeight="1" x14ac:dyDescent="0.3">
      <c r="B49" s="36" t="s">
        <v>8</v>
      </c>
      <c r="C49" s="330" t="s">
        <v>766</v>
      </c>
      <c r="D49" s="330"/>
      <c r="E49" s="330"/>
      <c r="F49" s="330"/>
      <c r="G49" s="330"/>
      <c r="H49" s="330"/>
      <c r="I49" s="330"/>
    </row>
    <row r="50" spans="1:12" s="7" customFormat="1" ht="42" customHeight="1" x14ac:dyDescent="0.3">
      <c r="A50" s="8"/>
      <c r="C50" s="317" t="s">
        <v>767</v>
      </c>
      <c r="D50" s="336"/>
      <c r="E50" s="337"/>
      <c r="F50" s="317" t="s">
        <v>768</v>
      </c>
      <c r="G50" s="319"/>
      <c r="H50" s="317" t="s">
        <v>769</v>
      </c>
      <c r="I50" s="319"/>
    </row>
    <row r="51" spans="1:12" s="7" customFormat="1" ht="14.4" x14ac:dyDescent="0.3">
      <c r="A51" s="8"/>
      <c r="C51" s="302" t="str">
        <f>_xlfn.CONCAT(_xlfn.XLOOKUP("[S03_InstallationsExcludedArt27Detail][1][ExclusionArticle]",Submission!$O:$O,Submission!$H:$N,""))</f>
        <v/>
      </c>
      <c r="D51" s="343"/>
      <c r="E51" s="344"/>
      <c r="F51" s="349" t="str">
        <f>_xlfn.CONCAT(_xlfn.XLOOKUP("[S03_InstallationsExcludedArt27Detail][1][InstallationsExcludedEmissions]",Submission!$O:$O,Submission!$H:$N,""))</f>
        <v/>
      </c>
      <c r="G51" s="329"/>
      <c r="H51" s="328" t="str">
        <f>_xlfn.CONCAT(_xlfn.XLOOKUP("[S03_InstallationsExcludedArt27Detail][1][InstallationsExceededThreshold]",Submission!$O:$O,Submission!$H:$N,""))</f>
        <v/>
      </c>
      <c r="I51" s="329"/>
    </row>
    <row r="52" spans="1:12" s="7" customFormat="1" ht="14.4" x14ac:dyDescent="0.3">
      <c r="A52" s="8"/>
      <c r="C52" s="302" t="str">
        <f>_xlfn.CONCAT(_xlfn.XLOOKUP("[S03_InstallationsExcludedArt27Detail][2][ExclusionArticle]",Submission!$O:$O,Submission!$H:$N,""))</f>
        <v/>
      </c>
      <c r="D52" s="343"/>
      <c r="E52" s="344"/>
      <c r="F52" s="328" t="str">
        <f>_xlfn.CONCAT(_xlfn.XLOOKUP("[S03_InstallationsExcludedArt27Detail][2][InstallationsExcludedEmissions]",Submission!$O:$O,Submission!$H:$N,""))</f>
        <v/>
      </c>
      <c r="G52" s="329"/>
      <c r="H52" s="328" t="str">
        <f>_xlfn.CONCAT(_xlfn.XLOOKUP("[S03_InstallationsExcludedArt27Detail][2][InstallationsExceededThreshold]",Submission!$O:$O,Submission!$H:$N,""))</f>
        <v/>
      </c>
      <c r="I52" s="329"/>
    </row>
    <row r="53" spans="1:12" s="7" customFormat="1" ht="14.4" x14ac:dyDescent="0.3">
      <c r="A53" s="8"/>
      <c r="C53" s="302" t="str">
        <f>_xlfn.CONCAT(_xlfn.XLOOKUP("[S03_InstallationsExcludedArt27Detail][3][ExclusionArticle]",Submission!$O:$O,Submission!$H:$N,""))</f>
        <v/>
      </c>
      <c r="D53" s="343"/>
      <c r="E53" s="344"/>
      <c r="F53" s="328" t="str">
        <f>_xlfn.CONCAT(_xlfn.XLOOKUP("[S03_InstallationsExcludedArt27Detail][3][InstallationsExcludedEmissions]",Submission!$O:$O,Submission!$H:$N,""))</f>
        <v/>
      </c>
      <c r="G53" s="329"/>
      <c r="H53" s="328" t="str">
        <f>_xlfn.CONCAT(_xlfn.XLOOKUP("[S03_InstallationsExcludedArt27Detail][3][InstallationsExceededThreshold]",Submission!$O:$O,Submission!$H:$N,""))</f>
        <v/>
      </c>
      <c r="I53" s="329"/>
    </row>
    <row r="54" spans="1:12" s="7" customFormat="1" ht="14.4" customHeight="1" x14ac:dyDescent="0.3">
      <c r="A54" s="8"/>
      <c r="C54" s="347" t="s">
        <v>770</v>
      </c>
      <c r="D54" s="347"/>
      <c r="E54" s="347"/>
      <c r="F54" s="347"/>
      <c r="G54" s="347"/>
      <c r="H54" s="347"/>
      <c r="I54" s="347"/>
      <c r="J54" s="19"/>
      <c r="K54" s="19"/>
      <c r="L54" s="19"/>
    </row>
    <row r="55" spans="1:12" s="38" customFormat="1" ht="14.4" x14ac:dyDescent="0.3">
      <c r="A55" s="39"/>
    </row>
    <row r="56" spans="1:12" s="7" customFormat="1" ht="18.600000000000001" customHeight="1" x14ac:dyDescent="0.3">
      <c r="A56" s="8"/>
      <c r="B56" s="341" t="s">
        <v>771</v>
      </c>
      <c r="C56" s="311"/>
      <c r="D56" s="311"/>
      <c r="E56" s="311"/>
      <c r="F56" s="311"/>
      <c r="G56" s="311"/>
      <c r="H56" s="311"/>
      <c r="I56" s="311"/>
    </row>
    <row r="57" spans="1:12" ht="15.9" customHeight="1" x14ac:dyDescent="0.3">
      <c r="A57" s="12"/>
      <c r="B57" s="40"/>
      <c r="C57" s="333"/>
      <c r="D57" s="334"/>
      <c r="E57" s="334"/>
      <c r="F57" s="317" t="s">
        <v>772</v>
      </c>
      <c r="G57" s="336"/>
      <c r="H57" s="336"/>
      <c r="I57" s="337"/>
    </row>
    <row r="58" spans="1:12" ht="15.9" customHeight="1" x14ac:dyDescent="0.3">
      <c r="A58" s="12"/>
      <c r="B58" s="40"/>
      <c r="C58" s="304" t="s">
        <v>773</v>
      </c>
      <c r="D58" s="335"/>
      <c r="E58" s="335"/>
      <c r="F58" s="338" t="str">
        <f>_xlfn.CONCAT(_xlfn.XLOOKUP("[S03_InstallationsExcludedClosed][0][ClosedArt27]",Submission!$O:$O,Submission!$H:$N,""))</f>
        <v/>
      </c>
      <c r="G58" s="339"/>
      <c r="H58" s="339"/>
      <c r="I58" s="340"/>
    </row>
    <row r="59" spans="1:12" s="7" customFormat="1" ht="15" customHeight="1" x14ac:dyDescent="0.3">
      <c r="A59" s="8"/>
      <c r="C59" s="304" t="s">
        <v>774</v>
      </c>
      <c r="D59" s="335"/>
      <c r="E59" s="335"/>
      <c r="F59" s="338" t="str">
        <f>_xlfn.CONCAT(_xlfn.XLOOKUP("[S03_InstallationsExcludedClosed][0][ClosedArt27a]",Submission!$O:$O,Submission!$H:$N,""))</f>
        <v/>
      </c>
      <c r="G59" s="339"/>
      <c r="H59" s="339"/>
      <c r="I59" s="340"/>
    </row>
    <row r="60" spans="1:12" s="7" customFormat="1" ht="14.4" x14ac:dyDescent="0.3">
      <c r="A60" s="8"/>
    </row>
    <row r="61" spans="1:12" s="86" customFormat="1" ht="18.899999999999999" customHeight="1" x14ac:dyDescent="0.35">
      <c r="A61" s="85" t="s">
        <v>775</v>
      </c>
      <c r="B61" s="313" t="s">
        <v>97</v>
      </c>
      <c r="C61" s="313"/>
      <c r="D61" s="313"/>
      <c r="E61" s="313"/>
      <c r="F61" s="313"/>
      <c r="G61" s="313"/>
      <c r="H61" s="313"/>
      <c r="I61" s="314"/>
    </row>
    <row r="62" spans="1:12" s="7" customFormat="1" ht="54" customHeight="1" x14ac:dyDescent="0.3">
      <c r="A62" s="12" t="s">
        <v>98</v>
      </c>
      <c r="B62" s="345" t="s">
        <v>776</v>
      </c>
      <c r="C62" s="346"/>
      <c r="D62" s="346"/>
      <c r="E62" s="346"/>
      <c r="F62" s="346"/>
      <c r="G62" s="346"/>
      <c r="H62" s="346"/>
      <c r="I62" s="346"/>
    </row>
    <row r="63" spans="1:12" s="7" customFormat="1" ht="46.2" customHeight="1" x14ac:dyDescent="0.3">
      <c r="A63" s="8"/>
      <c r="C63" s="320" t="s">
        <v>777</v>
      </c>
      <c r="D63" s="331"/>
      <c r="E63" s="331"/>
      <c r="F63" s="332"/>
      <c r="G63" s="46" t="s">
        <v>778</v>
      </c>
      <c r="H63" s="46" t="s">
        <v>779</v>
      </c>
      <c r="I63" s="46" t="s">
        <v>780</v>
      </c>
    </row>
    <row r="64" spans="1:12" ht="15.9" customHeight="1" x14ac:dyDescent="0.3">
      <c r="C64" s="325" t="s">
        <v>781</v>
      </c>
      <c r="D64" s="326"/>
      <c r="E64" s="326"/>
      <c r="F64" s="327"/>
      <c r="G64" s="132" t="str">
        <f>_xlfn.CONCAT(_xlfn.XLOOKUP("[S03_AircraftAnnex1Activities][1][NumberCommercialOperators]",Submission!$O:$O,Submission!$H:$N,""))</f>
        <v>5</v>
      </c>
      <c r="H64" s="132" t="str">
        <f>_xlfn.CONCAT(_xlfn.XLOOKUP("[S03_AircraftAnnex1Activities][1][NumberNonCommercialOperators]",Submission!$O:$O,Submission!$H:$N,""))</f>
        <v>0</v>
      </c>
      <c r="I64" s="132" t="str">
        <f>_xlfn.CONCAT(_xlfn.XLOOKUP("[S03_AircraftAnnex1Activities][1][NumberTotalOperators]",Submission!$O:$O,Submission!$H:$N,""))</f>
        <v>5</v>
      </c>
    </row>
    <row r="65" spans="3:9" ht="15.9" customHeight="1" x14ac:dyDescent="0.3">
      <c r="C65" s="325" t="s">
        <v>782</v>
      </c>
      <c r="D65" s="326"/>
      <c r="E65" s="326"/>
      <c r="F65" s="327"/>
      <c r="G65" s="132" t="str">
        <f>_xlfn.CONCAT(_xlfn.XLOOKUP("[S03_AircraftAnnex1Activities][2][NumberCommercialOperators]",Submission!$O:$O,Submission!$H:$N,""))</f>
        <v>2</v>
      </c>
      <c r="H65" s="132" t="str">
        <f>_xlfn.CONCAT(_xlfn.XLOOKUP("[S03_AircraftAnnex1Activities][2][NumberNonCommercialOperators]",Submission!$O:$O,Submission!$H:$N,""))</f>
        <v>0</v>
      </c>
      <c r="I65" s="132" t="str">
        <f>_xlfn.CONCAT(_xlfn.XLOOKUP("[S03_AircraftAnnex1Activities][2][NumberTotalOperators]",Submission!$O:$O,Submission!$H:$N,""))</f>
        <v>2</v>
      </c>
    </row>
    <row r="66" spans="3:9" ht="15.9" customHeight="1" x14ac:dyDescent="0.3">
      <c r="C66" s="325" t="s">
        <v>780</v>
      </c>
      <c r="D66" s="326"/>
      <c r="E66" s="326"/>
      <c r="F66" s="327"/>
      <c r="G66" s="132" t="str">
        <f>_xlfn.CONCAT(_xlfn.XLOOKUP("[S03_AircraftAnnex1Activities][3][NumberCommercialOperators]",Submission!$O:$O,Submission!$H:$N,""))</f>
        <v>7</v>
      </c>
      <c r="H66" s="132" t="str">
        <f>_xlfn.CONCAT(_xlfn.XLOOKUP("[S03_AircraftAnnex1Activities][3][NumberNonCommercialOperators]",Submission!$O:$O,Submission!$H:$N,""))</f>
        <v>0</v>
      </c>
      <c r="I66" s="132" t="str">
        <f>_xlfn.CONCAT(_xlfn.XLOOKUP("[S03_AircraftAnnex1Activities][3][NumberTotalOperators]",Submission!$O:$O,Submission!$H:$N,""))</f>
        <v>7</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12" t="s">
        <v>105</v>
      </c>
      <c r="C3" s="312"/>
      <c r="D3" s="312"/>
      <c r="E3" s="312"/>
      <c r="F3" s="312"/>
      <c r="G3" s="312"/>
      <c r="H3" s="312"/>
      <c r="I3" s="312"/>
    </row>
    <row r="4" spans="1:9" s="7" customFormat="1" ht="17.399999999999999" customHeight="1" x14ac:dyDescent="0.3">
      <c r="A4" s="12"/>
      <c r="B4" s="286" t="s">
        <v>783</v>
      </c>
      <c r="C4" s="287"/>
      <c r="D4" s="287"/>
      <c r="E4" s="287"/>
      <c r="F4" s="287"/>
      <c r="G4" s="287"/>
      <c r="H4" s="287"/>
      <c r="I4" s="287"/>
    </row>
    <row r="5" spans="1:9" ht="18.600000000000001" customHeight="1" x14ac:dyDescent="0.3">
      <c r="A5" s="12" t="s">
        <v>106</v>
      </c>
      <c r="B5" s="341" t="s">
        <v>784</v>
      </c>
      <c r="C5" s="311"/>
      <c r="D5" s="311"/>
      <c r="E5" s="311"/>
      <c r="F5" s="311"/>
      <c r="G5" s="311"/>
      <c r="H5" s="311"/>
    </row>
    <row r="6" spans="1:9" x14ac:dyDescent="0.3">
      <c r="A6" s="12"/>
      <c r="B6" s="18"/>
      <c r="C6" s="282" t="s">
        <v>785</v>
      </c>
      <c r="D6" s="282"/>
      <c r="E6" s="282"/>
      <c r="F6" s="282"/>
      <c r="G6" s="282"/>
      <c r="H6" s="282"/>
      <c r="I6" s="282"/>
    </row>
    <row r="7" spans="1:9" ht="29.4" customHeight="1" x14ac:dyDescent="0.3">
      <c r="C7" s="317" t="s">
        <v>786</v>
      </c>
      <c r="D7" s="318"/>
      <c r="E7" s="318"/>
      <c r="F7" s="319"/>
      <c r="G7" s="42" t="s">
        <v>787</v>
      </c>
      <c r="H7" s="317" t="s">
        <v>710</v>
      </c>
      <c r="I7" s="319"/>
    </row>
    <row r="8" spans="1:9" s="58" customFormat="1" ht="31.95" customHeight="1" x14ac:dyDescent="0.3">
      <c r="A8" s="75"/>
      <c r="C8" s="249" t="s">
        <v>788</v>
      </c>
      <c r="D8" s="260"/>
      <c r="E8" s="260"/>
      <c r="F8" s="250"/>
      <c r="G8" s="63" t="str">
        <f>_xlfn.CONCAT(_xlfn.XLOOKUP("[S04_IEDProcedureRequirementsIntegratedYes][1][IntegrationYesNo]",Submission!$O:$O,Submission!$H:$N,""))</f>
        <v>No</v>
      </c>
      <c r="H8" s="261" t="str">
        <f>_xlfn.CONCAT(_xlfn.XLOOKUP("[S04_IEDProcedureRequirementsIntegratedYes][1][IntegrationComments]",Submission!$O:$O,Submission!$H:$N,""))</f>
        <v/>
      </c>
      <c r="I8" s="263"/>
    </row>
    <row r="9" spans="1:9" s="58" customFormat="1" ht="31.95" customHeight="1" x14ac:dyDescent="0.3">
      <c r="A9" s="75"/>
      <c r="C9" s="249" t="s">
        <v>789</v>
      </c>
      <c r="D9" s="275"/>
      <c r="E9" s="275"/>
      <c r="F9" s="276"/>
      <c r="G9" s="63" t="str">
        <f>_xlfn.CONCAT(_xlfn.XLOOKUP("[S04_IEDProcedureRequirementsIntegratedYes][2][IntegrationYesNo]",Submission!$O:$O,Submission!$H:$N,""))</f>
        <v>No</v>
      </c>
      <c r="H9" s="261" t="str">
        <f>_xlfn.CONCAT(_xlfn.XLOOKUP("[S04_IEDProcedureRequirementsIntegratedYes][2][IntegrationComments]",Submission!$O:$O,Submission!$H:$N,""))</f>
        <v/>
      </c>
      <c r="I9" s="263"/>
    </row>
    <row r="10" spans="1:9" s="58" customFormat="1" ht="31.95" customHeight="1" x14ac:dyDescent="0.3">
      <c r="A10" s="75"/>
      <c r="C10" s="249" t="s">
        <v>790</v>
      </c>
      <c r="D10" s="275"/>
      <c r="E10" s="275"/>
      <c r="F10" s="276"/>
      <c r="G10" s="63" t="str">
        <f>_xlfn.CONCAT(_xlfn.XLOOKUP("[S04_IEDProcedureRequirementsIntegratedYes][3][IntegrationYesNo]",Submission!$O:$O,Submission!$H:$N,""))</f>
        <v>Yes</v>
      </c>
      <c r="H10" s="261" t="str">
        <f>_xlfn.CONCAT(_xlfn.XLOOKUP("[S04_IEDProcedureRequirementsIntegratedYes][3][IntegrationComments]",Submission!$O:$O,Submission!$H:$N,""))</f>
        <v/>
      </c>
      <c r="I10" s="263"/>
    </row>
    <row r="11" spans="1:9" s="58" customFormat="1" ht="31.8" customHeight="1" x14ac:dyDescent="0.3">
      <c r="A11" s="75"/>
      <c r="C11" s="249" t="s">
        <v>791</v>
      </c>
      <c r="D11" s="260"/>
      <c r="E11" s="260"/>
      <c r="F11" s="250"/>
      <c r="G11" s="63" t="str">
        <f>_xlfn.CONCAT(_xlfn.XLOOKUP("[S04_IEDProcedureRequirementsIntegratedYes][4][IntegrationYesNo]",Submission!$O:$O,Submission!$H:$N,""))</f>
        <v>No</v>
      </c>
      <c r="H11" s="261" t="str">
        <f>_xlfn.CONCAT(_xlfn.XLOOKUP("[S04_IEDProcedureRequirementsIntegratedYes][4][IntegrationComments]",Submission!$O:$O,Submission!$H:$N,""))</f>
        <v/>
      </c>
      <c r="I11" s="263"/>
    </row>
    <row r="12" spans="1:9" s="58" customFormat="1" ht="31.95" customHeight="1" x14ac:dyDescent="0.3">
      <c r="A12" s="75"/>
      <c r="C12" s="249" t="s">
        <v>119</v>
      </c>
      <c r="D12" s="260"/>
      <c r="E12" s="260"/>
      <c r="F12" s="250"/>
      <c r="G12" s="63" t="str">
        <f>_xlfn.CONCAT(_xlfn.XLOOKUP("[S04_IEDProcedureRequirementsIntegratedYes][5][IntegrationYesNo]",Submission!$O:$O,Submission!$H:$N,""))</f>
        <v>No</v>
      </c>
      <c r="H12" s="261" t="str">
        <f>_xlfn.CONCAT(_xlfn.XLOOKUP("[S04_IEDProcedureRequirementsIntegratedYes][5][IntegrationComments]",Submission!$O:$O,Submission!$H:$N,""))</f>
        <v/>
      </c>
      <c r="I12" s="263"/>
    </row>
    <row r="13" spans="1:9" s="58" customFormat="1" ht="31.95" customHeight="1" x14ac:dyDescent="0.3">
      <c r="A13" s="75"/>
      <c r="C13" s="249" t="s">
        <v>792</v>
      </c>
      <c r="D13" s="275"/>
      <c r="E13" s="275"/>
      <c r="F13" s="276"/>
      <c r="G13" s="63" t="str">
        <f>_xlfn.CONCAT(_xlfn.XLOOKUP("[S04_IEDProcedureRequirementsIntegratedYes][6][IntegrationYesNo]",Submission!$O:$O,Submission!$H:$N,""))</f>
        <v>No</v>
      </c>
      <c r="H13" s="261" t="str">
        <f>_xlfn.CONCAT(_xlfn.XLOOKUP("[S04_IEDProcedureRequirementsIntegratedYes][6][IntegrationComments]",Submission!$O:$O,Submission!$H:$N,""))</f>
        <v/>
      </c>
      <c r="I13" s="263"/>
    </row>
    <row r="14" spans="1:9" s="58" customFormat="1" ht="31.95" customHeight="1" x14ac:dyDescent="0.3">
      <c r="A14" s="75"/>
      <c r="C14" s="249" t="s">
        <v>793</v>
      </c>
      <c r="D14" s="260"/>
      <c r="E14" s="260"/>
      <c r="F14" s="250"/>
      <c r="G14" s="63" t="str">
        <f>_xlfn.CONCAT(_xlfn.XLOOKUP("[S04_IEDProcedureRequirementsIntegratedYes][7][IntegrationYesNo]",Submission!$O:$O,Submission!$H:$N,""))</f>
        <v/>
      </c>
      <c r="H14" s="261" t="str">
        <f>_xlfn.CONCAT(_xlfn.XLOOKUP("[S04_IEDProcedureRequirementsIntegratedYes][7][IntegrationComments]",Submission!$O:$O,Submission!$H:$N,""))</f>
        <v/>
      </c>
      <c r="I14" s="263"/>
    </row>
    <row r="15" spans="1:9" s="58" customFormat="1" ht="31.95" customHeight="1" x14ac:dyDescent="0.3">
      <c r="A15" s="75"/>
      <c r="C15" s="249" t="s">
        <v>794</v>
      </c>
      <c r="D15" s="275"/>
      <c r="E15" s="275"/>
      <c r="F15" s="275"/>
      <c r="G15" s="63" t="str">
        <f>_xlfn.CONCAT(_xlfn.XLOOKUP("[S04_IEDProcedureRequirementsIntegratedYes][8][IntegrationYesNo]",Submission!$O:$O,Submission!$H:$N,""))</f>
        <v>Yes</v>
      </c>
      <c r="H15" s="261" t="str">
        <f>_xlfn.CONCAT(_xlfn.XLOOKUP("[S04_IEDProcedureRequirementsIntegratedYes][8][IntegrationComments]",Submission!$O:$O,Submission!$H:$N,""))</f>
        <v>Organ wydający pozwolenie zintegrowane jest tym samym organem wydającym zezwolenie na emisję gazów cieplarnianych. Organ ma obowiązek przy wydawaniu zezwolenia badać pozwolenie zintegrowane dołączone do wniosku o wydanie zezwolenia na emisję gazów cieplarnianych.</v>
      </c>
      <c r="I15" s="263"/>
    </row>
    <row r="16" spans="1:9" ht="19.5" customHeight="1" x14ac:dyDescent="0.3">
      <c r="C16" s="20"/>
      <c r="D16" s="20"/>
      <c r="E16" s="20"/>
      <c r="F16" s="20"/>
      <c r="G16" s="20"/>
      <c r="H16" s="20"/>
      <c r="I16" s="20"/>
    </row>
    <row r="17" spans="1:9" ht="36" customHeight="1" x14ac:dyDescent="0.3">
      <c r="A17" s="12" t="s">
        <v>123</v>
      </c>
      <c r="B17" s="310" t="s">
        <v>795</v>
      </c>
      <c r="C17" s="311"/>
      <c r="D17" s="311"/>
      <c r="E17" s="311"/>
      <c r="F17" s="311"/>
      <c r="G17" s="311"/>
      <c r="H17" s="311"/>
      <c r="I17" s="311"/>
    </row>
    <row r="18" spans="1:9" ht="15.9" customHeight="1" x14ac:dyDescent="0.3">
      <c r="C18" s="45" t="s">
        <v>129</v>
      </c>
      <c r="D18" s="141"/>
      <c r="E18" s="141"/>
      <c r="F18" s="141"/>
      <c r="G18" s="336" t="s">
        <v>796</v>
      </c>
      <c r="H18" s="336"/>
      <c r="I18" s="337"/>
    </row>
    <row r="19" spans="1:9" ht="15.9" customHeight="1" x14ac:dyDescent="0.3">
      <c r="C19" s="304" t="s">
        <v>130</v>
      </c>
      <c r="D19" s="335"/>
      <c r="E19" s="335"/>
      <c r="F19" s="350"/>
      <c r="G19" s="351" t="str">
        <f>_xlfn.CONCAT(_xlfn.XLOOKUP("[S04_NationalLawPermitUpdate][1][PermitUpdateNationalLawDetail]",Submission!$O:$O,Submission!$H:$N,""))</f>
        <v>Przepisy ustawy z dnia 12 czerwca 2015 r. o systemie handlu uprawnieniami do emisji gazów cieplarnianych (t.j. Dz.U. 2022 poz. 1092) nie przewidują możliwości cofnięcia zezwolenia. W przypadku cofnięcia pozwolenia zintegrowanego lub pozwolenia na wprowadzanie gazów lub pyłów do powietrza (przesłanki do cofnięcia określone zostały w ustawie z dnia 27 kwietnia 2001 r. Prawo ochrony środowiska (t.j. Dz. U. z 2021 r. poz. 1973 z późn. zm.), organ właściwy do wydania zezwolenia dokonuje analizy zezwolenia i jeżeli w wyniku dokonanych ustaleń stwierdzi ustanie przesłanek uczestnictwa instalacji w systemie handlu uprawnieniami do emisji gazów cieplarnianych, wszczyna z urzędu postępowanie w sprawie  wygaśnięcia zezwolenia.</v>
      </c>
      <c r="H19" s="352"/>
      <c r="I19" s="353"/>
    </row>
    <row r="20" spans="1:9" ht="15.9" customHeight="1" x14ac:dyDescent="0.3">
      <c r="C20" s="304" t="s">
        <v>797</v>
      </c>
      <c r="D20" s="335"/>
      <c r="E20" s="335"/>
      <c r="F20" s="350"/>
      <c r="G20" s="351" t="str">
        <f>_xlfn.CONCAT(_xlfn.XLOOKUP("[S04_NationalLawPermitUpdate][2][PermitUpdateNationalLawDetail]",Submission!$O:$O,Submission!$H:$N,""))</f>
        <v>Na podstawie art. 162 § 1 pkt 1 ustawy z dnia 14 czerwca 1960 r. Kodeks Postępowania Administracyjnego (t. j. Dz. U. z 2021 poz. 735, ze zm.), w zw. z art. 58 ust. 3 ustawy z dnia 12 czerwca 2015 r. o systemie handlu uprawnieniami do emisji gazów cieplarnianych, zezwolenie wygasa, gdy stało się bezprzedmiotowe, a stwierdzenie wygaśnięcia takiej decyzji nakazuje przepis prawa. Zgodnie z art. 58 ust. 1 ustawy z 2015 r., zezwolenie staje się bezprzedmiotowe, w przypadku gdy instalacja przestała spełniać kryteria uczestnictwa w systemie lub w przypadku określonym w art. 2 pkt 1 i 2, tj. gdy instalacja lub jej część stosowana jest do badania, rozwoju lub testowania nowych produktów i procesów technologicznych oraz gdy instalacja wykorzystuje wyłącznie biomasę lub instalacja jest instalacją spalania odpadów niebezpiecznych lub odpadów komunalnych. Zezwolenie może wygasnąć także w trybie art. 57 ustawy, tj. jeżeli na skutek zmiany, cofnięcia albo wygaśnięcia pozwolenia zintegrowanego lub pozwolenia na wprowadzanie gazów lub pyłów do powietrza, organ właściwy do wydania zezwolenia, po dokonaniu jego analizy, stwierdzi ustanie przesłanek uczestnictwa instalacji w systemie.</v>
      </c>
      <c r="H20" s="352"/>
      <c r="I20" s="353"/>
    </row>
    <row r="21" spans="1:9" ht="15.9" customHeight="1" x14ac:dyDescent="0.3">
      <c r="C21" s="304" t="s">
        <v>134</v>
      </c>
      <c r="D21" s="335"/>
      <c r="E21" s="335"/>
      <c r="F21" s="350"/>
      <c r="G21" s="351" t="str">
        <f>_xlfn.CONCAT(_xlfn.XLOOKUP("[S04_NationalLawPermitUpdate][3][PermitUpdateNationalLawDetail]",Submission!$O:$O,Submission!$H:$N,""))</f>
        <v>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v>
      </c>
      <c r="H21" s="352"/>
      <c r="I21" s="353"/>
    </row>
    <row r="22" spans="1:9" ht="15.9" customHeight="1" x14ac:dyDescent="0.3">
      <c r="C22" s="304" t="s">
        <v>136</v>
      </c>
      <c r="D22" s="335"/>
      <c r="E22" s="335"/>
      <c r="F22" s="350"/>
      <c r="G22" s="351" t="str">
        <f>_xlfn.CONCAT(_xlfn.XLOOKUP("[S04_NationalLawPermitUpdate][4][PermitUpdateNationalLawDetail]",Submission!$O:$O,Submission!$H:$N,""))</f>
        <v xml:space="preserve">W trybie art. 55 ust. 1 pkt 1 ustawy z dnia 12 czerwca 2015 r. o systemie handlu uprawieniami do emisji gazów cieplarnianych, na wniosek prowadzącego instalację, z którym powinien wystąpić w terminie 30 dni od dnia wystąpienia zmiany w instalacji skutkującej zmianą charakteru lub sposobu funkcjonowania instalacji. </v>
      </c>
      <c r="H22" s="352"/>
      <c r="I22" s="353"/>
    </row>
    <row r="23" spans="1:9" ht="15.9" customHeight="1" x14ac:dyDescent="0.3">
      <c r="C23" s="304" t="s">
        <v>138</v>
      </c>
      <c r="D23" s="335"/>
      <c r="E23" s="335"/>
      <c r="F23" s="350"/>
      <c r="G23" s="351" t="str">
        <f>_xlfn.CONCAT(_xlfn.XLOOKUP("[S04_NationalLawPermitUpdate][5][PermitUpdateNationalLawDetail]",Submission!$O:$O,Submission!$H:$N,""))</f>
        <v>W trybie art. 55 ust. 1 pkt 5 ustawy z dnia 12 czerwca 2015 r. o systemie handlu uprawieniami do emisji gazów cieplarnianych, prowadzący instalację jest obowiązany wystąpić z wnioskiem o zmianę zezwolenia w przypadku  zaistnienia zdarzenia powodującego konieczność zmiany planu monitorowania wielkości emisji, jeżeli zmiana ta ma charakter zmiany istotnej w rozumieniu art. 15 ust. 3 rozporządzenia Komisji (UE) 2018/2066 (Rozporządzenie Wykonawcze Komisji (UE) 2018/2066 z dnia 19 grudnia 2018 r. w sprawie monitorowania i raportowania w zakresie emisji gazów cieplarnianych na podstawie dyrektywy 2003/87/WE Parlamentu Europejskiego i Rady oraz zmieniające rozporządzenie Komisji (UE) nr 601/2012).
Prowadzący instalację jest obowiązany wystąpić z wnioskiem o zmianę zezwolenia przed wprowadzeniem planowanych zmian, a jeżeli zmian tych nie dało się zaplanować - niezwłocznie po ich wprowadzeniu.
Zgodnie z art. 14 ust. 2 rozporządzenia Komisji (UE) Nr 2018/2066, prowadzący instalację lub operator statku powietrznego zmienia plan monitorowania w przypadku: a) wystąpienia nowych emisji spowodowanych nowymi rodzajami działalności lub użyciem nowych paliw bądź materiałów, nieuwzględnionych jeszcze w planie monitorowania; b) zmiany dostępności danych spowodowanej użyciem nowych typów przyrządów pomiarowych, metod pobierania próbek lub metod analitycznych bądź innymi przyczynami, prowadzącej do większej dokładności w wyznaczaniu wielkości emisji; c) stwierdzenia nieprawidłowości danych uzyskanych przy zastosowaniu dotychczasowej metodyki monitorowania; d) zmiany w planie monitorowania skutkującej poprawą dokładności zgłaszanych danych, chyba że nie jest to technicznie wykonalne lub prowadzi do nieracjonalnych kosztów; e) plan monitorowania nie jest zgodny z wymogami niniejszego rozporządzenia a właściwy organ zażądał od prowadzącego instalacje lub operatora statku powietrznego wprowadzenia zmian w takim planie; f) konieczna jest odpowiedź na sugestie dotyczące udoskonaleń planu monitorowania zawarte w sprawozdaniu z weryfikacji.</v>
      </c>
      <c r="H23" s="352"/>
      <c r="I23" s="353"/>
    </row>
    <row r="24" spans="1:9" ht="15.9" customHeight="1" x14ac:dyDescent="0.3">
      <c r="C24" s="304" t="s">
        <v>798</v>
      </c>
      <c r="D24" s="335"/>
      <c r="E24" s="335"/>
      <c r="F24" s="350"/>
      <c r="G24" s="351" t="str">
        <f>_xlfn.CONCAT(_xlfn.XLOOKUP("[S04_NationalLawPermitUpdate][6][PermitUpdateNationalLawDetail]",Submission!$O:$O,Submission!$H:$N,""))</f>
        <v>Zgodnie z art. 55 ust. 1 pkt 2, 3 i 4 ustawy z dnia 12 czerwca 2015 r. o systemie handlu uprawnieniami do emisji gazów cieplarnianych zmiana zezwolenia jest wymagana w przypadku (i) zmiany nazwy, pod którą prowadzący instalację prowadzi działalność, (ii) zmiany prowadzącego instalację i (iii) w przypadku łączenia albo podziału instalacji. Zmiana dokonywana jest na wniosek prowadzącego instalację, z którym powinien on wystąpić w terminie 30 dni od dnia wystąpienia zmiany. 
Ponadto, zgodnie z art. 56 ust. 1 i 4 ww. ustawy organ właściwy do wydania zezwolenia wszczyna z urzędu postępowanie w sprawie zmiany zezwolenia jeśli potrzeba zmiany pojawiła się w wyniku analizy tego zezwolenia spowodowanej zmianą pozwolenia zintegrowanego lub pozwolenia na wprowadzanie gazów lub pyłów do powietrza. Przy czym, jeżeli zmiana dotyczy planu monitorowania wielkości emisji lub planu poboru próbek, organ wzywa prowadzącego instalację do przedłożenia zmienionego planu monitorowania wielkości emisji lub planu poboru próbek. 
 Krajowy ośrodek dokonuje analizy planu monitorowania wielkości emisji lub planu poboru próbek oraz informuje organ właściwy do wydania zezwolenia o stwierdzonych nieprawidłowościach i przypadkach niezgodności z przepisami rozporządzenia Komisji (UE) 2018/2066. Organ właściwy do wydania zezwolenia dokonuje oceny informacji przekazanej przez Krajowy ośrodek i w przypadku stwierdzenia potrzeby zmiany zezwolenia, wszczyna z urzędu postępowanie w sprawie zmiany zezwolenia i w toku tego postępowania wydaje decyzję ws. zmiany zezwolenia.</v>
      </c>
      <c r="H24" s="352"/>
      <c r="I24" s="353"/>
    </row>
    <row r="25" spans="1:9" ht="15.9" hidden="1" customHeight="1" outlineLevel="1" x14ac:dyDescent="0.3">
      <c r="C25" s="304" t="s">
        <v>799</v>
      </c>
      <c r="D25" s="335"/>
      <c r="E25" s="335"/>
      <c r="F25" s="350"/>
      <c r="G25" s="351" t="str">
        <f>_xlfn.CONCAT(_xlfn.XLOOKUP("[S04_NationalLawPermitUpdate][7][PermitUpdateNationalLawDetail]",Submission!$O:$O,Submission!$H:$N,""))</f>
        <v/>
      </c>
      <c r="H25" s="352"/>
      <c r="I25" s="353"/>
    </row>
    <row r="26" spans="1:9" ht="15.9" hidden="1" customHeight="1" outlineLevel="1" x14ac:dyDescent="0.3">
      <c r="C26" s="304" t="s">
        <v>800</v>
      </c>
      <c r="D26" s="335"/>
      <c r="E26" s="335"/>
      <c r="F26" s="350"/>
      <c r="G26" s="351" t="str">
        <f>_xlfn.CONCAT(_xlfn.XLOOKUP("[S04_NationalLawPermitUpdate][8][PermitUpdateNationalLawDetail]",Submission!$O:$O,Submission!$H:$N,""))</f>
        <v/>
      </c>
      <c r="H26" s="352"/>
      <c r="I26" s="353"/>
    </row>
    <row r="27" spans="1:9" ht="15.9" hidden="1" customHeight="1" outlineLevel="1" x14ac:dyDescent="0.3">
      <c r="C27" s="304" t="s">
        <v>801</v>
      </c>
      <c r="D27" s="335"/>
      <c r="E27" s="335"/>
      <c r="F27" s="350"/>
      <c r="G27" s="351" t="str">
        <f>_xlfn.CONCAT(_xlfn.XLOOKUP("[S04_NationalLawPermitUpdate][9][PermitUpdateNationalLawDetail]",Submission!$O:$O,Submission!$H:$N,""))</f>
        <v/>
      </c>
      <c r="H27" s="352"/>
      <c r="I27" s="353"/>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8" t="s">
        <v>803</v>
      </c>
      <c r="C30" s="279"/>
      <c r="D30" s="279"/>
      <c r="E30" s="279"/>
      <c r="F30" s="279"/>
      <c r="G30" s="279"/>
      <c r="H30" s="279"/>
      <c r="I30" s="279"/>
    </row>
    <row r="31" spans="1:9" ht="15.9" customHeight="1" x14ac:dyDescent="0.3">
      <c r="B31" s="11"/>
      <c r="C31" s="317" t="s">
        <v>804</v>
      </c>
      <c r="D31" s="318"/>
      <c r="E31" s="318"/>
      <c r="F31" s="318"/>
      <c r="G31" s="319"/>
      <c r="H31" s="354" t="str">
        <f>_xlfn.CONCAT(_xlfn.XLOOKUP("[PermitUpdateTotalNumber][0][PermitUpdateTotalNumber]",Submission!$O:$O,Submission!$H:$N,""))</f>
        <v>545</v>
      </c>
      <c r="I31" s="355"/>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8" t="s">
        <v>805</v>
      </c>
      <c r="C3" s="388"/>
      <c r="D3" s="388"/>
      <c r="E3" s="388"/>
      <c r="F3" s="388"/>
      <c r="G3" s="388"/>
      <c r="H3" s="388"/>
      <c r="I3" s="388"/>
    </row>
    <row r="4" spans="1:9" s="7" customFormat="1" ht="18" x14ac:dyDescent="0.35">
      <c r="A4" s="85" t="s">
        <v>806</v>
      </c>
      <c r="B4" s="313" t="s">
        <v>145</v>
      </c>
      <c r="C4" s="313"/>
      <c r="D4" s="313"/>
      <c r="E4" s="313"/>
      <c r="F4" s="313"/>
      <c r="G4" s="313"/>
      <c r="H4" s="313"/>
      <c r="I4" s="314"/>
    </row>
    <row r="5" spans="1:9" s="7" customFormat="1" ht="15.9" customHeight="1" x14ac:dyDescent="0.3">
      <c r="A5" s="30" t="s">
        <v>146</v>
      </c>
      <c r="B5" s="398" t="s">
        <v>807</v>
      </c>
      <c r="C5" s="399"/>
      <c r="D5" s="399"/>
      <c r="E5" s="399"/>
      <c r="F5" s="399"/>
      <c r="G5" s="399"/>
      <c r="H5" s="399"/>
      <c r="I5" s="399"/>
    </row>
    <row r="6" spans="1:9" s="7" customFormat="1" ht="15.9" customHeight="1" x14ac:dyDescent="0.3">
      <c r="B6" s="392" t="s">
        <v>808</v>
      </c>
      <c r="C6" s="393"/>
      <c r="D6" s="393"/>
      <c r="E6" s="393"/>
      <c r="F6" s="393"/>
      <c r="G6" s="393"/>
      <c r="H6" s="394"/>
      <c r="I6" s="41" t="str">
        <f>_xlfn.CONCAT(_xlfn.XLOOKUP("[AdditionalNationalLegislation][0][AdditionalNationalLegislation]",Submission!$O:$O,Submission!$H:$N,""))</f>
        <v>Yes</v>
      </c>
    </row>
    <row r="7" spans="1:9" s="7" customFormat="1" ht="17.399999999999999" customHeight="1" x14ac:dyDescent="0.3">
      <c r="B7" s="267" t="s">
        <v>809</v>
      </c>
      <c r="C7" s="268"/>
      <c r="D7" s="268"/>
      <c r="E7" s="268"/>
      <c r="F7" s="268"/>
      <c r="G7" s="268"/>
      <c r="H7" s="268"/>
      <c r="I7" s="268"/>
    </row>
    <row r="8" spans="1:9" s="7" customFormat="1" ht="27" customHeight="1" x14ac:dyDescent="0.3">
      <c r="A8" s="8"/>
      <c r="C8" s="261" t="str">
        <f>_xlfn.CONCAT(_xlfn.XLOOKUP("[AdditionalNationalLegislationDetail][0][AdditionalNationalLegislationDetail]",Submission!$O:$O,Submission!$H:$N,""))</f>
        <v>Obwieszczenie Marszałka Sejmu Rzeczypospolitej Polskiej z dnia 7 kwietnia 2022 r. w sprawie ogłoszenia jednolitego tekstu ustawy o systemie handlu uprawnieniami do emisji gazów cieplarnianych (t.j. Dz.U. 2022 poz. 1092).</v>
      </c>
      <c r="D8" s="372"/>
      <c r="E8" s="372"/>
      <c r="F8" s="372"/>
      <c r="G8" s="372"/>
      <c r="H8" s="372"/>
      <c r="I8" s="262"/>
    </row>
    <row r="9" spans="1:9" s="7" customFormat="1" ht="14.4" x14ac:dyDescent="0.3">
      <c r="A9" s="8"/>
      <c r="D9" s="31"/>
      <c r="E9" s="31"/>
      <c r="F9" s="31"/>
      <c r="G9" s="31"/>
      <c r="H9" s="31"/>
      <c r="I9" s="31"/>
    </row>
    <row r="10" spans="1:9" s="7" customFormat="1" ht="15.9" customHeight="1" x14ac:dyDescent="0.3">
      <c r="A10" s="30"/>
      <c r="B10" s="392" t="s">
        <v>810</v>
      </c>
      <c r="C10" s="393"/>
      <c r="D10" s="393"/>
      <c r="E10" s="393"/>
      <c r="F10" s="393"/>
      <c r="G10" s="393"/>
      <c r="H10" s="394"/>
      <c r="I10" s="41" t="str">
        <f>_xlfn.CONCAT(_xlfn.XLOOKUP("[AdditionalNationalGuidance][0][AdditionalNationalGuidance]",Submission!$O:$O,Submission!$H:$N,""))</f>
        <v>No</v>
      </c>
    </row>
    <row r="11" spans="1:9" s="7" customFormat="1" ht="17.399999999999999" customHeight="1" x14ac:dyDescent="0.3">
      <c r="A11" s="30"/>
      <c r="B11" s="267" t="s">
        <v>811</v>
      </c>
      <c r="C11" s="268"/>
      <c r="D11" s="268"/>
      <c r="E11" s="268"/>
      <c r="F11" s="268"/>
      <c r="G11" s="268"/>
      <c r="H11" s="268"/>
      <c r="I11" s="268"/>
    </row>
    <row r="12" spans="1:9" s="7" customFormat="1" ht="15" customHeight="1" x14ac:dyDescent="0.3">
      <c r="A12" s="8"/>
      <c r="C12" s="261" t="str">
        <f>_xlfn.CONCAT(_xlfn.XLOOKUP("[AdditionalNationalGuidanceDetail][0][AdditionalNationalGuidanceDetail]",Submission!$O:$O,Submission!$H:$N,""))</f>
        <v/>
      </c>
      <c r="D12" s="372"/>
      <c r="E12" s="372"/>
      <c r="F12" s="372"/>
      <c r="G12" s="372"/>
      <c r="H12" s="372"/>
      <c r="I12" s="262"/>
    </row>
    <row r="13" spans="1:9" ht="18" customHeight="1" x14ac:dyDescent="0.3">
      <c r="A13" s="145" t="s">
        <v>152</v>
      </c>
      <c r="B13" s="395" t="s">
        <v>812</v>
      </c>
      <c r="C13" s="396"/>
      <c r="D13" s="396"/>
      <c r="E13" s="396"/>
      <c r="F13" s="396"/>
      <c r="G13" s="396"/>
      <c r="H13" s="396"/>
      <c r="I13" s="396"/>
    </row>
    <row r="14" spans="1:9" ht="37.200000000000003" customHeight="1" x14ac:dyDescent="0.3">
      <c r="A14" s="12"/>
      <c r="B14" s="278" t="s">
        <v>813</v>
      </c>
      <c r="C14" s="279"/>
      <c r="D14" s="279"/>
      <c r="E14" s="279"/>
      <c r="F14" s="279"/>
      <c r="G14" s="279"/>
      <c r="H14" s="279"/>
      <c r="I14" s="279"/>
    </row>
    <row r="15" spans="1:9" ht="15.9" customHeight="1" x14ac:dyDescent="0.3">
      <c r="A15" s="13"/>
      <c r="C15" s="374" t="s">
        <v>814</v>
      </c>
      <c r="D15" s="374"/>
      <c r="E15" s="374"/>
      <c r="F15" s="374"/>
      <c r="G15" s="42" t="s">
        <v>709</v>
      </c>
      <c r="H15" s="374" t="s">
        <v>710</v>
      </c>
      <c r="I15" s="374"/>
    </row>
    <row r="16" spans="1:9" s="58" customFormat="1" ht="32.4" customHeight="1" x14ac:dyDescent="0.3">
      <c r="C16" s="385" t="s">
        <v>815</v>
      </c>
      <c r="D16" s="385"/>
      <c r="E16" s="385"/>
      <c r="F16" s="385"/>
      <c r="G16" s="47" t="str">
        <f>_xlfn.CONCAT(_xlfn.XLOOKUP("[MeasuresStreamline][1][MeasuresStreamlineYesNo]",Submission!$O:$O,Submission!$H:$N,""))</f>
        <v>Yes</v>
      </c>
      <c r="H16" s="397" t="str">
        <f>_xlfn.CONCAT(_xlfn.XLOOKUP("[MeasuresStreamline][1][MeasuresStreamlineComments]",Submission!$O:$O,Submission!$H:$N,""))</f>
        <v/>
      </c>
      <c r="I16" s="397"/>
    </row>
    <row r="17" spans="1:9" s="58" customFormat="1" ht="32.4" customHeight="1" x14ac:dyDescent="0.3">
      <c r="C17" s="385" t="s">
        <v>816</v>
      </c>
      <c r="D17" s="385"/>
      <c r="E17" s="385"/>
      <c r="F17" s="385"/>
      <c r="G17" s="47" t="str">
        <f>_xlfn.CONCAT(_xlfn.XLOOKUP("[MeasuresStreamline][2][MeasuresStreamlineYesNo]",Submission!$O:$O,Submission!$H:$N,""))</f>
        <v>No</v>
      </c>
      <c r="H17" s="397" t="str">
        <f>_xlfn.CONCAT(_xlfn.XLOOKUP("[MeasuresStreamline][2][MeasuresStreamlineComments]",Submission!$O:$O,Submission!$H:$N,""))</f>
        <v/>
      </c>
      <c r="I17" s="397"/>
    </row>
    <row r="18" spans="1:9" s="58" customFormat="1" ht="32.4" customHeight="1" x14ac:dyDescent="0.3">
      <c r="C18" s="385" t="s">
        <v>817</v>
      </c>
      <c r="D18" s="385"/>
      <c r="E18" s="385"/>
      <c r="F18" s="385"/>
      <c r="G18" s="47" t="str">
        <f>_xlfn.CONCAT(_xlfn.XLOOKUP("[MeasuresStreamline][3][MeasuresStreamlineYesNo]",Submission!$O:$O,Submission!$H:$N,""))</f>
        <v>No</v>
      </c>
      <c r="H18" s="397" t="str">
        <f>_xlfn.CONCAT(_xlfn.XLOOKUP("[MeasuresStreamline][3][MeasuresStreamlineComments]",Submission!$O:$O,Submission!$H:$N,""))</f>
        <v/>
      </c>
      <c r="I18" s="397"/>
    </row>
    <row r="19" spans="1:9" s="58" customFormat="1" ht="32.4" customHeight="1" x14ac:dyDescent="0.3">
      <c r="C19" s="385" t="s">
        <v>818</v>
      </c>
      <c r="D19" s="385"/>
      <c r="E19" s="385"/>
      <c r="F19" s="385"/>
      <c r="G19" s="47" t="str">
        <f>_xlfn.CONCAT(_xlfn.XLOOKUP("[MeasuresStreamline][4][MeasuresStreamlineYesNo]",Submission!$O:$O,Submission!$H:$N,""))</f>
        <v>No</v>
      </c>
      <c r="H19" s="397" t="str">
        <f>_xlfn.CONCAT(_xlfn.XLOOKUP("[MeasuresStreamline][4][MeasuresStreamlineComments]",Submission!$O:$O,Submission!$H:$N,""))</f>
        <v/>
      </c>
      <c r="I19" s="397"/>
    </row>
    <row r="20" spans="1:9" s="58" customFormat="1" ht="32.4" customHeight="1" x14ac:dyDescent="0.3">
      <c r="C20" s="385" t="s">
        <v>819</v>
      </c>
      <c r="D20" s="385"/>
      <c r="E20" s="385"/>
      <c r="F20" s="385"/>
      <c r="G20" s="47" t="str">
        <f>_xlfn.CONCAT(_xlfn.XLOOKUP("[MeasuresStreamline][5][MeasuresStreamlineYesNo]",Submission!$O:$O,Submission!$H:$N,""))</f>
        <v>No</v>
      </c>
      <c r="H20" s="397" t="str">
        <f>_xlfn.CONCAT(_xlfn.XLOOKUP("[MeasuresStreamline][5][MeasuresStreamlineComments]",Submission!$O:$O,Submission!$H:$N,""))</f>
        <v/>
      </c>
      <c r="I20" s="397"/>
    </row>
    <row r="21" spans="1:9" s="58" customFormat="1" ht="32.4" customHeight="1" x14ac:dyDescent="0.3">
      <c r="C21" s="385" t="s">
        <v>820</v>
      </c>
      <c r="D21" s="385"/>
      <c r="E21" s="385"/>
      <c r="F21" s="385"/>
      <c r="G21" s="47" t="str">
        <f>_xlfn.CONCAT(_xlfn.XLOOKUP("[MeasuresStreamline][6][MeasuresStreamlineYesNo]",Submission!$O:$O,Submission!$H:$N,""))</f>
        <v>No</v>
      </c>
      <c r="H21" s="397" t="str">
        <f>_xlfn.CONCAT(_xlfn.XLOOKUP("[MeasuresStreamline][6][MeasuresStreamlineComments]",Submission!$O:$O,Submission!$H:$N,""))</f>
        <v/>
      </c>
      <c r="I21" s="397"/>
    </row>
    <row r="22" spans="1:9" s="58" customFormat="1" ht="32.4" customHeight="1" x14ac:dyDescent="0.3">
      <c r="A22" s="75"/>
      <c r="C22" s="249" t="s">
        <v>821</v>
      </c>
      <c r="D22" s="275"/>
      <c r="E22" s="275"/>
      <c r="F22" s="276"/>
      <c r="G22" s="47" t="str">
        <f>_xlfn.CONCAT(_xlfn.XLOOKUP("[MeasuresStreamline][7][MeasuresStreamlineYesNo]",Submission!$O:$O,Submission!$H:$N,""))</f>
        <v>No</v>
      </c>
      <c r="H22" s="397" t="str">
        <f>_xlfn.CONCAT(_xlfn.XLOOKUP("[MeasuresStreamline][7][MeasuresStreamlineComments]",Submission!$O:$O,Submission!$H:$N,""))</f>
        <v/>
      </c>
      <c r="I22" s="397"/>
    </row>
    <row r="23" spans="1:9" ht="15.9" customHeight="1" x14ac:dyDescent="0.3">
      <c r="C23" s="32"/>
      <c r="D23" s="32"/>
      <c r="E23" s="32"/>
      <c r="H23" s="32"/>
      <c r="I23" s="32"/>
    </row>
    <row r="24" spans="1:9" ht="15.6" customHeight="1" x14ac:dyDescent="0.3">
      <c r="A24" s="145" t="s">
        <v>169</v>
      </c>
      <c r="B24" s="395" t="s">
        <v>822</v>
      </c>
      <c r="C24" s="396"/>
      <c r="D24" s="396"/>
      <c r="E24" s="396"/>
      <c r="F24" s="396"/>
      <c r="G24" s="396"/>
      <c r="H24" s="396"/>
      <c r="I24" s="396"/>
    </row>
    <row r="25" spans="1:9" ht="36.6" customHeight="1" x14ac:dyDescent="0.3">
      <c r="A25" s="12"/>
      <c r="B25" s="341" t="s">
        <v>823</v>
      </c>
      <c r="C25" s="311"/>
      <c r="D25" s="311"/>
      <c r="E25" s="311"/>
      <c r="F25" s="311"/>
      <c r="G25" s="311"/>
      <c r="H25" s="348"/>
      <c r="I25" s="47" t="str">
        <f>_xlfn.CONCAT(_xlfn.XLOOKUP("[CommissionTemplatesMRR][0][CommissionTemplatesMRR]",Submission!$O:$O,Submission!$H:$N,""))</f>
        <v>Yes</v>
      </c>
    </row>
    <row r="26" spans="1:9" s="7" customFormat="1" ht="36.6" customHeight="1" x14ac:dyDescent="0.3">
      <c r="A26" s="30"/>
      <c r="B26" s="267" t="s">
        <v>824</v>
      </c>
      <c r="C26" s="268"/>
      <c r="D26" s="268"/>
      <c r="E26" s="268"/>
      <c r="F26" s="268"/>
      <c r="G26" s="268"/>
      <c r="H26" s="268"/>
      <c r="I26" s="268"/>
    </row>
    <row r="27" spans="1:9" ht="28.95" customHeight="1" x14ac:dyDescent="0.3">
      <c r="C27" s="333"/>
      <c r="D27" s="389"/>
      <c r="E27" s="390"/>
      <c r="F27" s="317" t="s">
        <v>825</v>
      </c>
      <c r="G27" s="319"/>
      <c r="H27" s="317" t="s">
        <v>826</v>
      </c>
      <c r="I27" s="319"/>
    </row>
    <row r="28" spans="1:9" ht="15.9" customHeight="1" x14ac:dyDescent="0.3">
      <c r="C28" s="254" t="s">
        <v>827</v>
      </c>
      <c r="D28" s="260"/>
      <c r="E28" s="250"/>
      <c r="F28" s="277" t="str">
        <f>_xlfn.CONCAT(_xlfn.XLOOKUP("[S05_MSCustomisedTemplatesMRR1][1][SpecificTemplateOrFileFormat]",Submission!$O:$O,Submission!$H:$N,""))</f>
        <v/>
      </c>
      <c r="G28" s="367"/>
      <c r="H28" s="391" t="str">
        <f>_xlfn.CONCAT(_xlfn.XLOOKUP("[S05_MSCustomisedTemplatesMRR1][1][HowTemplateSpecific]",Submission!$O:$O,Submission!$H:$N,""))</f>
        <v/>
      </c>
      <c r="I28" s="391"/>
    </row>
    <row r="29" spans="1:9" ht="15.9" customHeight="1" x14ac:dyDescent="0.3">
      <c r="C29" s="254" t="s">
        <v>828</v>
      </c>
      <c r="D29" s="260"/>
      <c r="E29" s="250"/>
      <c r="F29" s="277" t="str">
        <f>_xlfn.CONCAT(_xlfn.XLOOKUP("[S05_MSCustomisedTemplatesMRR1][2][SpecificTemplateOrFileFormat]",Submission!$O:$O,Submission!$H:$N,""))</f>
        <v>Member State specific template</v>
      </c>
      <c r="G29" s="367"/>
      <c r="H29" s="391" t="str">
        <f>_xlfn.CONCAT(_xlfn.XLOOKUP("[S05_MSCustomisedTemplatesMRR1][2][HowTemplateSpecific]",Submission!$O:$O,Submission!$H:$N,""))</f>
        <v>formularz KE uzupełniony o dane dotyczące produkcji</v>
      </c>
      <c r="I29" s="391"/>
    </row>
    <row r="30" spans="1:9" ht="15.9" customHeight="1" x14ac:dyDescent="0.3">
      <c r="C30" s="254" t="s">
        <v>829</v>
      </c>
      <c r="D30" s="260"/>
      <c r="E30" s="250"/>
      <c r="F30" s="277" t="str">
        <f>_xlfn.CONCAT(_xlfn.XLOOKUP("[S05_MSCustomisedTemplatesMRR1][3][SpecificTemplateOrFileFormat]",Submission!$O:$O,Submission!$H:$N,""))</f>
        <v/>
      </c>
      <c r="G30" s="367"/>
      <c r="H30" s="391" t="str">
        <f>_xlfn.CONCAT(_xlfn.XLOOKUP("[S05_MSCustomisedTemplatesMRR1][3][HowTemplateSpecific]",Submission!$O:$O,Submission!$H:$N,""))</f>
        <v/>
      </c>
      <c r="I30" s="391"/>
    </row>
    <row r="31" spans="1:9" ht="15.9" customHeight="1" x14ac:dyDescent="0.3">
      <c r="C31" s="254" t="s">
        <v>830</v>
      </c>
      <c r="D31" s="260"/>
      <c r="E31" s="250"/>
      <c r="F31" s="277" t="str">
        <f>_xlfn.CONCAT(_xlfn.XLOOKUP("[S05_MSCustomisedTemplatesMRR1][4][SpecificTemplateOrFileFormat]",Submission!$O:$O,Submission!$H:$N,""))</f>
        <v/>
      </c>
      <c r="G31" s="367"/>
      <c r="H31" s="391" t="str">
        <f>_xlfn.CONCAT(_xlfn.XLOOKUP("[S05_MSCustomisedTemplatesMRR1][4][HowTemplateSpecific]",Submission!$O:$O,Submission!$H:$N,""))</f>
        <v/>
      </c>
      <c r="I31" s="391"/>
    </row>
    <row r="32" spans="1:9" ht="15.9" customHeight="1" x14ac:dyDescent="0.3">
      <c r="C32" s="347" t="s">
        <v>831</v>
      </c>
      <c r="D32" s="347"/>
      <c r="E32" s="347"/>
      <c r="F32" s="347"/>
      <c r="G32" s="347"/>
      <c r="H32" s="347"/>
      <c r="I32" s="347"/>
    </row>
    <row r="33" spans="1:9" ht="15.9" customHeight="1" x14ac:dyDescent="0.3">
      <c r="B33" s="14"/>
      <c r="C33" s="14"/>
      <c r="D33" s="14"/>
      <c r="E33" s="14"/>
      <c r="F33" s="14"/>
      <c r="G33" s="14"/>
      <c r="H33" s="14"/>
      <c r="I33" s="14"/>
    </row>
    <row r="34" spans="1:9" ht="26.1" customHeight="1" x14ac:dyDescent="0.3">
      <c r="C34" s="333"/>
      <c r="D34" s="389"/>
      <c r="E34" s="390"/>
      <c r="F34" s="317" t="s">
        <v>832</v>
      </c>
      <c r="G34" s="319"/>
      <c r="H34" s="317" t="s">
        <v>826</v>
      </c>
      <c r="I34" s="319"/>
    </row>
    <row r="35" spans="1:9" ht="15.9" customHeight="1" x14ac:dyDescent="0.3">
      <c r="C35" s="254" t="s">
        <v>833</v>
      </c>
      <c r="D35" s="260"/>
      <c r="E35" s="250"/>
      <c r="F35" s="277" t="str">
        <f>_xlfn.CONCAT(_xlfn.XLOOKUP("[S05_MSCustomisedTemplatesMRR2][1][SpecificTemplateOrFileFormat]",Submission!$O:$O,Submission!$H:$N,""))</f>
        <v/>
      </c>
      <c r="G35" s="367"/>
      <c r="H35" s="391" t="str">
        <f>_xlfn.CONCAT(_xlfn.XLOOKUP("[S05_MSCustomisedTemplatesMRR2][1][HowTemplateSpecific]",Submission!$O:$O,Submission!$H:$N,""))</f>
        <v/>
      </c>
      <c r="I35" s="391"/>
    </row>
    <row r="36" spans="1:9" ht="15.9" customHeight="1" x14ac:dyDescent="0.3">
      <c r="C36" s="254" t="s">
        <v>834</v>
      </c>
      <c r="D36" s="260"/>
      <c r="E36" s="250"/>
      <c r="F36" s="277" t="str">
        <f>_xlfn.CONCAT(_xlfn.XLOOKUP("[S05_MSCustomisedTemplatesMRR2][2][SpecificTemplateOrFileFormat]",Submission!$O:$O,Submission!$H:$N,""))</f>
        <v/>
      </c>
      <c r="G36" s="367"/>
      <c r="H36" s="391" t="str">
        <f>_xlfn.CONCAT(_xlfn.XLOOKUP("[S05_MSCustomisedTemplatesMRR2][2][HowTemplateSpecific]",Submission!$O:$O,Submission!$H:$N,""))</f>
        <v/>
      </c>
      <c r="I36" s="391"/>
    </row>
    <row r="37" spans="1:9" ht="15.9" customHeight="1" x14ac:dyDescent="0.3">
      <c r="C37" s="254" t="s">
        <v>835</v>
      </c>
      <c r="D37" s="260"/>
      <c r="E37" s="250"/>
      <c r="F37" s="277" t="str">
        <f>_xlfn.CONCAT(_xlfn.XLOOKUP("[S05_MSCustomisedTemplatesMRR2][3][SpecificTemplateOrFileFormat]",Submission!$O:$O,Submission!$H:$N,""))</f>
        <v/>
      </c>
      <c r="G37" s="367"/>
      <c r="H37" s="391" t="str">
        <f>_xlfn.CONCAT(_xlfn.XLOOKUP("[S05_MSCustomisedTemplatesMRR2][3][HowTemplateSpecific]",Submission!$O:$O,Submission!$H:$N,""))</f>
        <v/>
      </c>
      <c r="I37" s="391"/>
    </row>
    <row r="38" spans="1:9" ht="15.9" customHeight="1" x14ac:dyDescent="0.3">
      <c r="C38" s="254" t="s">
        <v>836</v>
      </c>
      <c r="D38" s="260"/>
      <c r="E38" s="250"/>
      <c r="F38" s="277" t="str">
        <f>_xlfn.CONCAT(_xlfn.XLOOKUP("[S05_MSCustomisedTemplatesMRR2][4][SpecificTemplateOrFileFormat]",Submission!$O:$O,Submission!$H:$N,""))</f>
        <v/>
      </c>
      <c r="G38" s="367"/>
      <c r="H38" s="391" t="str">
        <f>_xlfn.CONCAT(_xlfn.XLOOKUP("[S05_MSCustomisedTemplatesMRR2][4][HowTemplateSpecific]",Submission!$O:$O,Submission!$H:$N,""))</f>
        <v/>
      </c>
      <c r="I38" s="391"/>
    </row>
    <row r="39" spans="1:9" ht="15.9" customHeight="1" x14ac:dyDescent="0.3">
      <c r="C39" s="347" t="s">
        <v>837</v>
      </c>
      <c r="D39" s="347"/>
      <c r="E39" s="347"/>
      <c r="F39" s="347"/>
      <c r="G39" s="347"/>
      <c r="H39" s="347"/>
      <c r="I39" s="347"/>
    </row>
    <row r="40" spans="1:9" s="10" customFormat="1" ht="14.4" x14ac:dyDescent="0.3">
      <c r="A40" s="9"/>
      <c r="C40" s="20"/>
      <c r="D40" s="24"/>
      <c r="E40" s="24"/>
      <c r="F40" s="24"/>
      <c r="G40" s="24"/>
      <c r="H40" s="24"/>
      <c r="I40" s="24"/>
    </row>
    <row r="41" spans="1:9" ht="18" customHeight="1" x14ac:dyDescent="0.3">
      <c r="A41" s="13"/>
      <c r="B41" s="278" t="s">
        <v>838</v>
      </c>
      <c r="C41" s="279"/>
      <c r="D41" s="279"/>
      <c r="E41" s="279"/>
      <c r="F41" s="279"/>
      <c r="G41" s="279"/>
      <c r="H41" s="279"/>
      <c r="I41" s="279"/>
    </row>
    <row r="42" spans="1:9" ht="15.9" customHeight="1" x14ac:dyDescent="0.3">
      <c r="A42" s="13"/>
      <c r="B42" s="7"/>
      <c r="C42" s="261" t="str">
        <f>_xlfn.CONCAT(_xlfn.XLOOKUP("[ComplyMeasuresArt74][0][ComplyMeasuresArt74]",Submission!$O:$O,Submission!$H:$N,""))</f>
        <v>W przepisach krajowych zawarto wymóg przekazywania raportów i sprawozdań w formie elektronicznej (pliki Excel).</v>
      </c>
      <c r="D42" s="372"/>
      <c r="E42" s="372"/>
      <c r="F42" s="372"/>
      <c r="G42" s="372"/>
      <c r="H42" s="372"/>
      <c r="I42" s="262"/>
    </row>
    <row r="43" spans="1:9" ht="15.9" customHeight="1" x14ac:dyDescent="0.3">
      <c r="A43" s="13"/>
      <c r="B43" s="7"/>
      <c r="C43" s="31"/>
      <c r="D43" s="31"/>
      <c r="E43" s="31"/>
      <c r="F43" s="31"/>
      <c r="G43" s="31"/>
      <c r="H43" s="31"/>
      <c r="I43" s="31"/>
    </row>
    <row r="44" spans="1:9" ht="15.9" customHeight="1" x14ac:dyDescent="0.25">
      <c r="A44" s="12" t="s">
        <v>176</v>
      </c>
      <c r="B44" s="395" t="s">
        <v>839</v>
      </c>
      <c r="C44" s="396"/>
      <c r="D44" s="396"/>
      <c r="E44" s="396"/>
      <c r="F44" s="396"/>
      <c r="G44" s="396"/>
      <c r="H44" s="396"/>
      <c r="I44" s="396"/>
    </row>
    <row r="45" spans="1:9" s="7" customFormat="1" ht="32.1" customHeight="1" x14ac:dyDescent="0.3">
      <c r="A45" s="30"/>
      <c r="B45" s="341" t="s">
        <v>840</v>
      </c>
      <c r="C45" s="311"/>
      <c r="D45" s="311"/>
      <c r="E45" s="311"/>
      <c r="F45" s="311"/>
      <c r="G45" s="311"/>
      <c r="H45" s="348"/>
      <c r="I45" s="47" t="str">
        <f>_xlfn.CONCAT(_xlfn.XLOOKUP("[AutomatedSystemInformationExchange][0][AutomatedSystemInformationExchange]",Submission!$O:$O,Submission!$H:$N,""))</f>
        <v>No</v>
      </c>
    </row>
    <row r="46" spans="1:9" s="7" customFormat="1" ht="16.95" customHeight="1" x14ac:dyDescent="0.3">
      <c r="A46" s="30"/>
      <c r="B46" s="278" t="s">
        <v>841</v>
      </c>
      <c r="C46" s="279"/>
      <c r="D46" s="279"/>
      <c r="E46" s="279"/>
      <c r="F46" s="279"/>
      <c r="G46" s="279"/>
      <c r="H46" s="279"/>
      <c r="I46" s="279"/>
    </row>
    <row r="47" spans="1:9" s="7" customFormat="1" ht="15" customHeight="1" x14ac:dyDescent="0.3">
      <c r="A47" s="8"/>
      <c r="C47" s="261" t="str">
        <f>_xlfn.CONCAT(_xlfn.XLOOKUP("[ComplyRequirementsArt75][0][ComplyRequirementsArt75]",Submission!$O:$O,Submission!$H:$N,""))</f>
        <v/>
      </c>
      <c r="D47" s="372"/>
      <c r="E47" s="372"/>
      <c r="F47" s="372"/>
      <c r="G47" s="372"/>
      <c r="H47" s="372"/>
      <c r="I47" s="26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3" t="s">
        <v>74</v>
      </c>
      <c r="C50" s="313"/>
      <c r="D50" s="313"/>
      <c r="E50" s="313"/>
      <c r="F50" s="313"/>
      <c r="G50" s="313"/>
      <c r="H50" s="313"/>
      <c r="I50" s="314"/>
    </row>
    <row r="51" spans="1:9" ht="35.4" customHeight="1" x14ac:dyDescent="0.3">
      <c r="A51" s="12" t="s">
        <v>183</v>
      </c>
      <c r="B51" s="315" t="s">
        <v>843</v>
      </c>
      <c r="C51" s="316"/>
      <c r="D51" s="316"/>
      <c r="E51" s="316"/>
      <c r="F51" s="316"/>
      <c r="G51" s="316"/>
      <c r="H51" s="316"/>
      <c r="I51" s="316"/>
    </row>
    <row r="52" spans="1:9" ht="18.75" customHeight="1" x14ac:dyDescent="0.3">
      <c r="C52" s="317" t="s">
        <v>193</v>
      </c>
      <c r="D52" s="318"/>
      <c r="E52" s="319"/>
      <c r="F52" s="317" t="s">
        <v>844</v>
      </c>
      <c r="G52" s="319"/>
      <c r="H52" s="317" t="s">
        <v>845</v>
      </c>
      <c r="I52" s="319"/>
    </row>
    <row r="53" spans="1:9" ht="15.9" customHeight="1" x14ac:dyDescent="0.3">
      <c r="C53" s="254" t="s">
        <v>195</v>
      </c>
      <c r="D53" s="260"/>
      <c r="E53" s="250"/>
      <c r="F53" s="380" t="str">
        <f>_xlfn.CONCAT(_xlfn.XLOOKUP("[S05_InstallationFuelConsEmissions][1][FuelConsumption]",Submission!$O:$O,Submission!$H:$N,""))</f>
        <v>988069.1121</v>
      </c>
      <c r="G53" s="381"/>
      <c r="H53" s="378" t="str">
        <f>_xlfn.CONCAT(_xlfn.XLOOKUP("[S05_InstallationFuelConsEmissions][1][FuelAnnualEmissions]",Submission!$O:$O,Submission!$H:$N,""))</f>
        <v>92507722.2198999</v>
      </c>
      <c r="I53" s="379"/>
    </row>
    <row r="54" spans="1:9" ht="15.9" customHeight="1" x14ac:dyDescent="0.3">
      <c r="C54" s="254" t="s">
        <v>197</v>
      </c>
      <c r="D54" s="260"/>
      <c r="E54" s="250"/>
      <c r="F54" s="380" t="str">
        <f>_xlfn.CONCAT(_xlfn.XLOOKUP("[S05_InstallationFuelConsEmissions][2][FuelConsumption]",Submission!$O:$O,Submission!$H:$N,""))</f>
        <v>430894.43</v>
      </c>
      <c r="G54" s="381"/>
      <c r="H54" s="378" t="str">
        <f>_xlfn.CONCAT(_xlfn.XLOOKUP("[S05_InstallationFuelConsEmissions][2][FuelAnnualEmissions]",Submission!$O:$O,Submission!$H:$N,""))</f>
        <v>47691202.32</v>
      </c>
      <c r="I54" s="379"/>
    </row>
    <row r="55" spans="1:9" ht="15.9" customHeight="1" x14ac:dyDescent="0.3">
      <c r="C55" s="254" t="s">
        <v>199</v>
      </c>
      <c r="D55" s="260"/>
      <c r="E55" s="250"/>
      <c r="F55" s="380" t="str">
        <f>_xlfn.CONCAT(_xlfn.XLOOKUP("[S05_InstallationFuelConsEmissions][3][FuelConsumption]",Submission!$O:$O,Submission!$H:$N,""))</f>
        <v>0</v>
      </c>
      <c r="G55" s="381"/>
      <c r="H55" s="378" t="str">
        <f>_xlfn.CONCAT(_xlfn.XLOOKUP("[S05_InstallationFuelConsEmissions][3][FuelAnnualEmissions]",Submission!$O:$O,Submission!$H:$N,""))</f>
        <v>0</v>
      </c>
      <c r="I55" s="379"/>
    </row>
    <row r="56" spans="1:9" ht="15.9" customHeight="1" x14ac:dyDescent="0.3">
      <c r="C56" s="254" t="s">
        <v>201</v>
      </c>
      <c r="D56" s="260"/>
      <c r="E56" s="250"/>
      <c r="F56" s="380" t="str">
        <f>_xlfn.CONCAT(_xlfn.XLOOKUP("[S05_InstallationFuelConsEmissions][4][FuelConsumption]",Submission!$O:$O,Submission!$H:$N,""))</f>
        <v>58674.5277</v>
      </c>
      <c r="G56" s="381"/>
      <c r="H56" s="378" t="str">
        <f>_xlfn.CONCAT(_xlfn.XLOOKUP("[S05_InstallationFuelConsEmissions][4][FuelAnnualEmissions]",Submission!$O:$O,Submission!$H:$N,""))</f>
        <v>6318744.2849</v>
      </c>
      <c r="I56" s="379"/>
    </row>
    <row r="57" spans="1:9" ht="15.9" customHeight="1" x14ac:dyDescent="0.3">
      <c r="C57" s="254" t="s">
        <v>846</v>
      </c>
      <c r="D57" s="260"/>
      <c r="E57" s="250"/>
      <c r="F57" s="380" t="str">
        <f>_xlfn.CONCAT(_xlfn.XLOOKUP("[S05_InstallationFuelConsEmissions][5][FuelConsumption]",Submission!$O:$O,Submission!$H:$N,""))</f>
        <v>347475.031293467</v>
      </c>
      <c r="G57" s="381"/>
      <c r="H57" s="378" t="str">
        <f>_xlfn.CONCAT(_xlfn.XLOOKUP("[S05_InstallationFuelConsEmissions][5][FuelAnnualEmissions]",Submission!$O:$O,Submission!$H:$N,""))</f>
        <v>19221784.233</v>
      </c>
      <c r="I57" s="379"/>
    </row>
    <row r="58" spans="1:9" ht="15.9" customHeight="1" x14ac:dyDescent="0.3">
      <c r="C58" s="254" t="s">
        <v>847</v>
      </c>
      <c r="D58" s="260"/>
      <c r="E58" s="250"/>
      <c r="F58" s="380" t="str">
        <f>_xlfn.CONCAT(_xlfn.XLOOKUP("[S05_InstallationFuelConsEmissions][6][FuelConsumption]",Submission!$O:$O,Submission!$H:$N,""))</f>
        <v>68854.4579479</v>
      </c>
      <c r="G58" s="381"/>
      <c r="H58" s="378" t="str">
        <f>_xlfn.CONCAT(_xlfn.XLOOKUP("[S05_InstallationFuelConsEmissions][6][FuelAnnualEmissions]",Submission!$O:$O,Submission!$H:$N,""))</f>
        <v>2998184.5</v>
      </c>
      <c r="I58" s="379"/>
    </row>
    <row r="59" spans="1:9" ht="15.9" customHeight="1" x14ac:dyDescent="0.3">
      <c r="C59" s="254" t="s">
        <v>848</v>
      </c>
      <c r="D59" s="260"/>
      <c r="E59" s="250"/>
      <c r="F59" s="380" t="str">
        <f>_xlfn.CONCAT(_xlfn.XLOOKUP("[S05_InstallationFuelConsEmissions][7][FuelConsumption]",Submission!$O:$O,Submission!$H:$N,""))</f>
        <v>13328.7188</v>
      </c>
      <c r="G59" s="381"/>
      <c r="H59" s="378" t="str">
        <f>_xlfn.CONCAT(_xlfn.XLOOKUP("[S05_InstallationFuelConsEmissions][7][FuelAnnualEmissions]",Submission!$O:$O,Submission!$H:$N,""))</f>
        <v>3239508.87</v>
      </c>
      <c r="I59" s="379"/>
    </row>
    <row r="60" spans="1:9" ht="15.9" customHeight="1" x14ac:dyDescent="0.3">
      <c r="C60" s="254" t="s">
        <v>207</v>
      </c>
      <c r="D60" s="260"/>
      <c r="E60" s="250"/>
      <c r="F60" s="380" t="str">
        <f>_xlfn.CONCAT(_xlfn.XLOOKUP("[S05_InstallationFuelConsEmissions][8][FuelConsumption]",Submission!$O:$O,Submission!$H:$N,""))</f>
        <v>54974.8034</v>
      </c>
      <c r="G60" s="381"/>
      <c r="H60" s="378" t="str">
        <f>_xlfn.CONCAT(_xlfn.XLOOKUP("[S05_InstallationFuelConsEmissions][8][FuelAnnualEmissions]",Submission!$O:$O,Submission!$H:$N,""))</f>
        <v>3236131.5195</v>
      </c>
      <c r="I60" s="379"/>
    </row>
    <row r="61" spans="1:9" ht="15.9" customHeight="1" x14ac:dyDescent="0.3">
      <c r="C61" s="254" t="s">
        <v>849</v>
      </c>
      <c r="D61" s="260"/>
      <c r="E61" s="250"/>
      <c r="F61" s="380" t="str">
        <f>_xlfn.CONCAT(_xlfn.XLOOKUP("[S05_InstallationFuelConsEmissions][9][FuelConsumption]",Submission!$O:$O,Submission!$H:$N,""))</f>
        <v>41494.9528</v>
      </c>
      <c r="G61" s="381"/>
      <c r="H61" s="378" t="str">
        <f>_xlfn.CONCAT(_xlfn.XLOOKUP("[S05_InstallationFuelConsEmissions][9][FuelAnnualEmissions]",Submission!$O:$O,Submission!$H:$N,""))</f>
        <v>3231371.9291</v>
      </c>
      <c r="I61" s="379"/>
    </row>
    <row r="62" spans="1:9" ht="15.9" customHeight="1" x14ac:dyDescent="0.3">
      <c r="C62" s="254" t="s">
        <v>211</v>
      </c>
      <c r="D62" s="260"/>
      <c r="E62" s="250"/>
      <c r="F62" s="380" t="str">
        <f>_xlfn.CONCAT(_xlfn.XLOOKUP("[S05_InstallationFuelConsEmissions][10][FuelConsumption]",Submission!$O:$O,Submission!$H:$N,""))</f>
        <v>905.10558032</v>
      </c>
      <c r="G62" s="381"/>
      <c r="H62" s="378" t="str">
        <f>_xlfn.CONCAT(_xlfn.XLOOKUP("[S05_InstallationFuelConsEmissions][10][FuelAnnualEmissions]",Submission!$O:$O,Submission!$H:$N,""))</f>
        <v>58423.0887</v>
      </c>
      <c r="I62" s="379"/>
    </row>
    <row r="63" spans="1:9" ht="15.9" customHeight="1" x14ac:dyDescent="0.3">
      <c r="C63" s="254" t="s">
        <v>212</v>
      </c>
      <c r="D63" s="260"/>
      <c r="E63" s="250"/>
      <c r="F63" s="380" t="str">
        <f>_xlfn.CONCAT(_xlfn.XLOOKUP("[S05_InstallationFuelConsEmissions][11][FuelConsumption]",Submission!$O:$O,Submission!$H:$N,""))</f>
        <v>137.4312</v>
      </c>
      <c r="G63" s="381"/>
      <c r="H63" s="378" t="str">
        <f>_xlfn.CONCAT(_xlfn.XLOOKUP("[S05_InstallationFuelConsEmissions][11][FuelAnnualEmissions]",Submission!$O:$O,Submission!$H:$N,""))</f>
        <v>13237.5</v>
      </c>
      <c r="I63" s="379"/>
    </row>
    <row r="64" spans="1:9" ht="15.9" customHeight="1" x14ac:dyDescent="0.3">
      <c r="C64" s="254" t="s">
        <v>850</v>
      </c>
      <c r="D64" s="260"/>
      <c r="E64" s="250"/>
      <c r="F64" s="380" t="str">
        <f>_xlfn.CONCAT(_xlfn.XLOOKUP("[S05_InstallationFuelConsEmissions][12][FuelConsumption]",Submission!$O:$O,Submission!$H:$N,""))</f>
        <v>40660.8031277757</v>
      </c>
      <c r="G64" s="381"/>
      <c r="H64" s="378" t="str">
        <f>_xlfn.CONCAT(_xlfn.XLOOKUP("[S05_InstallationFuelConsEmissions][12][FuelAnnualEmissions]",Submission!$O:$O,Submission!$H:$N,""))</f>
        <v>2212659.5797</v>
      </c>
      <c r="I64" s="379"/>
    </row>
    <row r="65" spans="1:14" s="10" customFormat="1" ht="15" customHeight="1" x14ac:dyDescent="0.3">
      <c r="A65" s="9"/>
      <c r="C65" s="400" t="s">
        <v>851</v>
      </c>
      <c r="D65" s="401"/>
      <c r="E65" s="401"/>
      <c r="F65" s="401"/>
      <c r="G65" s="401"/>
      <c r="H65" s="401"/>
      <c r="I65" s="401"/>
      <c r="K65" s="13"/>
      <c r="L65" s="13"/>
      <c r="M65" s="13"/>
      <c r="N65" s="13"/>
    </row>
    <row r="66" spans="1:14" ht="15.9" customHeight="1" x14ac:dyDescent="0.3"/>
    <row r="67" spans="1:14" ht="34.200000000000003" customHeight="1" x14ac:dyDescent="0.3">
      <c r="A67" s="12" t="s">
        <v>215</v>
      </c>
      <c r="B67" s="267" t="s">
        <v>852</v>
      </c>
      <c r="C67" s="268"/>
      <c r="D67" s="268"/>
      <c r="E67" s="268"/>
      <c r="F67" s="268"/>
      <c r="G67" s="268"/>
      <c r="H67" s="268"/>
      <c r="I67" s="268"/>
    </row>
    <row r="68" spans="1:14" ht="28.8" x14ac:dyDescent="0.3">
      <c r="C68" s="317" t="s">
        <v>853</v>
      </c>
      <c r="D68" s="319"/>
      <c r="E68" s="317" t="s">
        <v>854</v>
      </c>
      <c r="F68" s="319"/>
      <c r="G68" s="42" t="s">
        <v>855</v>
      </c>
      <c r="H68" s="49" t="s">
        <v>856</v>
      </c>
      <c r="I68" s="50" t="s">
        <v>857</v>
      </c>
    </row>
    <row r="69" spans="1:14" ht="16.2" customHeight="1" x14ac:dyDescent="0.3">
      <c r="C69" s="368" t="str">
        <f>_xlfn.CONCAT(_xlfn.XLOOKUP("[S05_AggregateTotalEmissionsByCRF][1][CRFCategory1]",Submission!$O:$O,Submission!$H:$N,""))</f>
        <v>1A1a - Energy - Public Electricity and Heat Production</v>
      </c>
      <c r="D69" s="369"/>
      <c r="E69" s="368" t="str">
        <f>_xlfn.CONCAT(_xlfn.XLOOKUP("[S05_AggregateTotalEmissionsByCRF][1][CRFCategory2]",Submission!$O:$O,Submission!$H:$N,""))</f>
        <v/>
      </c>
      <c r="F69" s="369"/>
      <c r="G69" s="126" t="str">
        <f>_xlfn.CONCAT(_xlfn.XLOOKUP("[S05_AggregateTotalEmissionsByCRF][1][TotalEmissionsTCo2e]",Submission!$O:$O,Submission!$H:$N,""))</f>
        <v>150065022.63</v>
      </c>
      <c r="H69" s="126" t="str">
        <f>_xlfn.CONCAT(_xlfn.XLOOKUP("[S05_AggregateTotalEmissionsByCRF][1][TotalCombustionEmissionsTCo2e]",Submission!$O:$O,Submission!$H:$N,""))</f>
        <v>150065022.63</v>
      </c>
      <c r="I69" s="126" t="str">
        <f>_xlfn.CONCAT(_xlfn.XLOOKUP("[S05_AggregateTotalEmissionsByCRF][1][TotalProcessEmissionsTCo2e]",Submission!$O:$O,Submission!$H:$N,""))</f>
        <v/>
      </c>
    </row>
    <row r="70" spans="1:14" ht="16.2" customHeight="1" x14ac:dyDescent="0.3">
      <c r="C70" s="368" t="str">
        <f>_xlfn.CONCAT(_xlfn.XLOOKUP("[S05_AggregateTotalEmissionsByCRF][2][CRFCategory1]",Submission!$O:$O,Submission!$H:$N,""))</f>
        <v>1A1b - Energy - Petroleum Refining</v>
      </c>
      <c r="D70" s="369"/>
      <c r="E70" s="370" t="str">
        <f>_xlfn.CONCAT(_xlfn.XLOOKUP("[S05_AggregateTotalEmissionsByCRF][2][CRFCategory2]",Submission!$O:$O,Submission!$H:$N,""))</f>
        <v/>
      </c>
      <c r="F70" s="371"/>
      <c r="G70" s="126" t="str">
        <f>_xlfn.CONCAT(_xlfn.XLOOKUP("[S05_AggregateTotalEmissionsByCRF][2][TotalEmissionsTCo2e]",Submission!$O:$O,Submission!$H:$N,""))</f>
        <v>2732390.15</v>
      </c>
      <c r="H70" s="126" t="str">
        <f>_xlfn.CONCAT(_xlfn.XLOOKUP("[S05_AggregateTotalEmissionsByCRF][2][TotalCombustionEmissionsTCo2e]",Submission!$O:$O,Submission!$H:$N,""))</f>
        <v>2732390.15</v>
      </c>
      <c r="I70" s="126" t="str">
        <f>_xlfn.CONCAT(_xlfn.XLOOKUP("[S05_AggregateTotalEmissionsByCRF][2][TotalProcessEmissionsTCo2e]",Submission!$O:$O,Submission!$H:$N,""))</f>
        <v/>
      </c>
    </row>
    <row r="71" spans="1:14" ht="16.2" customHeight="1" x14ac:dyDescent="0.3">
      <c r="C71" s="368" t="str">
        <f>_xlfn.CONCAT(_xlfn.XLOOKUP("[S05_AggregateTotalEmissionsByCRF][3][CRFCategory1]",Submission!$O:$O,Submission!$H:$N,""))</f>
        <v>1A1c - Energy - Manufacture of Solid Fuels and Other Energy Industries</v>
      </c>
      <c r="D71" s="369"/>
      <c r="E71" s="370" t="str">
        <f>_xlfn.CONCAT(_xlfn.XLOOKUP("[S05_AggregateTotalEmissionsByCRF][3][CRFCategory2]",Submission!$O:$O,Submission!$H:$N,""))</f>
        <v/>
      </c>
      <c r="F71" s="371"/>
      <c r="G71" s="126" t="str">
        <f>_xlfn.CONCAT(_xlfn.XLOOKUP("[S05_AggregateTotalEmissionsByCRF][3][TotalEmissionsTCo2e]",Submission!$O:$O,Submission!$H:$N,""))</f>
        <v>1682957</v>
      </c>
      <c r="H71" s="126" t="str">
        <f>_xlfn.CONCAT(_xlfn.XLOOKUP("[S05_AggregateTotalEmissionsByCRF][3][TotalCombustionEmissionsTCo2e]",Submission!$O:$O,Submission!$H:$N,""))</f>
        <v>1682957</v>
      </c>
      <c r="I71" s="126" t="str">
        <f>_xlfn.CONCAT(_xlfn.XLOOKUP("[S05_AggregateTotalEmissionsByCRF][3][TotalProcessEmissionsTCo2e]",Submission!$O:$O,Submission!$H:$N,""))</f>
        <v/>
      </c>
    </row>
    <row r="72" spans="1:14" ht="16.2" customHeight="1" x14ac:dyDescent="0.3">
      <c r="C72" s="368" t="str">
        <f>_xlfn.CONCAT(_xlfn.XLOOKUP("[S05_AggregateTotalEmissionsByCRF][4][CRFCategory1]",Submission!$O:$O,Submission!$H:$N,""))</f>
        <v>1A2a - Energy - Iron and Steel</v>
      </c>
      <c r="D72" s="369"/>
      <c r="E72" s="370" t="str">
        <f>_xlfn.CONCAT(_xlfn.XLOOKUP("[S05_AggregateTotalEmissionsByCRF][4][CRFCategory2]",Submission!$O:$O,Submission!$H:$N,""))</f>
        <v/>
      </c>
      <c r="F72" s="371"/>
      <c r="G72" s="126" t="str">
        <f>_xlfn.CONCAT(_xlfn.XLOOKUP("[S05_AggregateTotalEmissionsByCRF][4][TotalEmissionsTCo2e]",Submission!$O:$O,Submission!$H:$N,""))</f>
        <v>1487504.94</v>
      </c>
      <c r="H72" s="126" t="str">
        <f>_xlfn.CONCAT(_xlfn.XLOOKUP("[S05_AggregateTotalEmissionsByCRF][4][TotalCombustionEmissionsTCo2e]",Submission!$O:$O,Submission!$H:$N,""))</f>
        <v>1487504.94</v>
      </c>
      <c r="I72" s="126" t="str">
        <f>_xlfn.CONCAT(_xlfn.XLOOKUP("[S05_AggregateTotalEmissionsByCRF][4][TotalProcessEmissionsTCo2e]",Submission!$O:$O,Submission!$H:$N,""))</f>
        <v/>
      </c>
    </row>
    <row r="73" spans="1:14" ht="16.2" customHeight="1" x14ac:dyDescent="0.3">
      <c r="C73" s="368" t="str">
        <f>_xlfn.CONCAT(_xlfn.XLOOKUP("[S05_AggregateTotalEmissionsByCRF][5][CRFCategory1]",Submission!$O:$O,Submission!$H:$N,""))</f>
        <v>1A2b - Energy - Non-Ferrous Metals</v>
      </c>
      <c r="D73" s="369"/>
      <c r="E73" s="370" t="str">
        <f>_xlfn.CONCAT(_xlfn.XLOOKUP("[S05_AggregateTotalEmissionsByCRF][5][CRFCategory2]",Submission!$O:$O,Submission!$H:$N,""))</f>
        <v/>
      </c>
      <c r="F73" s="371"/>
      <c r="G73" s="126" t="str">
        <f>_xlfn.CONCAT(_xlfn.XLOOKUP("[S05_AggregateTotalEmissionsByCRF][5][TotalEmissionsTCo2e]",Submission!$O:$O,Submission!$H:$N,""))</f>
        <v>523412.3</v>
      </c>
      <c r="H73" s="126" t="str">
        <f>_xlfn.CONCAT(_xlfn.XLOOKUP("[S05_AggregateTotalEmissionsByCRF][5][TotalCombustionEmissionsTCo2e]",Submission!$O:$O,Submission!$H:$N,""))</f>
        <v>523412.3</v>
      </c>
      <c r="I73" s="126" t="str">
        <f>_xlfn.CONCAT(_xlfn.XLOOKUP("[S05_AggregateTotalEmissionsByCRF][5][TotalProcessEmissionsTCo2e]",Submission!$O:$O,Submission!$H:$N,""))</f>
        <v/>
      </c>
    </row>
    <row r="74" spans="1:14" ht="16.2" customHeight="1" x14ac:dyDescent="0.3">
      <c r="C74" s="368" t="str">
        <f>_xlfn.CONCAT(_xlfn.XLOOKUP("[S05_AggregateTotalEmissionsByCRF][6][CRFCategory1]",Submission!$O:$O,Submission!$H:$N,""))</f>
        <v>1A2c - Energy - Chemicals</v>
      </c>
      <c r="D74" s="369"/>
      <c r="E74" s="370" t="str">
        <f>_xlfn.CONCAT(_xlfn.XLOOKUP("[S05_AggregateTotalEmissionsByCRF][6][CRFCategory2]",Submission!$O:$O,Submission!$H:$N,""))</f>
        <v/>
      </c>
      <c r="F74" s="371"/>
      <c r="G74" s="126" t="str">
        <f>_xlfn.CONCAT(_xlfn.XLOOKUP("[S05_AggregateTotalEmissionsByCRF][6][TotalEmissionsTCo2e]",Submission!$O:$O,Submission!$H:$N,""))</f>
        <v>3866856.38</v>
      </c>
      <c r="H74" s="126" t="str">
        <f>_xlfn.CONCAT(_xlfn.XLOOKUP("[S05_AggregateTotalEmissionsByCRF][6][TotalCombustionEmissionsTCo2e]",Submission!$O:$O,Submission!$H:$N,""))</f>
        <v>3866856.38</v>
      </c>
      <c r="I74" s="126" t="str">
        <f>_xlfn.CONCAT(_xlfn.XLOOKUP("[S05_AggregateTotalEmissionsByCRF][6][TotalProcessEmissionsTCo2e]",Submission!$O:$O,Submission!$H:$N,""))</f>
        <v/>
      </c>
    </row>
    <row r="75" spans="1:14" ht="16.2" customHeight="1" x14ac:dyDescent="0.3">
      <c r="C75" s="368" t="str">
        <f>_xlfn.CONCAT(_xlfn.XLOOKUP("[S05_AggregateTotalEmissionsByCRF][7][CRFCategory1]",Submission!$O:$O,Submission!$H:$N,""))</f>
        <v>1A2d - Energy - Pulp, Paper and Print</v>
      </c>
      <c r="D75" s="369"/>
      <c r="E75" s="370" t="str">
        <f>_xlfn.CONCAT(_xlfn.XLOOKUP("[S05_AggregateTotalEmissionsByCRF][7][CRFCategory2]",Submission!$O:$O,Submission!$H:$N,""))</f>
        <v/>
      </c>
      <c r="F75" s="371"/>
      <c r="G75" s="126" t="str">
        <f>_xlfn.CONCAT(_xlfn.XLOOKUP("[S05_AggregateTotalEmissionsByCRF][7][TotalEmissionsTCo2e]",Submission!$O:$O,Submission!$H:$N,""))</f>
        <v>1619737.01</v>
      </c>
      <c r="H75" s="126" t="str">
        <f>_xlfn.CONCAT(_xlfn.XLOOKUP("[S05_AggregateTotalEmissionsByCRF][7][TotalCombustionEmissionsTCo2e]",Submission!$O:$O,Submission!$H:$N,""))</f>
        <v>1619737.01</v>
      </c>
      <c r="I75" s="126" t="str">
        <f>_xlfn.CONCAT(_xlfn.XLOOKUP("[S05_AggregateTotalEmissionsByCRF][7][TotalProcessEmissionsTCo2e]",Submission!$O:$O,Submission!$H:$N,""))</f>
        <v/>
      </c>
    </row>
    <row r="76" spans="1:14" ht="16.2" customHeight="1" x14ac:dyDescent="0.3">
      <c r="C76" s="368" t="str">
        <f>_xlfn.CONCAT(_xlfn.XLOOKUP("[S05_AggregateTotalEmissionsByCRF][8][CRFCategory1]",Submission!$O:$O,Submission!$H:$N,""))</f>
        <v>1A2e - Energy - Food Processing, Beverages and Tobacco</v>
      </c>
      <c r="D76" s="369"/>
      <c r="E76" s="370" t="str">
        <f>_xlfn.CONCAT(_xlfn.XLOOKUP("[S05_AggregateTotalEmissionsByCRF][8][CRFCategory2]",Submission!$O:$O,Submission!$H:$N,""))</f>
        <v/>
      </c>
      <c r="F76" s="371"/>
      <c r="G76" s="126" t="str">
        <f>_xlfn.CONCAT(_xlfn.XLOOKUP("[S05_AggregateTotalEmissionsByCRF][8][TotalEmissionsTCo2e]",Submission!$O:$O,Submission!$H:$N,""))</f>
        <v>1750385.23</v>
      </c>
      <c r="H76" s="126" t="str">
        <f>_xlfn.CONCAT(_xlfn.XLOOKUP("[S05_AggregateTotalEmissionsByCRF][8][TotalCombustionEmissionsTCo2e]",Submission!$O:$O,Submission!$H:$N,""))</f>
        <v>1750385.23</v>
      </c>
      <c r="I76" s="126" t="str">
        <f>_xlfn.CONCAT(_xlfn.XLOOKUP("[S05_AggregateTotalEmissionsByCRF][8][TotalProcessEmissionsTCo2e]",Submission!$O:$O,Submission!$H:$N,""))</f>
        <v/>
      </c>
    </row>
    <row r="77" spans="1:14" ht="16.2" customHeight="1" x14ac:dyDescent="0.3">
      <c r="C77" s="368" t="str">
        <f>_xlfn.CONCAT(_xlfn.XLOOKUP("[S05_AggregateTotalEmissionsByCRF][9][CRFCategory1]",Submission!$O:$O,Submission!$H:$N,""))</f>
        <v>1A2f - Energy - Non-metallic minerals</v>
      </c>
      <c r="D77" s="369"/>
      <c r="E77" s="370" t="str">
        <f>_xlfn.CONCAT(_xlfn.XLOOKUP("[S05_AggregateTotalEmissionsByCRF][9][CRFCategory2]",Submission!$O:$O,Submission!$H:$N,""))</f>
        <v/>
      </c>
      <c r="F77" s="371"/>
      <c r="G77" s="126" t="str">
        <f>_xlfn.CONCAT(_xlfn.XLOOKUP("[S05_AggregateTotalEmissionsByCRF][9][TotalEmissionsTCo2e]",Submission!$O:$O,Submission!$H:$N,""))</f>
        <v>4851325.61</v>
      </c>
      <c r="H77" s="126" t="str">
        <f>_xlfn.CONCAT(_xlfn.XLOOKUP("[S05_AggregateTotalEmissionsByCRF][9][TotalCombustionEmissionsTCo2e]",Submission!$O:$O,Submission!$H:$N,""))</f>
        <v>4851325.61</v>
      </c>
      <c r="I77" s="126" t="str">
        <f>_xlfn.CONCAT(_xlfn.XLOOKUP("[S05_AggregateTotalEmissionsByCRF][9][TotalProcessEmissionsTCo2e]",Submission!$O:$O,Submission!$H:$N,""))</f>
        <v/>
      </c>
    </row>
    <row r="78" spans="1:14" ht="16.2" customHeight="1" x14ac:dyDescent="0.3">
      <c r="C78" s="368" t="str">
        <f>_xlfn.CONCAT(_xlfn.XLOOKUP("[S05_AggregateTotalEmissionsByCRF][10][CRFCategory1]",Submission!$O:$O,Submission!$H:$N,""))</f>
        <v>1A2g - Energy - Other Manufacturing Industries and Construction</v>
      </c>
      <c r="D78" s="369"/>
      <c r="E78" s="370" t="str">
        <f>_xlfn.CONCAT(_xlfn.XLOOKUP("[S05_AggregateTotalEmissionsByCRF][10][CRFCategory2]",Submission!$O:$O,Submission!$H:$N,""))</f>
        <v/>
      </c>
      <c r="F78" s="371"/>
      <c r="G78" s="126" t="str">
        <f>_xlfn.CONCAT(_xlfn.XLOOKUP("[S05_AggregateTotalEmissionsByCRF][10][TotalEmissionsTCo2e]",Submission!$O:$O,Submission!$H:$N,""))</f>
        <v>1583261.28</v>
      </c>
      <c r="H78" s="126" t="str">
        <f>_xlfn.CONCAT(_xlfn.XLOOKUP("[S05_AggregateTotalEmissionsByCRF][10][TotalCombustionEmissionsTCo2e]",Submission!$O:$O,Submission!$H:$N,""))</f>
        <v>1583261.28</v>
      </c>
      <c r="I78" s="126" t="str">
        <f>_xlfn.CONCAT(_xlfn.XLOOKUP("[S05_AggregateTotalEmissionsByCRF][10][TotalProcessEmissionsTCo2e]",Submission!$O:$O,Submission!$H:$N,""))</f>
        <v/>
      </c>
    </row>
    <row r="79" spans="1:14" ht="16.2" customHeight="1" x14ac:dyDescent="0.3">
      <c r="C79" s="368" t="str">
        <f>_xlfn.CONCAT(_xlfn.XLOOKUP("[S05_AggregateTotalEmissionsByCRF][11][CRFCategory1]",Submission!$O:$O,Submission!$H:$N,""))</f>
        <v>1A3e - Energy - Other Transportation (pipeline transport)</v>
      </c>
      <c r="D79" s="369"/>
      <c r="E79" s="370" t="str">
        <f>_xlfn.CONCAT(_xlfn.XLOOKUP("[S05_AggregateTotalEmissionsByCRF][11][CRFCategory2]",Submission!$O:$O,Submission!$H:$N,""))</f>
        <v/>
      </c>
      <c r="F79" s="371"/>
      <c r="G79" s="126" t="str">
        <f>_xlfn.CONCAT(_xlfn.XLOOKUP("[S05_AggregateTotalEmissionsByCRF][11][TotalEmissionsTCo2e]",Submission!$O:$O,Submission!$H:$N,""))</f>
        <v>510478</v>
      </c>
      <c r="H79" s="126" t="str">
        <f>_xlfn.CONCAT(_xlfn.XLOOKUP("[S05_AggregateTotalEmissionsByCRF][11][TotalCombustionEmissionsTCo2e]",Submission!$O:$O,Submission!$H:$N,""))</f>
        <v>510478</v>
      </c>
      <c r="I79" s="126" t="str">
        <f>_xlfn.CONCAT(_xlfn.XLOOKUP("[S05_AggregateTotalEmissionsByCRF][11][TotalProcessEmissionsTCo2e]",Submission!$O:$O,Submission!$H:$N,""))</f>
        <v/>
      </c>
    </row>
    <row r="80" spans="1:14" ht="16.2" customHeight="1" x14ac:dyDescent="0.3">
      <c r="C80" s="368" t="str">
        <f>_xlfn.CONCAT(_xlfn.XLOOKUP("[S05_AggregateTotalEmissionsByCRF][12][CRFCategory1]",Submission!$O:$O,Submission!$H:$N,""))</f>
        <v>1A4c - Energy - Agriculture/Forestry/Fishing</v>
      </c>
      <c r="D80" s="369"/>
      <c r="E80" s="370" t="str">
        <f>_xlfn.CONCAT(_xlfn.XLOOKUP("[S05_AggregateTotalEmissionsByCRF][12][CRFCategory2]",Submission!$O:$O,Submission!$H:$N,""))</f>
        <v/>
      </c>
      <c r="F80" s="371"/>
      <c r="G80" s="126" t="str">
        <f>_xlfn.CONCAT(_xlfn.XLOOKUP("[S05_AggregateTotalEmissionsByCRF][12][TotalEmissionsTCo2e]",Submission!$O:$O,Submission!$H:$N,""))</f>
        <v>126332.8</v>
      </c>
      <c r="H80" s="126" t="str">
        <f>_xlfn.CONCAT(_xlfn.XLOOKUP("[S05_AggregateTotalEmissionsByCRF][12][TotalCombustionEmissionsTCo2e]",Submission!$O:$O,Submission!$H:$N,""))</f>
        <v>126332.8</v>
      </c>
      <c r="I80" s="126" t="str">
        <f>_xlfn.CONCAT(_xlfn.XLOOKUP("[S05_AggregateTotalEmissionsByCRF][12][TotalProcessEmissionsTCo2e]",Submission!$O:$O,Submission!$H:$N,""))</f>
        <v/>
      </c>
    </row>
    <row r="81" spans="3:9" ht="16.2" customHeight="1" x14ac:dyDescent="0.3">
      <c r="C81" s="368" t="str">
        <f>_xlfn.CONCAT(_xlfn.XLOOKUP("[S05_AggregateTotalEmissionsByCRF][13][CRFCategory1]",Submission!$O:$O,Submission!$H:$N,""))</f>
        <v>1A5a - Energy - Other Stationary</v>
      </c>
      <c r="D81" s="369"/>
      <c r="E81" s="370" t="str">
        <f>_xlfn.CONCAT(_xlfn.XLOOKUP("[S05_AggregateTotalEmissionsByCRF][13][CRFCategory2]",Submission!$O:$O,Submission!$H:$N,""))</f>
        <v/>
      </c>
      <c r="F81" s="371"/>
      <c r="G81" s="126" t="str">
        <f>_xlfn.CONCAT(_xlfn.XLOOKUP("[S05_AggregateTotalEmissionsByCRF][13][TotalEmissionsTCo2e]",Submission!$O:$O,Submission!$H:$N,""))</f>
        <v>18833.9</v>
      </c>
      <c r="H81" s="126" t="str">
        <f>_xlfn.CONCAT(_xlfn.XLOOKUP("[S05_AggregateTotalEmissionsByCRF][13][TotalCombustionEmissionsTCo2e]",Submission!$O:$O,Submission!$H:$N,""))</f>
        <v>18833.9</v>
      </c>
      <c r="I81" s="126" t="str">
        <f>_xlfn.CONCAT(_xlfn.XLOOKUP("[S05_AggregateTotalEmissionsByCRF][13][TotalProcessEmissionsTCo2e]",Submission!$O:$O,Submission!$H:$N,""))</f>
        <v/>
      </c>
    </row>
    <row r="82" spans="3:9" ht="16.2" customHeight="1" x14ac:dyDescent="0.3">
      <c r="C82" s="368" t="str">
        <f>_xlfn.CONCAT(_xlfn.XLOOKUP("[S05_AggregateTotalEmissionsByCRF][14][CRFCategory1]",Submission!$O:$O,Submission!$H:$N,""))</f>
        <v>1B2a - Energy - Fugitive - Oil</v>
      </c>
      <c r="D82" s="369"/>
      <c r="E82" s="370" t="str">
        <f>_xlfn.CONCAT(_xlfn.XLOOKUP("[S05_AggregateTotalEmissionsByCRF][14][CRFCategory2]",Submission!$O:$O,Submission!$H:$N,""))</f>
        <v/>
      </c>
      <c r="F82" s="371"/>
      <c r="G82" s="126" t="str">
        <f>_xlfn.CONCAT(_xlfn.XLOOKUP("[S05_AggregateTotalEmissionsByCRF][14][TotalEmissionsTCo2e]",Submission!$O:$O,Submission!$H:$N,""))</f>
        <v>1284</v>
      </c>
      <c r="H82" s="126" t="str">
        <f>_xlfn.CONCAT(_xlfn.XLOOKUP("[S05_AggregateTotalEmissionsByCRF][14][TotalCombustionEmissionsTCo2e]",Submission!$O:$O,Submission!$H:$N,""))</f>
        <v>1284</v>
      </c>
      <c r="I82" s="126" t="str">
        <f>_xlfn.CONCAT(_xlfn.XLOOKUP("[S05_AggregateTotalEmissionsByCRF][14][TotalProcessEmissionsTCo2e]",Submission!$O:$O,Submission!$H:$N,""))</f>
        <v/>
      </c>
    </row>
    <row r="83" spans="3:9" ht="16.2" customHeight="1" x14ac:dyDescent="0.3">
      <c r="C83" s="368" t="str">
        <f>_xlfn.CONCAT(_xlfn.XLOOKUP("[S05_AggregateTotalEmissionsByCRF][15][CRFCategory1]",Submission!$O:$O,Submission!$H:$N,""))</f>
        <v>1B2b - Energy - Fugitive - Natural Gas</v>
      </c>
      <c r="D83" s="369"/>
      <c r="E83" s="370" t="str">
        <f>_xlfn.CONCAT(_xlfn.XLOOKUP("[S05_AggregateTotalEmissionsByCRF][15][CRFCategory2]",Submission!$O:$O,Submission!$H:$N,""))</f>
        <v/>
      </c>
      <c r="F83" s="371"/>
      <c r="G83" s="126" t="str">
        <f>_xlfn.CONCAT(_xlfn.XLOOKUP("[S05_AggregateTotalEmissionsByCRF][15][TotalEmissionsTCo2e]",Submission!$O:$O,Submission!$H:$N,""))</f>
        <v>115189</v>
      </c>
      <c r="H83" s="126" t="str">
        <f>_xlfn.CONCAT(_xlfn.XLOOKUP("[S05_AggregateTotalEmissionsByCRF][15][TotalCombustionEmissionsTCo2e]",Submission!$O:$O,Submission!$H:$N,""))</f>
        <v>115189</v>
      </c>
      <c r="I83" s="126" t="str">
        <f>_xlfn.CONCAT(_xlfn.XLOOKUP("[S05_AggregateTotalEmissionsByCRF][15][TotalProcessEmissionsTCo2e]",Submission!$O:$O,Submission!$H:$N,""))</f>
        <v/>
      </c>
    </row>
    <row r="84" spans="3:9" ht="16.2" customHeight="1" x14ac:dyDescent="0.3">
      <c r="C84" s="368" t="str">
        <f>_xlfn.CONCAT(_xlfn.XLOOKUP("[S05_AggregateTotalEmissionsByCRF][16][CRFCategory1]",Submission!$O:$O,Submission!$H:$N,""))</f>
        <v/>
      </c>
      <c r="D84" s="369"/>
      <c r="E84" s="370" t="str">
        <f>_xlfn.CONCAT(_xlfn.XLOOKUP("[S05_AggregateTotalEmissionsByCRF][16][CRFCategory2]",Submission!$O:$O,Submission!$H:$N,""))</f>
        <v>2A1 - Process - Cement Production</v>
      </c>
      <c r="F84" s="371"/>
      <c r="G84" s="126" t="str">
        <f>_xlfn.CONCAT(_xlfn.XLOOKUP("[S05_AggregateTotalEmissionsByCRF][16][TotalEmissionsTCo2e]",Submission!$O:$O,Submission!$H:$N,""))</f>
        <v>7364794.9</v>
      </c>
      <c r="H84" s="126" t="str">
        <f>_xlfn.CONCAT(_xlfn.XLOOKUP("[S05_AggregateTotalEmissionsByCRF][16][TotalCombustionEmissionsTCo2e]",Submission!$O:$O,Submission!$H:$N,""))</f>
        <v/>
      </c>
      <c r="I84" s="126" t="str">
        <f>_xlfn.CONCAT(_xlfn.XLOOKUP("[S05_AggregateTotalEmissionsByCRF][16][TotalProcessEmissionsTCo2e]",Submission!$O:$O,Submission!$H:$N,""))</f>
        <v>7364794.9</v>
      </c>
    </row>
    <row r="85" spans="3:9" ht="16.2" customHeight="1" x14ac:dyDescent="0.3">
      <c r="C85" s="368" t="str">
        <f>_xlfn.CONCAT(_xlfn.XLOOKUP("[S05_AggregateTotalEmissionsByCRF][17][CRFCategory1]",Submission!$O:$O,Submission!$H:$N,""))</f>
        <v/>
      </c>
      <c r="D85" s="369"/>
      <c r="E85" s="370" t="str">
        <f>_xlfn.CONCAT(_xlfn.XLOOKUP("[S05_AggregateTotalEmissionsByCRF][17][CRFCategory2]",Submission!$O:$O,Submission!$H:$N,""))</f>
        <v>2A2 - Process - Lime Production</v>
      </c>
      <c r="F85" s="371"/>
      <c r="G85" s="126" t="str">
        <f>_xlfn.CONCAT(_xlfn.XLOOKUP("[S05_AggregateTotalEmissionsByCRF][17][TotalEmissionsTCo2e]",Submission!$O:$O,Submission!$H:$N,""))</f>
        <v>1420979.78</v>
      </c>
      <c r="H85" s="126" t="str">
        <f>_xlfn.CONCAT(_xlfn.XLOOKUP("[S05_AggregateTotalEmissionsByCRF][17][TotalCombustionEmissionsTCo2e]",Submission!$O:$O,Submission!$H:$N,""))</f>
        <v/>
      </c>
      <c r="I85" s="126" t="str">
        <f>_xlfn.CONCAT(_xlfn.XLOOKUP("[S05_AggregateTotalEmissionsByCRF][17][TotalProcessEmissionsTCo2e]",Submission!$O:$O,Submission!$H:$N,""))</f>
        <v>1420979.78</v>
      </c>
    </row>
    <row r="86" spans="3:9" ht="16.2" customHeight="1" x14ac:dyDescent="0.3">
      <c r="C86" s="368" t="str">
        <f>_xlfn.CONCAT(_xlfn.XLOOKUP("[S05_AggregateTotalEmissionsByCRF][18][CRFCategory1]",Submission!$O:$O,Submission!$H:$N,""))</f>
        <v/>
      </c>
      <c r="D86" s="369"/>
      <c r="E86" s="370" t="str">
        <f>_xlfn.CONCAT(_xlfn.XLOOKUP("[S05_AggregateTotalEmissionsByCRF][18][CRFCategory2]",Submission!$O:$O,Submission!$H:$N,""))</f>
        <v>2A3 - Process - Glass production</v>
      </c>
      <c r="F86" s="371"/>
      <c r="G86" s="126" t="str">
        <f>_xlfn.CONCAT(_xlfn.XLOOKUP("[S05_AggregateTotalEmissionsByCRF][18][TotalEmissionsTCo2e]",Submission!$O:$O,Submission!$H:$N,""))</f>
        <v>520159.57</v>
      </c>
      <c r="H86" s="126" t="str">
        <f>_xlfn.CONCAT(_xlfn.XLOOKUP("[S05_AggregateTotalEmissionsByCRF][18][TotalCombustionEmissionsTCo2e]",Submission!$O:$O,Submission!$H:$N,""))</f>
        <v/>
      </c>
      <c r="I86" s="126" t="str">
        <f>_xlfn.CONCAT(_xlfn.XLOOKUP("[S05_AggregateTotalEmissionsByCRF][18][TotalProcessEmissionsTCo2e]",Submission!$O:$O,Submission!$H:$N,""))</f>
        <v>520159.57</v>
      </c>
    </row>
    <row r="87" spans="3:9" ht="16.2" customHeight="1" x14ac:dyDescent="0.3">
      <c r="C87" s="368" t="str">
        <f>_xlfn.CONCAT(_xlfn.XLOOKUP("[S05_AggregateTotalEmissionsByCRF][19][CRFCategory1]",Submission!$O:$O,Submission!$H:$N,""))</f>
        <v/>
      </c>
      <c r="D87" s="369"/>
      <c r="E87" s="370" t="str">
        <f>_xlfn.CONCAT(_xlfn.XLOOKUP("[S05_AggregateTotalEmissionsByCRF][19][CRFCategory2]",Submission!$O:$O,Submission!$H:$N,""))</f>
        <v>2A4 - Process - Other Process Uses of Carbonates</v>
      </c>
      <c r="F87" s="371"/>
      <c r="G87" s="126" t="str">
        <f>_xlfn.CONCAT(_xlfn.XLOOKUP("[S05_AggregateTotalEmissionsByCRF][19][TotalEmissionsTCo2e]",Submission!$O:$O,Submission!$H:$N,""))</f>
        <v>1334272.54</v>
      </c>
      <c r="H87" s="126" t="str">
        <f>_xlfn.CONCAT(_xlfn.XLOOKUP("[S05_AggregateTotalEmissionsByCRF][19][TotalCombustionEmissionsTCo2e]",Submission!$O:$O,Submission!$H:$N,""))</f>
        <v/>
      </c>
      <c r="I87" s="126" t="str">
        <f>_xlfn.CONCAT(_xlfn.XLOOKUP("[S05_AggregateTotalEmissionsByCRF][19][TotalProcessEmissionsTCo2e]",Submission!$O:$O,Submission!$H:$N,""))</f>
        <v>1334272.54</v>
      </c>
    </row>
    <row r="88" spans="3:9" ht="16.2" customHeight="1" x14ac:dyDescent="0.3">
      <c r="C88" s="368" t="str">
        <f>_xlfn.CONCAT(_xlfn.XLOOKUP("[S05_AggregateTotalEmissionsByCRF][20][CRFCategory1]",Submission!$O:$O,Submission!$H:$N,""))</f>
        <v/>
      </c>
      <c r="D88" s="369"/>
      <c r="E88" s="370" t="str">
        <f>_xlfn.CONCAT(_xlfn.XLOOKUP("[S05_AggregateTotalEmissionsByCRF][20][CRFCategory2]",Submission!$O:$O,Submission!$H:$N,""))</f>
        <v xml:space="preserve">2B2 - Process - Nitric Acid Production </v>
      </c>
      <c r="F88" s="371"/>
      <c r="G88" s="126" t="str">
        <f>_xlfn.CONCAT(_xlfn.XLOOKUP("[S05_AggregateTotalEmissionsByCRF][20][TotalEmissionsTCo2e]",Submission!$O:$O,Submission!$H:$N,""))</f>
        <v>116589.2</v>
      </c>
      <c r="H88" s="126" t="str">
        <f>_xlfn.CONCAT(_xlfn.XLOOKUP("[S05_AggregateTotalEmissionsByCRF][20][TotalCombustionEmissionsTCo2e]",Submission!$O:$O,Submission!$H:$N,""))</f>
        <v/>
      </c>
      <c r="I88" s="126" t="str">
        <f>_xlfn.CONCAT(_xlfn.XLOOKUP("[S05_AggregateTotalEmissionsByCRF][20][TotalProcessEmissionsTCo2e]",Submission!$O:$O,Submission!$H:$N,""))</f>
        <v>116589.2</v>
      </c>
    </row>
    <row r="89" spans="3:9" ht="16.2" customHeight="1" x14ac:dyDescent="0.3">
      <c r="C89" s="368" t="str">
        <f>_xlfn.CONCAT(_xlfn.XLOOKUP("[S05_AggregateTotalEmissionsByCRF][21][CRFCategory1]",Submission!$O:$O,Submission!$H:$N,""))</f>
        <v/>
      </c>
      <c r="D89" s="369"/>
      <c r="E89" s="370" t="str">
        <f>_xlfn.CONCAT(_xlfn.XLOOKUP("[S05_AggregateTotalEmissionsByCRF][21][CRFCategory2]",Submission!$O:$O,Submission!$H:$N,""))</f>
        <v xml:space="preserve">2B7 - Process - Soda Ash Production </v>
      </c>
      <c r="F89" s="371"/>
      <c r="G89" s="126" t="str">
        <f>_xlfn.CONCAT(_xlfn.XLOOKUP("[S05_AggregateTotalEmissionsByCRF][21][TotalEmissionsTCo2e]",Submission!$O:$O,Submission!$H:$N,""))</f>
        <v>420000.62</v>
      </c>
      <c r="H89" s="126" t="str">
        <f>_xlfn.CONCAT(_xlfn.XLOOKUP("[S05_AggregateTotalEmissionsByCRF][21][TotalCombustionEmissionsTCo2e]",Submission!$O:$O,Submission!$H:$N,""))</f>
        <v/>
      </c>
      <c r="I89" s="126" t="str">
        <f>_xlfn.CONCAT(_xlfn.XLOOKUP("[S05_AggregateTotalEmissionsByCRF][21][TotalProcessEmissionsTCo2e]",Submission!$O:$O,Submission!$H:$N,""))</f>
        <v>420000.62</v>
      </c>
    </row>
    <row r="90" spans="3:9" ht="16.2" customHeight="1" x14ac:dyDescent="0.3">
      <c r="C90" s="368" t="str">
        <f>_xlfn.CONCAT(_xlfn.XLOOKUP("[S05_AggregateTotalEmissionsByCRF][22][CRFCategory1]",Submission!$O:$O,Submission!$H:$N,""))</f>
        <v/>
      </c>
      <c r="D90" s="369"/>
      <c r="E90" s="370" t="str">
        <f>_xlfn.CONCAT(_xlfn.XLOOKUP("[S05_AggregateTotalEmissionsByCRF][22][CRFCategory2]",Submission!$O:$O,Submission!$H:$N,""))</f>
        <v>2B8 - Process - Petrochemical and Carbon Black Production</v>
      </c>
      <c r="F90" s="371"/>
      <c r="G90" s="126" t="str">
        <f>_xlfn.CONCAT(_xlfn.XLOOKUP("[S05_AggregateTotalEmissionsByCRF][22][TotalEmissionsTCo2e]",Submission!$O:$O,Submission!$H:$N,""))</f>
        <v>100334.9</v>
      </c>
      <c r="H90" s="126" t="str">
        <f>_xlfn.CONCAT(_xlfn.XLOOKUP("[S05_AggregateTotalEmissionsByCRF][22][TotalCombustionEmissionsTCo2e]",Submission!$O:$O,Submission!$H:$N,""))</f>
        <v/>
      </c>
      <c r="I90" s="126" t="str">
        <f>_xlfn.CONCAT(_xlfn.XLOOKUP("[S05_AggregateTotalEmissionsByCRF][22][TotalProcessEmissionsTCo2e]",Submission!$O:$O,Submission!$H:$N,""))</f>
        <v>100334.9</v>
      </c>
    </row>
    <row r="91" spans="3:9" ht="16.2" customHeight="1" x14ac:dyDescent="0.3">
      <c r="C91" s="368" t="str">
        <f>_xlfn.CONCAT(_xlfn.XLOOKUP("[S05_AggregateTotalEmissionsByCRF][23][CRFCategory1]",Submission!$O:$O,Submission!$H:$N,""))</f>
        <v/>
      </c>
      <c r="D91" s="369"/>
      <c r="E91" s="370" t="str">
        <f>_xlfn.CONCAT(_xlfn.XLOOKUP("[S05_AggregateTotalEmissionsByCRF][23][CRFCategory2]",Submission!$O:$O,Submission!$H:$N,""))</f>
        <v>2B10 - Process - Other Chemical Industry</v>
      </c>
      <c r="F91" s="371"/>
      <c r="G91" s="126" t="str">
        <f>_xlfn.CONCAT(_xlfn.XLOOKUP("[S05_AggregateTotalEmissionsByCRF][23][TotalEmissionsTCo2e]",Submission!$O:$O,Submission!$H:$N,""))</f>
        <v>1239422.37</v>
      </c>
      <c r="H91" s="126" t="str">
        <f>_xlfn.CONCAT(_xlfn.XLOOKUP("[S05_AggregateTotalEmissionsByCRF][23][TotalCombustionEmissionsTCo2e]",Submission!$O:$O,Submission!$H:$N,""))</f>
        <v/>
      </c>
      <c r="I91" s="126" t="str">
        <f>_xlfn.CONCAT(_xlfn.XLOOKUP("[S05_AggregateTotalEmissionsByCRF][23][TotalProcessEmissionsTCo2e]",Submission!$O:$O,Submission!$H:$N,""))</f>
        <v>1239422.37</v>
      </c>
    </row>
    <row r="92" spans="3:9" ht="16.2" customHeight="1" x14ac:dyDescent="0.3">
      <c r="C92" s="368" t="str">
        <f>_xlfn.CONCAT(_xlfn.XLOOKUP("[S05_AggregateTotalEmissionsByCRF][24][CRFCategory1]",Submission!$O:$O,Submission!$H:$N,""))</f>
        <v/>
      </c>
      <c r="D92" s="369"/>
      <c r="E92" s="370" t="str">
        <f>_xlfn.CONCAT(_xlfn.XLOOKUP("[S05_AggregateTotalEmissionsByCRF][24][CRFCategory2]",Submission!$O:$O,Submission!$H:$N,""))</f>
        <v>2C1 - Process - Iron and Steel Production</v>
      </c>
      <c r="F92" s="371"/>
      <c r="G92" s="126" t="str">
        <f>_xlfn.CONCAT(_xlfn.XLOOKUP("[S05_AggregateTotalEmissionsByCRF][24][TotalEmissionsTCo2e]",Submission!$O:$O,Submission!$H:$N,""))</f>
        <v>6804483.38</v>
      </c>
      <c r="H92" s="126" t="str">
        <f>_xlfn.CONCAT(_xlfn.XLOOKUP("[S05_AggregateTotalEmissionsByCRF][24][TotalCombustionEmissionsTCo2e]",Submission!$O:$O,Submission!$H:$N,""))</f>
        <v/>
      </c>
      <c r="I92" s="126" t="str">
        <f>_xlfn.CONCAT(_xlfn.XLOOKUP("[S05_AggregateTotalEmissionsByCRF][24][TotalProcessEmissionsTCo2e]",Submission!$O:$O,Submission!$H:$N,""))</f>
        <v>6804483.38</v>
      </c>
    </row>
    <row r="93" spans="3:9" ht="16.2" customHeight="1" x14ac:dyDescent="0.3">
      <c r="C93" s="368" t="str">
        <f>_xlfn.CONCAT(_xlfn.XLOOKUP("[S05_AggregateTotalEmissionsByCRF][25][CRFCategory1]",Submission!$O:$O,Submission!$H:$N,""))</f>
        <v/>
      </c>
      <c r="D93" s="369"/>
      <c r="E93" s="370" t="str">
        <f>_xlfn.CONCAT(_xlfn.XLOOKUP("[S05_AggregateTotalEmissionsByCRF][25][CRFCategory2]",Submission!$O:$O,Submission!$H:$N,""))</f>
        <v>2C2 - Process - Ferroalloys Production</v>
      </c>
      <c r="F93" s="371"/>
      <c r="G93" s="126" t="str">
        <f>_xlfn.CONCAT(_xlfn.XLOOKUP("[S05_AggregateTotalEmissionsByCRF][25][TotalEmissionsTCo2e]",Submission!$O:$O,Submission!$H:$N,""))</f>
        <v>250140.1</v>
      </c>
      <c r="H93" s="126" t="str">
        <f>_xlfn.CONCAT(_xlfn.XLOOKUP("[S05_AggregateTotalEmissionsByCRF][25][TotalCombustionEmissionsTCo2e]",Submission!$O:$O,Submission!$H:$N,""))</f>
        <v/>
      </c>
      <c r="I93" s="126" t="str">
        <f>_xlfn.CONCAT(_xlfn.XLOOKUP("[S05_AggregateTotalEmissionsByCRF][25][TotalProcessEmissionsTCo2e]",Submission!$O:$O,Submission!$H:$N,""))</f>
        <v>250140.1</v>
      </c>
    </row>
    <row r="94" spans="3:9" ht="16.2" customHeight="1" x14ac:dyDescent="0.3">
      <c r="C94" s="368" t="str">
        <f>_xlfn.CONCAT(_xlfn.XLOOKUP("[S05_AggregateTotalEmissionsByCRF][26][CRFCategory1]",Submission!$O:$O,Submission!$H:$N,""))</f>
        <v/>
      </c>
      <c r="D94" s="369"/>
      <c r="E94" s="370" t="str">
        <f>_xlfn.CONCAT(_xlfn.XLOOKUP("[S05_AggregateTotalEmissionsByCRF][26][CRFCategory2]",Submission!$O:$O,Submission!$H:$N,""))</f>
        <v xml:space="preserve">2C6 - Process - Zinc Production </v>
      </c>
      <c r="F94" s="371"/>
      <c r="G94" s="126" t="str">
        <f>_xlfn.CONCAT(_xlfn.XLOOKUP("[S05_AggregateTotalEmissionsByCRF][26][TotalEmissionsTCo2e]",Submission!$O:$O,Submission!$H:$N,""))</f>
        <v>342904.8</v>
      </c>
      <c r="H94" s="126" t="str">
        <f>_xlfn.CONCAT(_xlfn.XLOOKUP("[S05_AggregateTotalEmissionsByCRF][26][TotalCombustionEmissionsTCo2e]",Submission!$O:$O,Submission!$H:$N,""))</f>
        <v/>
      </c>
      <c r="I94" s="126" t="str">
        <f>_xlfn.CONCAT(_xlfn.XLOOKUP("[S05_AggregateTotalEmissionsByCRF][26][TotalProcessEmissionsTCo2e]",Submission!$O:$O,Submission!$H:$N,""))</f>
        <v>342904.8</v>
      </c>
    </row>
    <row r="95" spans="3:9" ht="16.2" customHeight="1" x14ac:dyDescent="0.3">
      <c r="C95" s="368" t="str">
        <f>_xlfn.CONCAT(_xlfn.XLOOKUP("[S05_AggregateTotalEmissionsByCRF][27][CRFCategory1]",Submission!$O:$O,Submission!$H:$N,""))</f>
        <v/>
      </c>
      <c r="D95" s="369"/>
      <c r="E95" s="370" t="str">
        <f>_xlfn.CONCAT(_xlfn.XLOOKUP("[S05_AggregateTotalEmissionsByCRF][27][CRFCategory2]",Submission!$O:$O,Submission!$H:$N,""))</f>
        <v>2C7 - Process - Other Metal Industry</v>
      </c>
      <c r="F95" s="371"/>
      <c r="G95" s="126" t="str">
        <f>_xlfn.CONCAT(_xlfn.XLOOKUP("[S05_AggregateTotalEmissionsByCRF][27][TotalEmissionsTCo2e]",Submission!$O:$O,Submission!$H:$N,""))</f>
        <v>736200.7</v>
      </c>
      <c r="H95" s="126" t="str">
        <f>_xlfn.CONCAT(_xlfn.XLOOKUP("[S05_AggregateTotalEmissionsByCRF][27][TotalCombustionEmissionsTCo2e]",Submission!$O:$O,Submission!$H:$N,""))</f>
        <v/>
      </c>
      <c r="I95" s="126" t="str">
        <f>_xlfn.CONCAT(_xlfn.XLOOKUP("[S05_AggregateTotalEmissionsByCRF][27][TotalProcessEmissionsTCo2e]",Submission!$O:$O,Submission!$H:$N,""))</f>
        <v>736200.7</v>
      </c>
    </row>
    <row r="96" spans="3:9" ht="16.2" customHeight="1" x14ac:dyDescent="0.3">
      <c r="C96" s="368" t="str">
        <f>_xlfn.CONCAT(_xlfn.XLOOKUP("[S05_AggregateTotalEmissionsByCRF][28][CRFCategory1]",Submission!$O:$O,Submission!$H:$N,""))</f>
        <v/>
      </c>
      <c r="D96" s="369"/>
      <c r="E96" s="370" t="str">
        <f>_xlfn.CONCAT(_xlfn.XLOOKUP("[S05_AggregateTotalEmissionsByCRF][28][CRFCategory2]",Submission!$O:$O,Submission!$H:$N,""))</f>
        <v>2G - Process - Other Product Manufacture and Use</v>
      </c>
      <c r="F96" s="371"/>
      <c r="G96" s="126" t="str">
        <f>_xlfn.CONCAT(_xlfn.XLOOKUP("[S05_AggregateTotalEmissionsByCRF][28][TotalEmissionsTCo2e]",Submission!$O:$O,Submission!$H:$N,""))</f>
        <v>325</v>
      </c>
      <c r="H96" s="126" t="str">
        <f>_xlfn.CONCAT(_xlfn.XLOOKUP("[S05_AggregateTotalEmissionsByCRF][28][TotalCombustionEmissionsTCo2e]",Submission!$O:$O,Submission!$H:$N,""))</f>
        <v/>
      </c>
      <c r="I96" s="126" t="str">
        <f>_xlfn.CONCAT(_xlfn.XLOOKUP("[S05_AggregateTotalEmissionsByCRF][28][TotalProcessEmissionsTCo2e]",Submission!$O:$O,Submission!$H:$N,""))</f>
        <v>325</v>
      </c>
    </row>
    <row r="97" spans="3:9" ht="16.2" customHeight="1" x14ac:dyDescent="0.3">
      <c r="C97" s="368" t="str">
        <f>_xlfn.CONCAT(_xlfn.XLOOKUP("[S05_AggregateTotalEmissionsByCRF][29][CRFCategory1]",Submission!$O:$O,Submission!$H:$N,""))</f>
        <v/>
      </c>
      <c r="D97" s="369"/>
      <c r="E97" s="370" t="str">
        <f>_xlfn.CONCAT(_xlfn.XLOOKUP("[S05_AggregateTotalEmissionsByCRF][29][CRFCategory2]",Submission!$O:$O,Submission!$H:$N,""))</f>
        <v>2H - Process - Other Industrial Process and Product Use</v>
      </c>
      <c r="F97" s="371"/>
      <c r="G97" s="126" t="str">
        <f>_xlfn.CONCAT(_xlfn.XLOOKUP("[S05_AggregateTotalEmissionsByCRF][29][TotalEmissionsTCo2e]",Submission!$O:$O,Submission!$H:$N,""))</f>
        <v>15075.9</v>
      </c>
      <c r="H97" s="126" t="str">
        <f>_xlfn.CONCAT(_xlfn.XLOOKUP("[S05_AggregateTotalEmissionsByCRF][29][TotalCombustionEmissionsTCo2e]",Submission!$O:$O,Submission!$H:$N,""))</f>
        <v/>
      </c>
      <c r="I97" s="126" t="str">
        <f>_xlfn.CONCAT(_xlfn.XLOOKUP("[S05_AggregateTotalEmissionsByCRF][29][TotalProcessEmissionsTCo2e]",Submission!$O:$O,Submission!$H:$N,""))</f>
        <v>15075.9</v>
      </c>
    </row>
    <row r="98" spans="3:9" ht="16.2" customHeight="1" x14ac:dyDescent="0.3">
      <c r="C98" s="368" t="str">
        <f>_xlfn.CONCAT(_xlfn.XLOOKUP("[S05_AggregateTotalEmissionsByCRF][30][CRFCategory1]",Submission!$O:$O,Submission!$H:$N,""))</f>
        <v/>
      </c>
      <c r="D98" s="369"/>
      <c r="E98" s="370" t="str">
        <f>_xlfn.CONCAT(_xlfn.XLOOKUP("[S05_AggregateTotalEmissionsByCRF][30][CRFCategory2]",Submission!$O:$O,Submission!$H:$N,""))</f>
        <v/>
      </c>
      <c r="F98" s="371"/>
      <c r="G98" s="126" t="str">
        <f>_xlfn.CONCAT(_xlfn.XLOOKUP("[S05_AggregateTotalEmissionsByCRF][30][TotalEmissionsTCo2e]",Submission!$O:$O,Submission!$H:$N,""))</f>
        <v>3105533.27</v>
      </c>
      <c r="H98" s="126" t="str">
        <f>_xlfn.CONCAT(_xlfn.XLOOKUP("[S05_AggregateTotalEmissionsByCRF][30][TotalCombustionEmissionsTCo2e]",Submission!$O:$O,Submission!$H:$N,""))</f>
        <v>2100040</v>
      </c>
      <c r="I98" s="126" t="str">
        <f>_xlfn.CONCAT(_xlfn.XLOOKUP("[S05_AggregateTotalEmissionsByCRF][30][TotalProcessEmissionsTCo2e]",Submission!$O:$O,Submission!$H:$N,""))</f>
        <v>1005493.27</v>
      </c>
    </row>
    <row r="99" spans="3:9" ht="16.2" customHeight="1" x14ac:dyDescent="0.3">
      <c r="C99" s="368" t="str">
        <f>_xlfn.CONCAT(_xlfn.XLOOKUP("[S05_AggregateTotalEmissionsByCRF][31][CRFCategory1]",Submission!$O:$O,Submission!$H:$N,""))</f>
        <v/>
      </c>
      <c r="D99" s="369"/>
      <c r="E99" s="370" t="str">
        <f>_xlfn.CONCAT(_xlfn.XLOOKUP("[S05_AggregateTotalEmissionsByCRF][31][CRFCategory2]",Submission!$O:$O,Submission!$H:$N,""))</f>
        <v/>
      </c>
      <c r="F99" s="371"/>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8" t="str">
        <f>_xlfn.CONCAT(_xlfn.XLOOKUP("[S05_AggregateTotalEmissionsByCRF][32][CRFCategory1]",Submission!$O:$O,Submission!$H:$N,""))</f>
        <v/>
      </c>
      <c r="D100" s="369"/>
      <c r="E100" s="370" t="str">
        <f>_xlfn.CONCAT(_xlfn.XLOOKUP("[S05_AggregateTotalEmissionsByCRF][32][CRFCategory2]",Submission!$O:$O,Submission!$H:$N,""))</f>
        <v/>
      </c>
      <c r="F100" s="371"/>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8" t="str">
        <f>_xlfn.CONCAT(_xlfn.XLOOKUP("[S05_AggregateTotalEmissionsByCRF][33][CRFCategory1]",Submission!$O:$O,Submission!$H:$N,""))</f>
        <v/>
      </c>
      <c r="D101" s="369"/>
      <c r="E101" s="370" t="str">
        <f>_xlfn.CONCAT(_xlfn.XLOOKUP("[S05_AggregateTotalEmissionsByCRF][33][CRFCategory2]",Submission!$O:$O,Submission!$H:$N,""))</f>
        <v/>
      </c>
      <c r="F101" s="371"/>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8" t="str">
        <f>_xlfn.CONCAT(_xlfn.XLOOKUP("[S05_AggregateTotalEmissionsByCRF][34][CRFCategory1]",Submission!$O:$O,Submission!$H:$N,""))</f>
        <v/>
      </c>
      <c r="D102" s="369"/>
      <c r="E102" s="370" t="str">
        <f>_xlfn.CONCAT(_xlfn.XLOOKUP("[S05_AggregateTotalEmissionsByCRF][34][CRFCategory2]",Submission!$O:$O,Submission!$H:$N,""))</f>
        <v/>
      </c>
      <c r="F102" s="371"/>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8" t="str">
        <f>_xlfn.CONCAT(_xlfn.XLOOKUP("[S05_AggregateTotalEmissionsByCRF][35][CRFCategory1]",Submission!$O:$O,Submission!$H:$N,""))</f>
        <v/>
      </c>
      <c r="D103" s="369"/>
      <c r="E103" s="370" t="str">
        <f>_xlfn.CONCAT(_xlfn.XLOOKUP("[S05_AggregateTotalEmissionsByCRF][35][CRFCategory2]",Submission!$O:$O,Submission!$H:$N,""))</f>
        <v/>
      </c>
      <c r="F103" s="371"/>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8" t="str">
        <f>_xlfn.CONCAT(_xlfn.XLOOKUP("[S05_AggregateTotalEmissionsByCRF][36][CRFCategory1]",Submission!$O:$O,Submission!$H:$N,""))</f>
        <v/>
      </c>
      <c r="D104" s="369"/>
      <c r="E104" s="370" t="str">
        <f>_xlfn.CONCAT(_xlfn.XLOOKUP("[S05_AggregateTotalEmissionsByCRF][36][CRFCategory2]",Submission!$O:$O,Submission!$H:$N,""))</f>
        <v/>
      </c>
      <c r="F104" s="371"/>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8" t="str">
        <f>_xlfn.CONCAT(_xlfn.XLOOKUP("[S05_AggregateTotalEmissionsByCRF][37][CRFCategory1]",Submission!$O:$O,Submission!$H:$N,""))</f>
        <v/>
      </c>
      <c r="D105" s="369"/>
      <c r="E105" s="370" t="str">
        <f>_xlfn.CONCAT(_xlfn.XLOOKUP("[S05_AggregateTotalEmissionsByCRF][37][CRFCategory2]",Submission!$O:$O,Submission!$H:$N,""))</f>
        <v/>
      </c>
      <c r="F105" s="371"/>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8" t="str">
        <f>_xlfn.CONCAT(_xlfn.XLOOKUP("[S05_AggregateTotalEmissionsByCRF][38][CRFCategory1]",Submission!$O:$O,Submission!$H:$N,""))</f>
        <v/>
      </c>
      <c r="D106" s="369"/>
      <c r="E106" s="370" t="str">
        <f>_xlfn.CONCAT(_xlfn.XLOOKUP("[S05_AggregateTotalEmissionsByCRF][38][CRFCategory2]",Submission!$O:$O,Submission!$H:$N,""))</f>
        <v/>
      </c>
      <c r="F106" s="371"/>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8" t="str">
        <f>_xlfn.CONCAT(_xlfn.XLOOKUP("[S05_AggregateTotalEmissionsByCRF][39][CRFCategory1]",Submission!$O:$O,Submission!$H:$N,""))</f>
        <v/>
      </c>
      <c r="D107" s="369"/>
      <c r="E107" s="370" t="str">
        <f>_xlfn.CONCAT(_xlfn.XLOOKUP("[S05_AggregateTotalEmissionsByCRF][39][CRFCategory2]",Submission!$O:$O,Submission!$H:$N,""))</f>
        <v/>
      </c>
      <c r="F107" s="371"/>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8" t="str">
        <f>_xlfn.CONCAT(_xlfn.XLOOKUP("[S05_AggregateTotalEmissionsByCRF][40][CRFCategory1]",Submission!$O:$O,Submission!$H:$N,""))</f>
        <v/>
      </c>
      <c r="D108" s="369"/>
      <c r="E108" s="370" t="str">
        <f>_xlfn.CONCAT(_xlfn.XLOOKUP("[S05_AggregateTotalEmissionsByCRF][40][CRFCategory2]",Submission!$O:$O,Submission!$H:$N,""))</f>
        <v/>
      </c>
      <c r="F108" s="371"/>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8" t="str">
        <f>_xlfn.CONCAT(_xlfn.XLOOKUP("[S05_AggregateTotalEmissionsByCRF][41][CRFCategory1]",Submission!$O:$O,Submission!$H:$N,""))</f>
        <v/>
      </c>
      <c r="D109" s="369"/>
      <c r="E109" s="370" t="str">
        <f>_xlfn.CONCAT(_xlfn.XLOOKUP("[S05_AggregateTotalEmissionsByCRF][41][CRFCategory2]",Submission!$O:$O,Submission!$H:$N,""))</f>
        <v/>
      </c>
      <c r="F109" s="371"/>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8" t="str">
        <f>_xlfn.CONCAT(_xlfn.XLOOKUP("[S05_AggregateTotalEmissionsByCRF][42][CRFCategory1]",Submission!$O:$O,Submission!$H:$N,""))</f>
        <v/>
      </c>
      <c r="D110" s="369"/>
      <c r="E110" s="370" t="str">
        <f>_xlfn.CONCAT(_xlfn.XLOOKUP("[S05_AggregateTotalEmissionsByCRF][42][CRFCategory2]",Submission!$O:$O,Submission!$H:$N,""))</f>
        <v/>
      </c>
      <c r="F110" s="371"/>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8" t="str">
        <f>_xlfn.CONCAT(_xlfn.XLOOKUP("[S05_AggregateTotalEmissionsByCRF][43][CRFCategory1]",Submission!$O:$O,Submission!$H:$N,""))</f>
        <v/>
      </c>
      <c r="D111" s="369"/>
      <c r="E111" s="370" t="str">
        <f>_xlfn.CONCAT(_xlfn.XLOOKUP("[S05_AggregateTotalEmissionsByCRF][43][CRFCategory2]",Submission!$O:$O,Submission!$H:$N,""))</f>
        <v/>
      </c>
      <c r="F111" s="371"/>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8" t="str">
        <f>_xlfn.CONCAT(_xlfn.XLOOKUP("[S05_AggregateTotalEmissionsByCRF][44][CRFCategory1]",Submission!$O:$O,Submission!$H:$N,""))</f>
        <v/>
      </c>
      <c r="D112" s="369"/>
      <c r="E112" s="370" t="str">
        <f>_xlfn.CONCAT(_xlfn.XLOOKUP("[S05_AggregateTotalEmissionsByCRF][44][CRFCategory2]",Submission!$O:$O,Submission!$H:$N,""))</f>
        <v/>
      </c>
      <c r="F112" s="371"/>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8" t="str">
        <f>_xlfn.CONCAT(_xlfn.XLOOKUP("[S05_AggregateTotalEmissionsByCRF][45][CRFCategory1]",Submission!$O:$O,Submission!$H:$N,""))</f>
        <v/>
      </c>
      <c r="D113" s="369"/>
      <c r="E113" s="370" t="str">
        <f>_xlfn.CONCAT(_xlfn.XLOOKUP("[S05_AggregateTotalEmissionsByCRF][45][CRFCategory2]",Submission!$O:$O,Submission!$H:$N,""))</f>
        <v/>
      </c>
      <c r="F113" s="371"/>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8" t="str">
        <f>_xlfn.CONCAT(_xlfn.XLOOKUP("[S05_AggregateTotalEmissionsByCRF][46][CRFCategory1]",Submission!$O:$O,Submission!$H:$N,""))</f>
        <v/>
      </c>
      <c r="D114" s="369"/>
      <c r="E114" s="370" t="str">
        <f>_xlfn.CONCAT(_xlfn.XLOOKUP("[S05_AggregateTotalEmissionsByCRF][46][CRFCategory2]",Submission!$O:$O,Submission!$H:$N,""))</f>
        <v/>
      </c>
      <c r="F114" s="371"/>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8" t="str">
        <f>_xlfn.CONCAT(_xlfn.XLOOKUP("[S05_AggregateTotalEmissionsByCRF][47][CRFCategory1]",Submission!$O:$O,Submission!$H:$N,""))</f>
        <v/>
      </c>
      <c r="D115" s="369"/>
      <c r="E115" s="370" t="str">
        <f>_xlfn.CONCAT(_xlfn.XLOOKUP("[S05_AggregateTotalEmissionsByCRF][47][CRFCategory2]",Submission!$O:$O,Submission!$H:$N,""))</f>
        <v/>
      </c>
      <c r="F115" s="371"/>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8" t="str">
        <f>_xlfn.CONCAT(_xlfn.XLOOKUP("[S05_AggregateTotalEmissionsByCRF][48][CRFCategory1]",Submission!$O:$O,Submission!$H:$N,""))</f>
        <v/>
      </c>
      <c r="D116" s="369"/>
      <c r="E116" s="370" t="str">
        <f>_xlfn.CONCAT(_xlfn.XLOOKUP("[S05_AggregateTotalEmissionsByCRF][48][CRFCategory2]",Submission!$O:$O,Submission!$H:$N,""))</f>
        <v/>
      </c>
      <c r="F116" s="371"/>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8" t="str">
        <f>_xlfn.CONCAT(_xlfn.XLOOKUP("[S05_AggregateTotalEmissionsByCRF][49][CRFCategory1]",Submission!$O:$O,Submission!$H:$N,""))</f>
        <v/>
      </c>
      <c r="D117" s="369"/>
      <c r="E117" s="370" t="str">
        <f>_xlfn.CONCAT(_xlfn.XLOOKUP("[S05_AggregateTotalEmissionsByCRF][49][CRFCategory2]",Submission!$O:$O,Submission!$H:$N,""))</f>
        <v/>
      </c>
      <c r="F117" s="371"/>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8" t="str">
        <f>_xlfn.CONCAT(_xlfn.XLOOKUP("[S05_AggregateTotalEmissionsByCRF][50][CRFCategory1]",Submission!$O:$O,Submission!$H:$N,""))</f>
        <v/>
      </c>
      <c r="D118" s="369"/>
      <c r="E118" s="370" t="str">
        <f>_xlfn.CONCAT(_xlfn.XLOOKUP("[S05_AggregateTotalEmissionsByCRF][50][CRFCategory2]",Submission!$O:$O,Submission!$H:$N,""))</f>
        <v/>
      </c>
      <c r="F118" s="371"/>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8" t="str">
        <f>_xlfn.CONCAT(_xlfn.XLOOKUP("[S05_AggregateTotalEmissionsByCRF][51][CRFCategory1]",Submission!$O:$O,Submission!$H:$N,""))</f>
        <v/>
      </c>
      <c r="D119" s="369"/>
      <c r="E119" s="370" t="str">
        <f>_xlfn.CONCAT(_xlfn.XLOOKUP("[S05_AggregateTotalEmissionsByCRF][51][CRFCategory2]",Submission!$O:$O,Submission!$H:$N,""))</f>
        <v/>
      </c>
      <c r="F119" s="371"/>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8" t="str">
        <f>_xlfn.CONCAT(_xlfn.XLOOKUP("[S05_AggregateTotalEmissionsByCRF][52][CRFCategory1]",Submission!$O:$O,Submission!$H:$N,""))</f>
        <v/>
      </c>
      <c r="D120" s="369"/>
      <c r="E120" s="370" t="str">
        <f>_xlfn.CONCAT(_xlfn.XLOOKUP("[S05_AggregateTotalEmissionsByCRF][52][CRFCategory2]",Submission!$O:$O,Submission!$H:$N,""))</f>
        <v/>
      </c>
      <c r="F120" s="371"/>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8" t="str">
        <f>_xlfn.CONCAT(_xlfn.XLOOKUP("[S05_AggregateTotalEmissionsByCRF][53][CRFCategory1]",Submission!$O:$O,Submission!$H:$N,""))</f>
        <v/>
      </c>
      <c r="D121" s="369"/>
      <c r="E121" s="370" t="str">
        <f>_xlfn.CONCAT(_xlfn.XLOOKUP("[S05_AggregateTotalEmissionsByCRF][53][CRFCategory2]",Submission!$O:$O,Submission!$H:$N,""))</f>
        <v/>
      </c>
      <c r="F121" s="371"/>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8" t="str">
        <f>_xlfn.CONCAT(_xlfn.XLOOKUP("[S05_AggregateTotalEmissionsByCRF][54][CRFCategory1]",Submission!$O:$O,Submission!$H:$N,""))</f>
        <v/>
      </c>
      <c r="D122" s="369"/>
      <c r="E122" s="370" t="str">
        <f>_xlfn.CONCAT(_xlfn.XLOOKUP("[S05_AggregateTotalEmissionsByCRF][54][CRFCategory2]",Submission!$O:$O,Submission!$H:$N,""))</f>
        <v/>
      </c>
      <c r="F122" s="371"/>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8" t="str">
        <f>_xlfn.CONCAT(_xlfn.XLOOKUP("[S05_AggregateTotalEmissionsByCRF][55][CRFCategory1]",Submission!$O:$O,Submission!$H:$N,""))</f>
        <v/>
      </c>
      <c r="D123" s="369"/>
      <c r="E123" s="370" t="str">
        <f>_xlfn.CONCAT(_xlfn.XLOOKUP("[S05_AggregateTotalEmissionsByCRF][55][CRFCategory2]",Submission!$O:$O,Submission!$H:$N,""))</f>
        <v/>
      </c>
      <c r="F123" s="371"/>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8" t="str">
        <f>_xlfn.CONCAT(_xlfn.XLOOKUP("[S05_AggregateTotalEmissionsByCRF][56][CRFCategory1]",Submission!$O:$O,Submission!$H:$N,""))</f>
        <v/>
      </c>
      <c r="D124" s="369"/>
      <c r="E124" s="370" t="str">
        <f>_xlfn.CONCAT(_xlfn.XLOOKUP("[S05_AggregateTotalEmissionsByCRF][56][CRFCategory2]",Submission!$O:$O,Submission!$H:$N,""))</f>
        <v/>
      </c>
      <c r="F124" s="371"/>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8" t="str">
        <f>_xlfn.CONCAT(_xlfn.XLOOKUP("[S05_AggregateTotalEmissionsByCRF][57][CRFCategory1]",Submission!$O:$O,Submission!$H:$N,""))</f>
        <v/>
      </c>
      <c r="D125" s="369"/>
      <c r="E125" s="370" t="str">
        <f>_xlfn.CONCAT(_xlfn.XLOOKUP("[S05_AggregateTotalEmissionsByCRF][57][CRFCategory2]",Submission!$O:$O,Submission!$H:$N,""))</f>
        <v/>
      </c>
      <c r="F125" s="371"/>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8" t="str">
        <f>_xlfn.CONCAT(_xlfn.XLOOKUP("[S05_AggregateTotalEmissionsByCRF][58][CRFCategory1]",Submission!$O:$O,Submission!$H:$N,""))</f>
        <v/>
      </c>
      <c r="D126" s="369"/>
      <c r="E126" s="370" t="str">
        <f>_xlfn.CONCAT(_xlfn.XLOOKUP("[S05_AggregateTotalEmissionsByCRF][58][CRFCategory2]",Submission!$O:$O,Submission!$H:$N,""))</f>
        <v/>
      </c>
      <c r="F126" s="371"/>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8" t="str">
        <f>_xlfn.CONCAT(_xlfn.XLOOKUP("[S05_AggregateTotalEmissionsByCRF][59][CRFCategory1]",Submission!$O:$O,Submission!$H:$N,""))</f>
        <v/>
      </c>
      <c r="D127" s="369"/>
      <c r="E127" s="370" t="str">
        <f>_xlfn.CONCAT(_xlfn.XLOOKUP("[S05_AggregateTotalEmissionsByCRF][59][CRFCategory2]",Submission!$O:$O,Submission!$H:$N,""))</f>
        <v/>
      </c>
      <c r="F127" s="371"/>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8" t="str">
        <f>_xlfn.CONCAT(_xlfn.XLOOKUP("[S05_AggregateTotalEmissionsByCRF][60][CRFCategory1]",Submission!$O:$O,Submission!$H:$N,""))</f>
        <v/>
      </c>
      <c r="D128" s="369"/>
      <c r="E128" s="370" t="str">
        <f>_xlfn.CONCAT(_xlfn.XLOOKUP("[S05_AggregateTotalEmissionsByCRF][60][CRFCategory2]",Submission!$O:$O,Submission!$H:$N,""))</f>
        <v/>
      </c>
      <c r="F128" s="371"/>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8" t="str">
        <f>_xlfn.CONCAT(_xlfn.XLOOKUP("[S05_AggregateTotalEmissionsByCRF][61][CRFCategory1]",Submission!$O:$O,Submission!$H:$N,""))</f>
        <v/>
      </c>
      <c r="D129" s="369"/>
      <c r="E129" s="370" t="str">
        <f>_xlfn.CONCAT(_xlfn.XLOOKUP("[S05_AggregateTotalEmissionsByCRF][61][CRFCategory2]",Submission!$O:$O,Submission!$H:$N,""))</f>
        <v/>
      </c>
      <c r="F129" s="371"/>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8" t="str">
        <f>_xlfn.CONCAT(_xlfn.XLOOKUP("[S05_AggregateTotalEmissionsByCRF][62][CRFCategory1]",Submission!$O:$O,Submission!$H:$N,""))</f>
        <v/>
      </c>
      <c r="D130" s="369"/>
      <c r="E130" s="370" t="str">
        <f>_xlfn.CONCAT(_xlfn.XLOOKUP("[S05_AggregateTotalEmissionsByCRF][62][CRFCategory2]",Submission!$O:$O,Submission!$H:$N,""))</f>
        <v/>
      </c>
      <c r="F130" s="371"/>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8" t="str">
        <f>_xlfn.CONCAT(_xlfn.XLOOKUP("[S05_AggregateTotalEmissionsByCRF][63][CRFCategory1]",Submission!$O:$O,Submission!$H:$N,""))</f>
        <v/>
      </c>
      <c r="D131" s="369"/>
      <c r="E131" s="370" t="str">
        <f>_xlfn.CONCAT(_xlfn.XLOOKUP("[S05_AggregateTotalEmissionsByCRF][63][CRFCategory2]",Submission!$O:$O,Submission!$H:$N,""))</f>
        <v/>
      </c>
      <c r="F131" s="371"/>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8" t="str">
        <f>_xlfn.CONCAT(_xlfn.XLOOKUP("[S05_AggregateTotalEmissionsByCRF][64][CRFCategory1]",Submission!$O:$O,Submission!$H:$N,""))</f>
        <v/>
      </c>
      <c r="D132" s="369"/>
      <c r="E132" s="370" t="str">
        <f>_xlfn.CONCAT(_xlfn.XLOOKUP("[S05_AggregateTotalEmissionsByCRF][64][CRFCategory2]",Submission!$O:$O,Submission!$H:$N,""))</f>
        <v/>
      </c>
      <c r="F132" s="371"/>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8" t="str">
        <f>_xlfn.CONCAT(_xlfn.XLOOKUP("[S05_AggregateTotalEmissionsByCRF][65][CRFCategory1]",Submission!$O:$O,Submission!$H:$N,""))</f>
        <v/>
      </c>
      <c r="D133" s="369"/>
      <c r="E133" s="370" t="str">
        <f>_xlfn.CONCAT(_xlfn.XLOOKUP("[S05_AggregateTotalEmissionsByCRF][65][CRFCategory2]",Submission!$O:$O,Submission!$H:$N,""))</f>
        <v/>
      </c>
      <c r="F133" s="371"/>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8" t="str">
        <f>_xlfn.CONCAT(_xlfn.XLOOKUP("[S05_AggregateTotalEmissionsByCRF][66][CRFCategory1]",Submission!$O:$O,Submission!$H:$N,""))</f>
        <v/>
      </c>
      <c r="D134" s="369"/>
      <c r="E134" s="370" t="str">
        <f>_xlfn.CONCAT(_xlfn.XLOOKUP("[S05_AggregateTotalEmissionsByCRF][66][CRFCategory2]",Submission!$O:$O,Submission!$H:$N,""))</f>
        <v/>
      </c>
      <c r="F134" s="371"/>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8" t="str">
        <f>_xlfn.CONCAT(_xlfn.XLOOKUP("[S05_AggregateTotalEmissionsByCRF][67][CRFCategory1]",Submission!$O:$O,Submission!$H:$N,""))</f>
        <v/>
      </c>
      <c r="D135" s="369"/>
      <c r="E135" s="370" t="str">
        <f>_xlfn.CONCAT(_xlfn.XLOOKUP("[S05_AggregateTotalEmissionsByCRF][67][CRFCategory2]",Submission!$O:$O,Submission!$H:$N,""))</f>
        <v/>
      </c>
      <c r="F135" s="371"/>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8" t="str">
        <f>_xlfn.CONCAT(_xlfn.XLOOKUP("[S05_AggregateTotalEmissionsByCRF][68][CRFCategory1]",Submission!$O:$O,Submission!$H:$N,""))</f>
        <v/>
      </c>
      <c r="D136" s="369"/>
      <c r="E136" s="370" t="str">
        <f>_xlfn.CONCAT(_xlfn.XLOOKUP("[S05_AggregateTotalEmissionsByCRF][68][CRFCategory2]",Submission!$O:$O,Submission!$H:$N,""))</f>
        <v/>
      </c>
      <c r="F136" s="371"/>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8" t="str">
        <f>_xlfn.CONCAT(_xlfn.XLOOKUP("[S05_AggregateTotalEmissionsByCRF][69][CRFCategory1]",Submission!$O:$O,Submission!$H:$N,""))</f>
        <v/>
      </c>
      <c r="D137" s="369"/>
      <c r="E137" s="370" t="str">
        <f>_xlfn.CONCAT(_xlfn.XLOOKUP("[S05_AggregateTotalEmissionsByCRF][69][CRFCategory2]",Submission!$O:$O,Submission!$H:$N,""))</f>
        <v/>
      </c>
      <c r="F137" s="371"/>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8" t="str">
        <f>_xlfn.CONCAT(_xlfn.XLOOKUP("[S05_AggregateTotalEmissionsByCRF][70][CRFCategory1]",Submission!$O:$O,Submission!$H:$N,""))</f>
        <v/>
      </c>
      <c r="D138" s="369"/>
      <c r="E138" s="370" t="str">
        <f>_xlfn.CONCAT(_xlfn.XLOOKUP("[S05_AggregateTotalEmissionsByCRF][70][CRFCategory2]",Submission!$O:$O,Submission!$H:$N,""))</f>
        <v/>
      </c>
      <c r="F138" s="371"/>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8" t="str">
        <f>_xlfn.CONCAT(_xlfn.XLOOKUP("[S05_AggregateTotalEmissionsByCRF][71][CRFCategory1]",Submission!$O:$O,Submission!$H:$N,""))</f>
        <v/>
      </c>
      <c r="D139" s="369"/>
      <c r="E139" s="370" t="str">
        <f>_xlfn.CONCAT(_xlfn.XLOOKUP("[S05_AggregateTotalEmissionsByCRF][71][CRFCategory2]",Submission!$O:$O,Submission!$H:$N,""))</f>
        <v/>
      </c>
      <c r="F139" s="371"/>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8" t="str">
        <f>_xlfn.CONCAT(_xlfn.XLOOKUP("[S05_AggregateTotalEmissionsByCRF][72][CRFCategory1]",Submission!$O:$O,Submission!$H:$N,""))</f>
        <v/>
      </c>
      <c r="D140" s="369"/>
      <c r="E140" s="370" t="str">
        <f>_xlfn.CONCAT(_xlfn.XLOOKUP("[S05_AggregateTotalEmissionsByCRF][72][CRFCategory2]",Submission!$O:$O,Submission!$H:$N,""))</f>
        <v/>
      </c>
      <c r="F140" s="371"/>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8" t="str">
        <f>_xlfn.CONCAT(_xlfn.XLOOKUP("[S05_AggregateTotalEmissionsByCRF][73][CRFCategory1]",Submission!$O:$O,Submission!$H:$N,""))</f>
        <v/>
      </c>
      <c r="D141" s="369"/>
      <c r="E141" s="370" t="str">
        <f>_xlfn.CONCAT(_xlfn.XLOOKUP("[S05_AggregateTotalEmissionsByCRF][73][CRFCategory2]",Submission!$O:$O,Submission!$H:$N,""))</f>
        <v/>
      </c>
      <c r="F141" s="371"/>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8" t="str">
        <f>_xlfn.CONCAT(_xlfn.XLOOKUP("[S05_AggregateTotalEmissionsByCRF][74][CRFCategory1]",Submission!$O:$O,Submission!$H:$N,""))</f>
        <v/>
      </c>
      <c r="D142" s="369"/>
      <c r="E142" s="370" t="str">
        <f>_xlfn.CONCAT(_xlfn.XLOOKUP("[S05_AggregateTotalEmissionsByCRF][74][CRFCategory2]",Submission!$O:$O,Submission!$H:$N,""))</f>
        <v/>
      </c>
      <c r="F142" s="371"/>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8" t="str">
        <f>_xlfn.CONCAT(_xlfn.XLOOKUP("[S05_AggregateTotalEmissionsByCRF][75][CRFCategory1]",Submission!$O:$O,Submission!$H:$N,""))</f>
        <v/>
      </c>
      <c r="D143" s="369"/>
      <c r="E143" s="370" t="str">
        <f>_xlfn.CONCAT(_xlfn.XLOOKUP("[S05_AggregateTotalEmissionsByCRF][75][CRFCategory2]",Submission!$O:$O,Submission!$H:$N,""))</f>
        <v/>
      </c>
      <c r="F143" s="371"/>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8" t="str">
        <f>_xlfn.CONCAT(_xlfn.XLOOKUP("[S05_AggregateTotalEmissionsByCRF][76][CRFCategory1]",Submission!$O:$O,Submission!$H:$N,""))</f>
        <v/>
      </c>
      <c r="D144" s="369"/>
      <c r="E144" s="370" t="str">
        <f>_xlfn.CONCAT(_xlfn.XLOOKUP("[S05_AggregateTotalEmissionsByCRF][76][CRFCategory2]",Submission!$O:$O,Submission!$H:$N,""))</f>
        <v/>
      </c>
      <c r="F144" s="371"/>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8" t="str">
        <f>_xlfn.CONCAT(_xlfn.XLOOKUP("[S05_AggregateTotalEmissionsByCRF][77][CRFCategory1]",Submission!$O:$O,Submission!$H:$N,""))</f>
        <v/>
      </c>
      <c r="D145" s="369"/>
      <c r="E145" s="370" t="str">
        <f>_xlfn.CONCAT(_xlfn.XLOOKUP("[S05_AggregateTotalEmissionsByCRF][77][CRFCategory2]",Submission!$O:$O,Submission!$H:$N,""))</f>
        <v/>
      </c>
      <c r="F145" s="371"/>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8" t="str">
        <f>_xlfn.CONCAT(_xlfn.XLOOKUP("[S05_AggregateTotalEmissionsByCRF][78][CRFCategory1]",Submission!$O:$O,Submission!$H:$N,""))</f>
        <v/>
      </c>
      <c r="D146" s="369"/>
      <c r="E146" s="370" t="str">
        <f>_xlfn.CONCAT(_xlfn.XLOOKUP("[S05_AggregateTotalEmissionsByCRF][78][CRFCategory2]",Submission!$O:$O,Submission!$H:$N,""))</f>
        <v/>
      </c>
      <c r="F146" s="371"/>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8" t="str">
        <f>_xlfn.CONCAT(_xlfn.XLOOKUP("[S05_AggregateTotalEmissionsByCRF][79][CRFCategory1]",Submission!$O:$O,Submission!$H:$N,""))</f>
        <v/>
      </c>
      <c r="D147" s="369"/>
      <c r="E147" s="370" t="str">
        <f>_xlfn.CONCAT(_xlfn.XLOOKUP("[S05_AggregateTotalEmissionsByCRF][79][CRFCategory2]",Submission!$O:$O,Submission!$H:$N,""))</f>
        <v/>
      </c>
      <c r="F147" s="371"/>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8" t="str">
        <f>_xlfn.CONCAT(_xlfn.XLOOKUP("[S05_AggregateTotalEmissionsByCRF][80][CRFCategory1]",Submission!$O:$O,Submission!$H:$N,""))</f>
        <v/>
      </c>
      <c r="D148" s="369"/>
      <c r="E148" s="370" t="str">
        <f>_xlfn.CONCAT(_xlfn.XLOOKUP("[S05_AggregateTotalEmissionsByCRF][80][CRFCategory2]",Submission!$O:$O,Submission!$H:$N,""))</f>
        <v/>
      </c>
      <c r="F148" s="371"/>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8" t="str">
        <f>_xlfn.CONCAT(_xlfn.XLOOKUP("[S05_AggregateTotalEmissionsByCRF][81][CRFCategory1]",Submission!$O:$O,Submission!$H:$N,""))</f>
        <v/>
      </c>
      <c r="D149" s="369"/>
      <c r="E149" s="370" t="str">
        <f>_xlfn.CONCAT(_xlfn.XLOOKUP("[S05_AggregateTotalEmissionsByCRF][81][CRFCategory2]",Submission!$O:$O,Submission!$H:$N,""))</f>
        <v/>
      </c>
      <c r="F149" s="371"/>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8" t="str">
        <f>_xlfn.CONCAT(_xlfn.XLOOKUP("[S05_AggregateTotalEmissionsByCRF][82][CRFCategory1]",Submission!$O:$O,Submission!$H:$N,""))</f>
        <v/>
      </c>
      <c r="D150" s="369"/>
      <c r="E150" s="370" t="str">
        <f>_xlfn.CONCAT(_xlfn.XLOOKUP("[S05_AggregateTotalEmissionsByCRF][82][CRFCategory2]",Submission!$O:$O,Submission!$H:$N,""))</f>
        <v/>
      </c>
      <c r="F150" s="371"/>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8" t="str">
        <f>_xlfn.CONCAT(_xlfn.XLOOKUP("[S05_AggregateTotalEmissionsByCRF][83][CRFCategory1]",Submission!$O:$O,Submission!$H:$N,""))</f>
        <v/>
      </c>
      <c r="D151" s="369"/>
      <c r="E151" s="370" t="str">
        <f>_xlfn.CONCAT(_xlfn.XLOOKUP("[S05_AggregateTotalEmissionsByCRF][83][CRFCategory2]",Submission!$O:$O,Submission!$H:$N,""))</f>
        <v/>
      </c>
      <c r="F151" s="371"/>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8" t="str">
        <f>_xlfn.CONCAT(_xlfn.XLOOKUP("[S05_AggregateTotalEmissionsByCRF][84][CRFCategory1]",Submission!$O:$O,Submission!$H:$N,""))</f>
        <v/>
      </c>
      <c r="D152" s="369"/>
      <c r="E152" s="370" t="str">
        <f>_xlfn.CONCAT(_xlfn.XLOOKUP("[S05_AggregateTotalEmissionsByCRF][84][CRFCategory2]",Submission!$O:$O,Submission!$H:$N,""))</f>
        <v/>
      </c>
      <c r="F152" s="371"/>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8" t="str">
        <f>_xlfn.CONCAT(_xlfn.XLOOKUP("[S05_AggregateTotalEmissionsByCRF][85][CRFCategory1]",Submission!$O:$O,Submission!$H:$N,""))</f>
        <v/>
      </c>
      <c r="D153" s="369"/>
      <c r="E153" s="370" t="str">
        <f>_xlfn.CONCAT(_xlfn.XLOOKUP("[S05_AggregateTotalEmissionsByCRF][85][CRFCategory2]",Submission!$O:$O,Submission!$H:$N,""))</f>
        <v/>
      </c>
      <c r="F153" s="371"/>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8" t="str">
        <f>_xlfn.CONCAT(_xlfn.XLOOKUP("[S05_AggregateTotalEmissionsByCRF][86][CRFCategory1]",Submission!$O:$O,Submission!$H:$N,""))</f>
        <v/>
      </c>
      <c r="D154" s="369"/>
      <c r="E154" s="370" t="str">
        <f>_xlfn.CONCAT(_xlfn.XLOOKUP("[S05_AggregateTotalEmissionsByCRF][86][CRFCategory2]",Submission!$O:$O,Submission!$H:$N,""))</f>
        <v/>
      </c>
      <c r="F154" s="371"/>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8" t="str">
        <f>_xlfn.CONCAT(_xlfn.XLOOKUP("[S05_AggregateTotalEmissionsByCRF][87][CRFCategory1]",Submission!$O:$O,Submission!$H:$N,""))</f>
        <v/>
      </c>
      <c r="D155" s="369"/>
      <c r="E155" s="370" t="str">
        <f>_xlfn.CONCAT(_xlfn.XLOOKUP("[S05_AggregateTotalEmissionsByCRF][87][CRFCategory2]",Submission!$O:$O,Submission!$H:$N,""))</f>
        <v/>
      </c>
      <c r="F155" s="371"/>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8" t="str">
        <f>_xlfn.CONCAT(_xlfn.XLOOKUP("[S05_AggregateTotalEmissionsByCRF][88][CRFCategory1]",Submission!$O:$O,Submission!$H:$N,""))</f>
        <v/>
      </c>
      <c r="D156" s="369"/>
      <c r="E156" s="370" t="str">
        <f>_xlfn.CONCAT(_xlfn.XLOOKUP("[S05_AggregateTotalEmissionsByCRF][88][CRFCategory2]",Submission!$O:$O,Submission!$H:$N,""))</f>
        <v/>
      </c>
      <c r="F156" s="371"/>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8" t="str">
        <f>_xlfn.CONCAT(_xlfn.XLOOKUP("[S05_AggregateTotalEmissionsByCRF][89][CRFCategory1]",Submission!$O:$O,Submission!$H:$N,""))</f>
        <v/>
      </c>
      <c r="D157" s="369"/>
      <c r="E157" s="370" t="str">
        <f>_xlfn.CONCAT(_xlfn.XLOOKUP("[S05_AggregateTotalEmissionsByCRF][89][CRFCategory2]",Submission!$O:$O,Submission!$H:$N,""))</f>
        <v/>
      </c>
      <c r="F157" s="371"/>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8" t="str">
        <f>_xlfn.CONCAT(_xlfn.XLOOKUP("[S05_AggregateTotalEmissionsByCRF][90][CRFCategory1]",Submission!$O:$O,Submission!$H:$N,""))</f>
        <v/>
      </c>
      <c r="D158" s="369"/>
      <c r="E158" s="370" t="str">
        <f>_xlfn.CONCAT(_xlfn.XLOOKUP("[S05_AggregateTotalEmissionsByCRF][90][CRFCategory2]",Submission!$O:$O,Submission!$H:$N,""))</f>
        <v/>
      </c>
      <c r="F158" s="371"/>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8" t="str">
        <f>_xlfn.CONCAT(_xlfn.XLOOKUP("[S05_AggregateTotalEmissionsByCRF][91][CRFCategory1]",Submission!$O:$O,Submission!$H:$N,""))</f>
        <v/>
      </c>
      <c r="D159" s="369"/>
      <c r="E159" s="370" t="str">
        <f>_xlfn.CONCAT(_xlfn.XLOOKUP("[S05_AggregateTotalEmissionsByCRF][91][CRFCategory2]",Submission!$O:$O,Submission!$H:$N,""))</f>
        <v/>
      </c>
      <c r="F159" s="371"/>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8" t="str">
        <f>_xlfn.CONCAT(_xlfn.XLOOKUP("[S05_AggregateTotalEmissionsByCRF][92][CRFCategory1]",Submission!$O:$O,Submission!$H:$N,""))</f>
        <v/>
      </c>
      <c r="D160" s="369"/>
      <c r="E160" s="370" t="str">
        <f>_xlfn.CONCAT(_xlfn.XLOOKUP("[S05_AggregateTotalEmissionsByCRF][92][CRFCategory2]",Submission!$O:$O,Submission!$H:$N,""))</f>
        <v/>
      </c>
      <c r="F160" s="371"/>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8" t="str">
        <f>_xlfn.CONCAT(_xlfn.XLOOKUP("[S05_AggregateTotalEmissionsByCRF][93][CRFCategory1]",Submission!$O:$O,Submission!$H:$N,""))</f>
        <v/>
      </c>
      <c r="D161" s="369"/>
      <c r="E161" s="370" t="str">
        <f>_xlfn.CONCAT(_xlfn.XLOOKUP("[S05_AggregateTotalEmissionsByCRF][93][CRFCategory2]",Submission!$O:$O,Submission!$H:$N,""))</f>
        <v/>
      </c>
      <c r="F161" s="371"/>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8" t="str">
        <f>_xlfn.CONCAT(_xlfn.XLOOKUP("[S05_AggregateTotalEmissionsByCRF][94][CRFCategory1]",Submission!$O:$O,Submission!$H:$N,""))</f>
        <v/>
      </c>
      <c r="D162" s="369"/>
      <c r="E162" s="370" t="str">
        <f>_xlfn.CONCAT(_xlfn.XLOOKUP("[S05_AggregateTotalEmissionsByCRF][94][CRFCategory2]",Submission!$O:$O,Submission!$H:$N,""))</f>
        <v/>
      </c>
      <c r="F162" s="371"/>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8" t="str">
        <f>_xlfn.CONCAT(_xlfn.XLOOKUP("[S05_AggregateTotalEmissionsByCRF][95][CRFCategory1]",Submission!$O:$O,Submission!$H:$N,""))</f>
        <v/>
      </c>
      <c r="D163" s="369"/>
      <c r="E163" s="370" t="str">
        <f>_xlfn.CONCAT(_xlfn.XLOOKUP("[S05_AggregateTotalEmissionsByCRF][95][CRFCategory2]",Submission!$O:$O,Submission!$H:$N,""))</f>
        <v/>
      </c>
      <c r="F163" s="371"/>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8" t="str">
        <f>_xlfn.CONCAT(_xlfn.XLOOKUP("[S05_AggregateTotalEmissionsByCRF][96][CRFCategory1]",Submission!$O:$O,Submission!$H:$N,""))</f>
        <v/>
      </c>
      <c r="D164" s="369"/>
      <c r="E164" s="370" t="str">
        <f>_xlfn.CONCAT(_xlfn.XLOOKUP("[S05_AggregateTotalEmissionsByCRF][96][CRFCategory2]",Submission!$O:$O,Submission!$H:$N,""))</f>
        <v/>
      </c>
      <c r="F164" s="371"/>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8" t="str">
        <f>_xlfn.CONCAT(_xlfn.XLOOKUP("[S05_AggregateTotalEmissionsByCRF][97][CRFCategory1]",Submission!$O:$O,Submission!$H:$N,""))</f>
        <v/>
      </c>
      <c r="D165" s="369"/>
      <c r="E165" s="370" t="str">
        <f>_xlfn.CONCAT(_xlfn.XLOOKUP("[S05_AggregateTotalEmissionsByCRF][97][CRFCategory2]",Submission!$O:$O,Submission!$H:$N,""))</f>
        <v/>
      </c>
      <c r="F165" s="371"/>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8" t="str">
        <f>_xlfn.CONCAT(_xlfn.XLOOKUP("[S05_AggregateTotalEmissionsByCRF][98][CRFCategory1]",Submission!$O:$O,Submission!$H:$N,""))</f>
        <v/>
      </c>
      <c r="D166" s="369"/>
      <c r="E166" s="370" t="str">
        <f>_xlfn.CONCAT(_xlfn.XLOOKUP("[S05_AggregateTotalEmissionsByCRF][98][CRFCategory2]",Submission!$O:$O,Submission!$H:$N,""))</f>
        <v/>
      </c>
      <c r="F166" s="371"/>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8" t="str">
        <f>_xlfn.CONCAT(_xlfn.XLOOKUP("[S05_AggregateTotalEmissionsByCRF][99][CRFCategory1]",Submission!$O:$O,Submission!$H:$N,""))</f>
        <v/>
      </c>
      <c r="D167" s="369"/>
      <c r="E167" s="370" t="str">
        <f>_xlfn.CONCAT(_xlfn.XLOOKUP("[S05_AggregateTotalEmissionsByCRF][99][CRFCategory2]",Submission!$O:$O,Submission!$H:$N,""))</f>
        <v/>
      </c>
      <c r="F167" s="371"/>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8" t="str">
        <f>_xlfn.CONCAT(_xlfn.XLOOKUP("[S05_AggregateTotalEmissionsByCRF][100][CRFCategory1]",Submission!$O:$O,Submission!$H:$N,""))</f>
        <v/>
      </c>
      <c r="D168" s="369"/>
      <c r="E168" s="370" t="str">
        <f>_xlfn.CONCAT(_xlfn.XLOOKUP("[S05_AggregateTotalEmissionsByCRF][100][CRFCategory2]",Submission!$O:$O,Submission!$H:$N,""))</f>
        <v/>
      </c>
      <c r="F168" s="371"/>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8" t="str">
        <f>_xlfn.CONCAT(_xlfn.XLOOKUP("[S05_AggregateTotalEmissionsByCRF][101][CRFCategory1]",Submission!$O:$O,Submission!$H:$N,""))</f>
        <v/>
      </c>
      <c r="D169" s="369"/>
      <c r="E169" s="370" t="str">
        <f>_xlfn.CONCAT(_xlfn.XLOOKUP("[S05_AggregateTotalEmissionsByCRF][101][CRFCategory2]",Submission!$O:$O,Submission!$H:$N,""))</f>
        <v/>
      </c>
      <c r="F169" s="371"/>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8" t="str">
        <f>_xlfn.CONCAT(_xlfn.XLOOKUP("[S05_AggregateTotalEmissionsByCRF][102][CRFCategory1]",Submission!$O:$O,Submission!$H:$N,""))</f>
        <v/>
      </c>
      <c r="D170" s="369"/>
      <c r="E170" s="370" t="str">
        <f>_xlfn.CONCAT(_xlfn.XLOOKUP("[S05_AggregateTotalEmissionsByCRF][102][CRFCategory2]",Submission!$O:$O,Submission!$H:$N,""))</f>
        <v/>
      </c>
      <c r="F170" s="371"/>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8" t="str">
        <f>_xlfn.CONCAT(_xlfn.XLOOKUP("[S05_AggregateTotalEmissionsByCRF][103][CRFCategory1]",Submission!$O:$O,Submission!$H:$N,""))</f>
        <v/>
      </c>
      <c r="D171" s="369"/>
      <c r="E171" s="370" t="str">
        <f>_xlfn.CONCAT(_xlfn.XLOOKUP("[S05_AggregateTotalEmissionsByCRF][103][CRFCategory2]",Submission!$O:$O,Submission!$H:$N,""))</f>
        <v/>
      </c>
      <c r="F171" s="371"/>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8" t="str">
        <f>_xlfn.CONCAT(_xlfn.XLOOKUP("[S05_AggregateTotalEmissionsByCRF][104][CRFCategory1]",Submission!$O:$O,Submission!$H:$N,""))</f>
        <v/>
      </c>
      <c r="D172" s="369"/>
      <c r="E172" s="370" t="str">
        <f>_xlfn.CONCAT(_xlfn.XLOOKUP("[S05_AggregateTotalEmissionsByCRF][104][CRFCategory2]",Submission!$O:$O,Submission!$H:$N,""))</f>
        <v/>
      </c>
      <c r="F172" s="371"/>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8" t="str">
        <f>_xlfn.CONCAT(_xlfn.XLOOKUP("[S05_AggregateTotalEmissionsByCRF][105][CRFCategory1]",Submission!$O:$O,Submission!$H:$N,""))</f>
        <v/>
      </c>
      <c r="D173" s="369"/>
      <c r="E173" s="370" t="str">
        <f>_xlfn.CONCAT(_xlfn.XLOOKUP("[S05_AggregateTotalEmissionsByCRF][105][CRFCategory2]",Submission!$O:$O,Submission!$H:$N,""))</f>
        <v/>
      </c>
      <c r="F173" s="371"/>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8" t="str">
        <f>_xlfn.CONCAT(_xlfn.XLOOKUP("[S05_AggregateTotalEmissionsByCRF][106][CRFCategory1]",Submission!$O:$O,Submission!$H:$N,""))</f>
        <v/>
      </c>
      <c r="D174" s="369"/>
      <c r="E174" s="370" t="str">
        <f>_xlfn.CONCAT(_xlfn.XLOOKUP("[S05_AggregateTotalEmissionsByCRF][106][CRFCategory2]",Submission!$O:$O,Submission!$H:$N,""))</f>
        <v/>
      </c>
      <c r="F174" s="371"/>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8" t="str">
        <f>_xlfn.CONCAT(_xlfn.XLOOKUP("[S05_AggregateTotalEmissionsByCRF][107][CRFCategory1]",Submission!$O:$O,Submission!$H:$N,""))</f>
        <v/>
      </c>
      <c r="D175" s="369"/>
      <c r="E175" s="370" t="str">
        <f>_xlfn.CONCAT(_xlfn.XLOOKUP("[S05_AggregateTotalEmissionsByCRF][107][CRFCategory2]",Submission!$O:$O,Submission!$H:$N,""))</f>
        <v/>
      </c>
      <c r="F175" s="371"/>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8" t="str">
        <f>_xlfn.CONCAT(_xlfn.XLOOKUP("[S05_AggregateTotalEmissionsByCRF][108][CRFCategory1]",Submission!$O:$O,Submission!$H:$N,""))</f>
        <v/>
      </c>
      <c r="D176" s="369"/>
      <c r="E176" s="370" t="str">
        <f>_xlfn.CONCAT(_xlfn.XLOOKUP("[S05_AggregateTotalEmissionsByCRF][108][CRFCategory2]",Submission!$O:$O,Submission!$H:$N,""))</f>
        <v/>
      </c>
      <c r="F176" s="371"/>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8" t="str">
        <f>_xlfn.CONCAT(_xlfn.XLOOKUP("[S05_AggregateTotalEmissionsByCRF][109][CRFCategory1]",Submission!$O:$O,Submission!$H:$N,""))</f>
        <v/>
      </c>
      <c r="D177" s="369"/>
      <c r="E177" s="370" t="str">
        <f>_xlfn.CONCAT(_xlfn.XLOOKUP("[S05_AggregateTotalEmissionsByCRF][109][CRFCategory2]",Submission!$O:$O,Submission!$H:$N,""))</f>
        <v/>
      </c>
      <c r="F177" s="371"/>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8" t="str">
        <f>_xlfn.CONCAT(_xlfn.XLOOKUP("[S05_AggregateTotalEmissionsByCRF][110][CRFCategory1]",Submission!$O:$O,Submission!$H:$N,""))</f>
        <v/>
      </c>
      <c r="D178" s="369"/>
      <c r="E178" s="370" t="str">
        <f>_xlfn.CONCAT(_xlfn.XLOOKUP("[S05_AggregateTotalEmissionsByCRF][110][CRFCategory2]",Submission!$O:$O,Submission!$H:$N,""))</f>
        <v/>
      </c>
      <c r="F178" s="371"/>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8" t="str">
        <f>_xlfn.CONCAT(_xlfn.XLOOKUP("[S05_AggregateTotalEmissionsByCRF][111][CRFCategory1]",Submission!$O:$O,Submission!$H:$N,""))</f>
        <v/>
      </c>
      <c r="D179" s="369"/>
      <c r="E179" s="370" t="str">
        <f>_xlfn.CONCAT(_xlfn.XLOOKUP("[S05_AggregateTotalEmissionsByCRF][111][CRFCategory2]",Submission!$O:$O,Submission!$H:$N,""))</f>
        <v/>
      </c>
      <c r="F179" s="371"/>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8" t="str">
        <f>_xlfn.CONCAT(_xlfn.XLOOKUP("[S05_AggregateTotalEmissionsByCRF][112][CRFCategory1]",Submission!$O:$O,Submission!$H:$N,""))</f>
        <v/>
      </c>
      <c r="D180" s="369"/>
      <c r="E180" s="370" t="str">
        <f>_xlfn.CONCAT(_xlfn.XLOOKUP("[S05_AggregateTotalEmissionsByCRF][112][CRFCategory2]",Submission!$O:$O,Submission!$H:$N,""))</f>
        <v/>
      </c>
      <c r="F180" s="371"/>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8" t="str">
        <f>_xlfn.CONCAT(_xlfn.XLOOKUP("[S05_AggregateTotalEmissionsByCRF][113][CRFCategory1]",Submission!$O:$O,Submission!$H:$N,""))</f>
        <v/>
      </c>
      <c r="D181" s="369"/>
      <c r="E181" s="370" t="str">
        <f>_xlfn.CONCAT(_xlfn.XLOOKUP("[S05_AggregateTotalEmissionsByCRF][113][CRFCategory2]",Submission!$O:$O,Submission!$H:$N,""))</f>
        <v/>
      </c>
      <c r="F181" s="371"/>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8" t="str">
        <f>_xlfn.CONCAT(_xlfn.XLOOKUP("[S05_AggregateTotalEmissionsByCRF][114][CRFCategory1]",Submission!$O:$O,Submission!$H:$N,""))</f>
        <v/>
      </c>
      <c r="D182" s="369"/>
      <c r="E182" s="370" t="str">
        <f>_xlfn.CONCAT(_xlfn.XLOOKUP("[S05_AggregateTotalEmissionsByCRF][114][CRFCategory2]",Submission!$O:$O,Submission!$H:$N,""))</f>
        <v/>
      </c>
      <c r="F182" s="371"/>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8" t="str">
        <f>_xlfn.CONCAT(_xlfn.XLOOKUP("[S05_AggregateTotalEmissionsByCRF][115][CRFCategory1]",Submission!$O:$O,Submission!$H:$N,""))</f>
        <v/>
      </c>
      <c r="D183" s="369"/>
      <c r="E183" s="370" t="str">
        <f>_xlfn.CONCAT(_xlfn.XLOOKUP("[S05_AggregateTotalEmissionsByCRF][115][CRFCategory2]",Submission!$O:$O,Submission!$H:$N,""))</f>
        <v/>
      </c>
      <c r="F183" s="371"/>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8" t="str">
        <f>_xlfn.CONCAT(_xlfn.XLOOKUP("[S05_AggregateTotalEmissionsByCRF][116][CRFCategory1]",Submission!$O:$O,Submission!$H:$N,""))</f>
        <v/>
      </c>
      <c r="D184" s="369"/>
      <c r="E184" s="370" t="str">
        <f>_xlfn.CONCAT(_xlfn.XLOOKUP("[S05_AggregateTotalEmissionsByCRF][116][CRFCategory2]",Submission!$O:$O,Submission!$H:$N,""))</f>
        <v/>
      </c>
      <c r="F184" s="371"/>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8" t="str">
        <f>_xlfn.CONCAT(_xlfn.XLOOKUP("[S05_AggregateTotalEmissionsByCRF][117][CRFCategory1]",Submission!$O:$O,Submission!$H:$N,""))</f>
        <v/>
      </c>
      <c r="D185" s="369"/>
      <c r="E185" s="370" t="str">
        <f>_xlfn.CONCAT(_xlfn.XLOOKUP("[S05_AggregateTotalEmissionsByCRF][117][CRFCategory2]",Submission!$O:$O,Submission!$H:$N,""))</f>
        <v/>
      </c>
      <c r="F185" s="371"/>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8" t="str">
        <f>_xlfn.CONCAT(_xlfn.XLOOKUP("[S05_AggregateTotalEmissionsByCRF][118][CRFCategory1]",Submission!$O:$O,Submission!$H:$N,""))</f>
        <v/>
      </c>
      <c r="D186" s="369"/>
      <c r="E186" s="370" t="str">
        <f>_xlfn.CONCAT(_xlfn.XLOOKUP("[S05_AggregateTotalEmissionsByCRF][118][CRFCategory2]",Submission!$O:$O,Submission!$H:$N,""))</f>
        <v/>
      </c>
      <c r="F186" s="371"/>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8" t="str">
        <f>_xlfn.CONCAT(_xlfn.XLOOKUP("[S05_AggregateTotalEmissionsByCRF][119][CRFCategory1]",Submission!$O:$O,Submission!$H:$N,""))</f>
        <v/>
      </c>
      <c r="D187" s="369"/>
      <c r="E187" s="370" t="str">
        <f>_xlfn.CONCAT(_xlfn.XLOOKUP("[S05_AggregateTotalEmissionsByCRF][119][CRFCategory2]",Submission!$O:$O,Submission!$H:$N,""))</f>
        <v/>
      </c>
      <c r="F187" s="371"/>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8" t="str">
        <f>_xlfn.CONCAT(_xlfn.XLOOKUP("[S05_AggregateTotalEmissionsByCRF][120][CRFCategory1]",Submission!$O:$O,Submission!$H:$N,""))</f>
        <v/>
      </c>
      <c r="D188" s="369"/>
      <c r="E188" s="370" t="str">
        <f>_xlfn.CONCAT(_xlfn.XLOOKUP("[S05_AggregateTotalEmissionsByCRF][120][CRFCategory2]",Submission!$O:$O,Submission!$H:$N,""))</f>
        <v/>
      </c>
      <c r="F188" s="371"/>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8" t="str">
        <f>_xlfn.CONCAT(_xlfn.XLOOKUP("[S05_AggregateTotalEmissionsByCRF][121][CRFCategory1]",Submission!$O:$O,Submission!$H:$N,""))</f>
        <v/>
      </c>
      <c r="D189" s="369"/>
      <c r="E189" s="370" t="str">
        <f>_xlfn.CONCAT(_xlfn.XLOOKUP("[S05_AggregateTotalEmissionsByCRF][121][CRFCategory2]",Submission!$O:$O,Submission!$H:$N,""))</f>
        <v/>
      </c>
      <c r="F189" s="371"/>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8" t="str">
        <f>_xlfn.CONCAT(_xlfn.XLOOKUP("[S05_AggregateTotalEmissionsByCRF][122][CRFCategory1]",Submission!$O:$O,Submission!$H:$N,""))</f>
        <v/>
      </c>
      <c r="D190" s="369"/>
      <c r="E190" s="370" t="str">
        <f>_xlfn.CONCAT(_xlfn.XLOOKUP("[S05_AggregateTotalEmissionsByCRF][122][CRFCategory2]",Submission!$O:$O,Submission!$H:$N,""))</f>
        <v/>
      </c>
      <c r="F190" s="371"/>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8" t="str">
        <f>_xlfn.CONCAT(_xlfn.XLOOKUP("[S05_AggregateTotalEmissionsByCRF][123][CRFCategory1]",Submission!$O:$O,Submission!$H:$N,""))</f>
        <v/>
      </c>
      <c r="D191" s="369"/>
      <c r="E191" s="370" t="str">
        <f>_xlfn.CONCAT(_xlfn.XLOOKUP("[S05_AggregateTotalEmissionsByCRF][123][CRFCategory2]",Submission!$O:$O,Submission!$H:$N,""))</f>
        <v/>
      </c>
      <c r="F191" s="371"/>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8" t="str">
        <f>_xlfn.CONCAT(_xlfn.XLOOKUP("[S05_AggregateTotalEmissionsByCRF][124][CRFCategory1]",Submission!$O:$O,Submission!$H:$N,""))</f>
        <v/>
      </c>
      <c r="D192" s="369"/>
      <c r="E192" s="370" t="str">
        <f>_xlfn.CONCAT(_xlfn.XLOOKUP("[S05_AggregateTotalEmissionsByCRF][124][CRFCategory2]",Submission!$O:$O,Submission!$H:$N,""))</f>
        <v/>
      </c>
      <c r="F192" s="371"/>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8" t="str">
        <f>_xlfn.CONCAT(_xlfn.XLOOKUP("[S05_AggregateTotalEmissionsByCRF][125][CRFCategory1]",Submission!$O:$O,Submission!$H:$N,""))</f>
        <v/>
      </c>
      <c r="D193" s="369"/>
      <c r="E193" s="370" t="str">
        <f>_xlfn.CONCAT(_xlfn.XLOOKUP("[S05_AggregateTotalEmissionsByCRF][125][CRFCategory2]",Submission!$O:$O,Submission!$H:$N,""))</f>
        <v/>
      </c>
      <c r="F193" s="371"/>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8" t="str">
        <f>_xlfn.CONCAT(_xlfn.XLOOKUP("[S05_AggregateTotalEmissionsByCRF][126][CRFCategory1]",Submission!$O:$O,Submission!$H:$N,""))</f>
        <v/>
      </c>
      <c r="D194" s="369"/>
      <c r="E194" s="370" t="str">
        <f>_xlfn.CONCAT(_xlfn.XLOOKUP("[S05_AggregateTotalEmissionsByCRF][126][CRFCategory2]",Submission!$O:$O,Submission!$H:$N,""))</f>
        <v/>
      </c>
      <c r="F194" s="371"/>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8" t="str">
        <f>_xlfn.CONCAT(_xlfn.XLOOKUP("[S05_AggregateTotalEmissionsByCRF][127][CRFCategory1]",Submission!$O:$O,Submission!$H:$N,""))</f>
        <v/>
      </c>
      <c r="D195" s="369"/>
      <c r="E195" s="370" t="str">
        <f>_xlfn.CONCAT(_xlfn.XLOOKUP("[S05_AggregateTotalEmissionsByCRF][127][CRFCategory2]",Submission!$O:$O,Submission!$H:$N,""))</f>
        <v/>
      </c>
      <c r="F195" s="371"/>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8" t="str">
        <f>_xlfn.CONCAT(_xlfn.XLOOKUP("[S05_AggregateTotalEmissionsByCRF][128][CRFCategory1]",Submission!$O:$O,Submission!$H:$N,""))</f>
        <v/>
      </c>
      <c r="D196" s="369"/>
      <c r="E196" s="370" t="str">
        <f>_xlfn.CONCAT(_xlfn.XLOOKUP("[S05_AggregateTotalEmissionsByCRF][128][CRFCategory2]",Submission!$O:$O,Submission!$H:$N,""))</f>
        <v/>
      </c>
      <c r="F196" s="371"/>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8" t="str">
        <f>_xlfn.CONCAT(_xlfn.XLOOKUP("[S05_AggregateTotalEmissionsByCRF][129][CRFCategory1]",Submission!$O:$O,Submission!$H:$N,""))</f>
        <v/>
      </c>
      <c r="D197" s="369"/>
      <c r="E197" s="370" t="str">
        <f>_xlfn.CONCAT(_xlfn.XLOOKUP("[S05_AggregateTotalEmissionsByCRF][129][CRFCategory2]",Submission!$O:$O,Submission!$H:$N,""))</f>
        <v/>
      </c>
      <c r="F197" s="371"/>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8" t="str">
        <f>_xlfn.CONCAT(_xlfn.XLOOKUP("[S05_AggregateTotalEmissionsByCRF][130][CRFCategory1]",Submission!$O:$O,Submission!$H:$N,""))</f>
        <v/>
      </c>
      <c r="D198" s="369"/>
      <c r="E198" s="370" t="str">
        <f>_xlfn.CONCAT(_xlfn.XLOOKUP("[S05_AggregateTotalEmissionsByCRF][130][CRFCategory2]",Submission!$O:$O,Submission!$H:$N,""))</f>
        <v/>
      </c>
      <c r="F198" s="371"/>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8" t="s">
        <v>858</v>
      </c>
      <c r="C201" s="279"/>
      <c r="D201" s="279"/>
      <c r="E201" s="279"/>
      <c r="F201" s="279"/>
      <c r="G201" s="279"/>
      <c r="H201" s="279"/>
      <c r="I201" s="279"/>
    </row>
    <row r="202" spans="1:9" ht="30" customHeight="1" x14ac:dyDescent="0.3">
      <c r="A202" s="13"/>
      <c r="B202" s="34"/>
      <c r="C202" s="418" t="s">
        <v>859</v>
      </c>
      <c r="D202" s="419"/>
      <c r="E202" s="419"/>
      <c r="F202" s="419"/>
      <c r="G202" s="420"/>
      <c r="H202" s="45" t="s">
        <v>860</v>
      </c>
      <c r="I202" s="42" t="s">
        <v>861</v>
      </c>
    </row>
    <row r="203" spans="1:9" ht="15.9" customHeight="1" x14ac:dyDescent="0.3">
      <c r="A203" s="13"/>
      <c r="B203" s="34"/>
      <c r="C203" s="277" t="str">
        <f>_xlfn.CONCAT(_xlfn.XLOOKUP("[S05_DefaultValues][1][InstallationCategory]",Submission!$O:$O,Submission!$H:$N,""))</f>
        <v>Installation with low emissions</v>
      </c>
      <c r="D203" s="417"/>
      <c r="E203" s="417"/>
      <c r="F203" s="417"/>
      <c r="G203" s="367"/>
      <c r="H203" s="123" t="str">
        <f>_xlfn.CONCAT(_xlfn.XLOOKUP("[S05_DefaultValues][1][FuelMaterialType]",Submission!$O:$O,Submission!$H:$N,""))</f>
        <v>Benzyna</v>
      </c>
      <c r="I203" s="106" t="str">
        <f>_xlfn.CONCAT(_xlfn.XLOOKUP("[S05_DefaultValues][1][InstallationNumber]",Submission!$O:$O,Submission!$H:$N,""))</f>
        <v>1</v>
      </c>
    </row>
    <row r="204" spans="1:9" ht="15.9" customHeight="1" x14ac:dyDescent="0.3">
      <c r="A204" s="13"/>
      <c r="B204" s="34"/>
      <c r="C204" s="277" t="str">
        <f>_xlfn.CONCAT(_xlfn.XLOOKUP("[S05_DefaultValues][2][InstallationCategory]",Submission!$O:$O,Submission!$H:$N,""))</f>
        <v>Installation with low emissions</v>
      </c>
      <c r="D204" s="417"/>
      <c r="E204" s="417"/>
      <c r="F204" s="417"/>
      <c r="G204" s="367"/>
      <c r="H204" s="123" t="str">
        <f>_xlfn.CONCAT(_xlfn.XLOOKUP("[S05_DefaultValues][2][FuelMaterialType]",Submission!$O:$O,Submission!$H:$N,""))</f>
        <v>Biogaz</v>
      </c>
      <c r="I204" s="106" t="str">
        <f>_xlfn.CONCAT(_xlfn.XLOOKUP("[S05_DefaultValues][2][InstallationNumber]",Submission!$O:$O,Submission!$H:$N,""))</f>
        <v>7</v>
      </c>
    </row>
    <row r="205" spans="1:9" ht="15.9" customHeight="1" x14ac:dyDescent="0.3">
      <c r="A205" s="13"/>
      <c r="B205" s="34"/>
      <c r="C205" s="277" t="str">
        <f>_xlfn.CONCAT(_xlfn.XLOOKUP("[S05_DefaultValues][3][InstallationCategory]",Submission!$O:$O,Submission!$H:$N,""))</f>
        <v>Installation with low emissions</v>
      </c>
      <c r="D205" s="417"/>
      <c r="E205" s="417"/>
      <c r="F205" s="417"/>
      <c r="G205" s="367"/>
      <c r="H205" s="123" t="str">
        <f>_xlfn.CONCAT(_xlfn.XLOOKUP("[S05_DefaultValues][3][FuelMaterialType]",Submission!$O:$O,Submission!$H:$N,""))</f>
        <v>Biomasa</v>
      </c>
      <c r="I205" s="106" t="str">
        <f>_xlfn.CONCAT(_xlfn.XLOOKUP("[S05_DefaultValues][3][InstallationNumber]",Submission!$O:$O,Submission!$H:$N,""))</f>
        <v>35</v>
      </c>
    </row>
    <row r="206" spans="1:9" ht="15.9" customHeight="1" x14ac:dyDescent="0.3">
      <c r="A206" s="13"/>
      <c r="B206" s="34"/>
      <c r="C206" s="277" t="str">
        <f>_xlfn.CONCAT(_xlfn.XLOOKUP("[S05_DefaultValues][4][InstallationCategory]",Submission!$O:$O,Submission!$H:$N,""))</f>
        <v>Installation with low emissions</v>
      </c>
      <c r="D206" s="417"/>
      <c r="E206" s="417"/>
      <c r="F206" s="417"/>
      <c r="G206" s="367"/>
      <c r="H206" s="123" t="str">
        <f>_xlfn.CONCAT(_xlfn.XLOOKUP("[S05_DefaultValues][4][FuelMaterialType]",Submission!$O:$O,Submission!$H:$N,""))</f>
        <v>Butyleny</v>
      </c>
      <c r="I206" s="106" t="str">
        <f>_xlfn.CONCAT(_xlfn.XLOOKUP("[S05_DefaultValues][4][InstallationNumber]",Submission!$O:$O,Submission!$H:$N,""))</f>
        <v>1</v>
      </c>
    </row>
    <row r="207" spans="1:9" ht="15.9" customHeight="1" x14ac:dyDescent="0.3">
      <c r="A207" s="13"/>
      <c r="B207" s="34"/>
      <c r="C207" s="277" t="str">
        <f>_xlfn.CONCAT(_xlfn.XLOOKUP("[S05_DefaultValues][5][InstallationCategory]",Submission!$O:$O,Submission!$H:$N,""))</f>
        <v>Installation with low emissions</v>
      </c>
      <c r="D207" s="417"/>
      <c r="E207" s="417"/>
      <c r="F207" s="417"/>
      <c r="G207" s="367"/>
      <c r="H207" s="123" t="str">
        <f>_xlfn.CONCAT(_xlfn.XLOOKUP("[S05_DefaultValues][5][FuelMaterialType]",Submission!$O:$O,Submission!$H:$N,""))</f>
        <v>Elektrody</v>
      </c>
      <c r="I207" s="106" t="str">
        <f>_xlfn.CONCAT(_xlfn.XLOOKUP("[S05_DefaultValues][5][InstallationNumber]",Submission!$O:$O,Submission!$H:$N,""))</f>
        <v>1</v>
      </c>
    </row>
    <row r="208" spans="1:9" ht="15.9" customHeight="1" x14ac:dyDescent="0.3">
      <c r="A208" s="13"/>
      <c r="B208" s="34"/>
      <c r="C208" s="277" t="str">
        <f>_xlfn.CONCAT(_xlfn.XLOOKUP("[S05_DefaultValues][6][InstallationCategory]",Submission!$O:$O,Submission!$H:$N,""))</f>
        <v>Installation with low emissions</v>
      </c>
      <c r="D208" s="417"/>
      <c r="E208" s="417"/>
      <c r="F208" s="417"/>
      <c r="G208" s="367"/>
      <c r="H208" s="123" t="str">
        <f>_xlfn.CONCAT(_xlfn.XLOOKUP("[S05_DefaultValues][6][FuelMaterialType]",Submission!$O:$O,Submission!$H:$N,""))</f>
        <v>Gaz koksowniczy</v>
      </c>
      <c r="I208" s="106" t="str">
        <f>_xlfn.CONCAT(_xlfn.XLOOKUP("[S05_DefaultValues][6][InstallationNumber]",Submission!$O:$O,Submission!$H:$N,""))</f>
        <v>3</v>
      </c>
    </row>
    <row r="209" spans="1:9" ht="15.9" customHeight="1" x14ac:dyDescent="0.3">
      <c r="A209" s="13"/>
      <c r="B209" s="34"/>
      <c r="C209" s="277" t="str">
        <f>_xlfn.CONCAT(_xlfn.XLOOKUP("[S05_DefaultValues][7][InstallationCategory]",Submission!$O:$O,Submission!$H:$N,""))</f>
        <v>Installation with low emissions</v>
      </c>
      <c r="D209" s="417"/>
      <c r="E209" s="417"/>
      <c r="F209" s="417"/>
      <c r="G209" s="367"/>
      <c r="H209" s="123" t="str">
        <f>_xlfn.CONCAT(_xlfn.XLOOKUP("[S05_DefaultValues][7][FuelMaterialType]",Submission!$O:$O,Submission!$H:$N,""))</f>
        <v>Gaz LPG</v>
      </c>
      <c r="I209" s="106" t="str">
        <f>_xlfn.CONCAT(_xlfn.XLOOKUP("[S05_DefaultValues][7][InstallationNumber]",Submission!$O:$O,Submission!$H:$N,""))</f>
        <v>6</v>
      </c>
    </row>
    <row r="210" spans="1:9" ht="15.9" customHeight="1" x14ac:dyDescent="0.3">
      <c r="A210" s="13"/>
      <c r="B210" s="34"/>
      <c r="C210" s="277" t="str">
        <f>_xlfn.CONCAT(_xlfn.XLOOKUP("[S05_DefaultValues][8][InstallationCategory]",Submission!$O:$O,Submission!$H:$N,""))</f>
        <v>Installation with low emissions</v>
      </c>
      <c r="D210" s="417"/>
      <c r="E210" s="417"/>
      <c r="F210" s="417"/>
      <c r="G210" s="367"/>
      <c r="H210" s="123" t="str">
        <f>_xlfn.CONCAT(_xlfn.XLOOKUP("[S05_DefaultValues][8][FuelMaterialType]",Submission!$O:$O,Submission!$H:$N,""))</f>
        <v>Gaz Propan</v>
      </c>
      <c r="I210" s="106" t="str">
        <f>_xlfn.CONCAT(_xlfn.XLOOKUP("[S05_DefaultValues][8][InstallationNumber]",Submission!$O:$O,Submission!$H:$N,""))</f>
        <v>1</v>
      </c>
    </row>
    <row r="211" spans="1:9" ht="15.9" customHeight="1" x14ac:dyDescent="0.3">
      <c r="A211" s="13"/>
      <c r="B211" s="34"/>
      <c r="C211" s="277" t="str">
        <f>_xlfn.CONCAT(_xlfn.XLOOKUP("[S05_DefaultValues][9][InstallationCategory]",Submission!$O:$O,Submission!$H:$N,""))</f>
        <v>Installation with low emissions</v>
      </c>
      <c r="D211" s="417"/>
      <c r="E211" s="417"/>
      <c r="F211" s="417"/>
      <c r="G211" s="367"/>
      <c r="H211" s="123" t="str">
        <f>_xlfn.CONCAT(_xlfn.XLOOKUP("[S05_DefaultValues][9][FuelMaterialType]",Submission!$O:$O,Submission!$H:$N,""))</f>
        <v>Gaz Propan Butan</v>
      </c>
      <c r="I211" s="106" t="str">
        <f>_xlfn.CONCAT(_xlfn.XLOOKUP("[S05_DefaultValues][9][InstallationNumber]",Submission!$O:$O,Submission!$H:$N,""))</f>
        <v>2</v>
      </c>
    </row>
    <row r="212" spans="1:9" ht="15.9" customHeight="1" x14ac:dyDescent="0.3">
      <c r="A212" s="13"/>
      <c r="B212" s="34"/>
      <c r="C212" s="277" t="str">
        <f>_xlfn.CONCAT(_xlfn.XLOOKUP("[S05_DefaultValues][10][InstallationCategory]",Submission!$O:$O,Submission!$H:$N,""))</f>
        <v>Installation with low emissions</v>
      </c>
      <c r="D212" s="417"/>
      <c r="E212" s="417"/>
      <c r="F212" s="417"/>
      <c r="G212" s="367"/>
      <c r="H212" s="123" t="str">
        <f>_xlfn.CONCAT(_xlfn.XLOOKUP("[S05_DefaultValues][10][FuelMaterialType]",Submission!$O:$O,Submission!$H:$N,""))</f>
        <v>Gaz resztkowy</v>
      </c>
      <c r="I212" s="106" t="str">
        <f>_xlfn.CONCAT(_xlfn.XLOOKUP("[S05_DefaultValues][10][InstallationNumber]",Submission!$O:$O,Submission!$H:$N,""))</f>
        <v>2</v>
      </c>
    </row>
    <row r="213" spans="1:9" ht="15.9" customHeight="1" x14ac:dyDescent="0.3">
      <c r="A213" s="13"/>
      <c r="B213" s="34"/>
      <c r="C213" s="277" t="str">
        <f>_xlfn.CONCAT(_xlfn.XLOOKUP("[S05_DefaultValues][11][InstallationCategory]",Submission!$O:$O,Submission!$H:$N,""))</f>
        <v>Installation with low emissions</v>
      </c>
      <c r="D213" s="417"/>
      <c r="E213" s="417"/>
      <c r="F213" s="417"/>
      <c r="G213" s="367"/>
      <c r="H213" s="123" t="str">
        <f>_xlfn.CONCAT(_xlfn.XLOOKUP("[S05_DefaultValues][11][FuelMaterialType]",Submission!$O:$O,Submission!$H:$N,""))</f>
        <v>Gaz rafineryjny</v>
      </c>
      <c r="I213" s="106" t="str">
        <f>_xlfn.CONCAT(_xlfn.XLOOKUP("[S05_DefaultValues][11][InstallationNumber]",Submission!$O:$O,Submission!$H:$N,""))</f>
        <v>2</v>
      </c>
    </row>
    <row r="214" spans="1:9" ht="15.9" customHeight="1" x14ac:dyDescent="0.3">
      <c r="A214" s="13"/>
      <c r="B214" s="34"/>
      <c r="C214" s="277" t="str">
        <f>_xlfn.CONCAT(_xlfn.XLOOKUP("[S05_DefaultValues][12][InstallationCategory]",Submission!$O:$O,Submission!$H:$N,""))</f>
        <v>Installation with low emissions</v>
      </c>
      <c r="D214" s="417"/>
      <c r="E214" s="417"/>
      <c r="F214" s="417"/>
      <c r="G214" s="367"/>
      <c r="H214" s="123" t="str">
        <f>_xlfn.CONCAT(_xlfn.XLOOKUP("[S05_DefaultValues][12][FuelMaterialType]",Submission!$O:$O,Submission!$H:$N,""))</f>
        <v>Gaz z odmetanowania kopalń</v>
      </c>
      <c r="I214" s="106" t="str">
        <f>_xlfn.CONCAT(_xlfn.XLOOKUP("[S05_DefaultValues][12][InstallationNumber]",Submission!$O:$O,Submission!$H:$N,""))</f>
        <v>3</v>
      </c>
    </row>
    <row r="215" spans="1:9" ht="15.9" customHeight="1" x14ac:dyDescent="0.3">
      <c r="A215" s="13"/>
      <c r="B215" s="34"/>
      <c r="C215" s="277" t="str">
        <f>_xlfn.CONCAT(_xlfn.XLOOKUP("[S05_DefaultValues][13][InstallationCategory]",Submission!$O:$O,Submission!$H:$N,""))</f>
        <v>Installation with low emissions</v>
      </c>
      <c r="D215" s="417"/>
      <c r="E215" s="417"/>
      <c r="F215" s="417"/>
      <c r="G215" s="367"/>
      <c r="H215" s="123" t="str">
        <f>_xlfn.CONCAT(_xlfn.XLOOKUP("[S05_DefaultValues][13][FuelMaterialType]",Submission!$O:$O,Submission!$H:$N,""))</f>
        <v>Gaz ziemny wysokometanowy</v>
      </c>
      <c r="I215" s="106" t="str">
        <f>_xlfn.CONCAT(_xlfn.XLOOKUP("[S05_DefaultValues][13][InstallationNumber]",Submission!$O:$O,Submission!$H:$N,""))</f>
        <v>126</v>
      </c>
    </row>
    <row r="216" spans="1:9" ht="15.9" customHeight="1" x14ac:dyDescent="0.3">
      <c r="A216" s="13"/>
      <c r="B216" s="34"/>
      <c r="C216" s="277" t="str">
        <f>_xlfn.CONCAT(_xlfn.XLOOKUP("[S05_DefaultValues][14][InstallationCategory]",Submission!$O:$O,Submission!$H:$N,""))</f>
        <v>Installation with low emissions</v>
      </c>
      <c r="D216" s="417"/>
      <c r="E216" s="417"/>
      <c r="F216" s="417"/>
      <c r="G216" s="367"/>
      <c r="H216" s="123" t="str">
        <f>_xlfn.CONCAT(_xlfn.XLOOKUP("[S05_DefaultValues][14][FuelMaterialType]",Submission!$O:$O,Submission!$H:$N,""))</f>
        <v>Gaz ziemny zaazotowany</v>
      </c>
      <c r="I216" s="106" t="str">
        <f>_xlfn.CONCAT(_xlfn.XLOOKUP("[S05_DefaultValues][14][InstallationNumber]",Submission!$O:$O,Submission!$H:$N,""))</f>
        <v>4</v>
      </c>
    </row>
    <row r="217" spans="1:9" ht="15.9" customHeight="1" x14ac:dyDescent="0.3">
      <c r="A217" s="13"/>
      <c r="B217" s="34"/>
      <c r="C217" s="277" t="str">
        <f>_xlfn.CONCAT(_xlfn.XLOOKUP("[S05_DefaultValues][15][InstallationCategory]",Submission!$O:$O,Submission!$H:$N,""))</f>
        <v>Installation with low emissions</v>
      </c>
      <c r="D217" s="417"/>
      <c r="E217" s="417"/>
      <c r="F217" s="417"/>
      <c r="G217" s="367"/>
      <c r="H217" s="123" t="str">
        <f>_xlfn.CONCAT(_xlfn.XLOOKUP("[S05_DefaultValues][15][FuelMaterialType]",Submission!$O:$O,Submission!$H:$N,""))</f>
        <v>Gazy złowonne</v>
      </c>
      <c r="I217" s="106" t="str">
        <f>_xlfn.CONCAT(_xlfn.XLOOKUP("[S05_DefaultValues][15][InstallationNumber]",Submission!$O:$O,Submission!$H:$N,""))</f>
        <v>1</v>
      </c>
    </row>
    <row r="218" spans="1:9" ht="15.9" customHeight="1" x14ac:dyDescent="0.3">
      <c r="A218" s="13"/>
      <c r="B218" s="34"/>
      <c r="C218" s="277" t="str">
        <f>_xlfn.CONCAT(_xlfn.XLOOKUP("[S05_DefaultValues][16][InstallationCategory]",Submission!$O:$O,Submission!$H:$N,""))</f>
        <v>Installation with low emissions</v>
      </c>
      <c r="D218" s="417"/>
      <c r="E218" s="417"/>
      <c r="F218" s="417"/>
      <c r="G218" s="367"/>
      <c r="H218" s="123" t="str">
        <f>_xlfn.CONCAT(_xlfn.XLOOKUP("[S05_DefaultValues][16][FuelMaterialType]",Submission!$O:$O,Submission!$H:$N,""))</f>
        <v>Gazy zrzutowe</v>
      </c>
      <c r="I218" s="106" t="str">
        <f>_xlfn.CONCAT(_xlfn.XLOOKUP("[S05_DefaultValues][16][InstallationNumber]",Submission!$O:$O,Submission!$H:$N,""))</f>
        <v>1</v>
      </c>
    </row>
    <row r="219" spans="1:9" ht="15.9" customHeight="1" x14ac:dyDescent="0.3">
      <c r="A219" s="13"/>
      <c r="B219" s="34"/>
      <c r="C219" s="277" t="str">
        <f>_xlfn.CONCAT(_xlfn.XLOOKUP("[S05_DefaultValues][17][InstallationCategory]",Submission!$O:$O,Submission!$H:$N,""))</f>
        <v>Installation with low emissions</v>
      </c>
      <c r="D219" s="417"/>
      <c r="E219" s="417"/>
      <c r="F219" s="417"/>
      <c r="G219" s="367"/>
      <c r="H219" s="123" t="str">
        <f>_xlfn.CONCAT(_xlfn.XLOOKUP("[S05_DefaultValues][17][FuelMaterialType]",Submission!$O:$O,Submission!$H:$N,""))</f>
        <v>Glina</v>
      </c>
      <c r="I219" s="106" t="str">
        <f>_xlfn.CONCAT(_xlfn.XLOOKUP("[S05_DefaultValues][17][InstallationNumber]",Submission!$O:$O,Submission!$H:$N,""))</f>
        <v>2</v>
      </c>
    </row>
    <row r="220" spans="1:9" ht="15.9" customHeight="1" x14ac:dyDescent="0.3">
      <c r="A220" s="13"/>
      <c r="B220" s="34"/>
      <c r="C220" s="277" t="str">
        <f>_xlfn.CONCAT(_xlfn.XLOOKUP("[S05_DefaultValues][18][InstallationCategory]",Submission!$O:$O,Submission!$H:$N,""))</f>
        <v>Installation with low emissions</v>
      </c>
      <c r="D220" s="417"/>
      <c r="E220" s="417"/>
      <c r="F220" s="417"/>
      <c r="G220" s="367"/>
      <c r="H220" s="123" t="str">
        <f>_xlfn.CONCAT(_xlfn.XLOOKUP("[S05_DefaultValues][18][FuelMaterialType]",Submission!$O:$O,Submission!$H:$N,""))</f>
        <v>Kamień wapienny</v>
      </c>
      <c r="I220" s="106" t="str">
        <f>_xlfn.CONCAT(_xlfn.XLOOKUP("[S05_DefaultValues][18][InstallationNumber]",Submission!$O:$O,Submission!$H:$N,""))</f>
        <v>1</v>
      </c>
    </row>
    <row r="221" spans="1:9" ht="15.9" customHeight="1" x14ac:dyDescent="0.3">
      <c r="A221" s="13"/>
      <c r="B221" s="34"/>
      <c r="C221" s="277" t="str">
        <f>_xlfn.CONCAT(_xlfn.XLOOKUP("[S05_DefaultValues][19][InstallationCategory]",Submission!$O:$O,Submission!$H:$N,""))</f>
        <v>Installation with low emissions</v>
      </c>
      <c r="D221" s="417"/>
      <c r="E221" s="417"/>
      <c r="F221" s="417"/>
      <c r="G221" s="367"/>
      <c r="H221" s="123" t="str">
        <f>_xlfn.CONCAT(_xlfn.XLOOKUP("[S05_DefaultValues][19][FuelMaterialType]",Submission!$O:$O,Submission!$H:$N,""))</f>
        <v>Koks</v>
      </c>
      <c r="I221" s="106" t="str">
        <f>_xlfn.CONCAT(_xlfn.XLOOKUP("[S05_DefaultValues][19][InstallationNumber]",Submission!$O:$O,Submission!$H:$N,""))</f>
        <v>3</v>
      </c>
    </row>
    <row r="222" spans="1:9" ht="15.9" customHeight="1" x14ac:dyDescent="0.3">
      <c r="A222" s="13"/>
      <c r="B222" s="34"/>
      <c r="C222" s="277" t="str">
        <f>_xlfn.CONCAT(_xlfn.XLOOKUP("[S05_DefaultValues][20][InstallationCategory]",Submission!$O:$O,Submission!$H:$N,""))</f>
        <v>Installation with low emissions</v>
      </c>
      <c r="D222" s="417"/>
      <c r="E222" s="417"/>
      <c r="F222" s="417"/>
      <c r="G222" s="367"/>
      <c r="H222" s="123" t="str">
        <f>_xlfn.CONCAT(_xlfn.XLOOKUP("[S05_DefaultValues][20][FuelMaterialType]",Submission!$O:$O,Submission!$H:$N,""))</f>
        <v>Ług czarny</v>
      </c>
      <c r="I222" s="106" t="str">
        <f>_xlfn.CONCAT(_xlfn.XLOOKUP("[S05_DefaultValues][20][InstallationNumber]",Submission!$O:$O,Submission!$H:$N,""))</f>
        <v>1</v>
      </c>
    </row>
    <row r="223" spans="1:9" ht="15.9" customHeight="1" x14ac:dyDescent="0.3">
      <c r="A223" s="13"/>
      <c r="B223" s="34"/>
      <c r="C223" s="277" t="str">
        <f>_xlfn.CONCAT(_xlfn.XLOOKUP("[S05_DefaultValues][21][InstallationCategory]",Submission!$O:$O,Submission!$H:$N,""))</f>
        <v>Installation with low emissions</v>
      </c>
      <c r="D223" s="417"/>
      <c r="E223" s="417"/>
      <c r="F223" s="417"/>
      <c r="G223" s="367"/>
      <c r="H223" s="123" t="str">
        <f>_xlfn.CONCAT(_xlfn.XLOOKUP("[S05_DefaultValues][21][FuelMaterialType]",Submission!$O:$O,Submission!$H:$N,""))</f>
        <v>Mazut</v>
      </c>
      <c r="I223" s="106" t="str">
        <f>_xlfn.CONCAT(_xlfn.XLOOKUP("[S05_DefaultValues][21][InstallationNumber]",Submission!$O:$O,Submission!$H:$N,""))</f>
        <v>1</v>
      </c>
    </row>
    <row r="224" spans="1:9" ht="15.9" customHeight="1" x14ac:dyDescent="0.3">
      <c r="A224" s="13"/>
      <c r="B224" s="34"/>
      <c r="C224" s="277" t="str">
        <f>_xlfn.CONCAT(_xlfn.XLOOKUP("[S05_DefaultValues][22][InstallationCategory]",Submission!$O:$O,Submission!$H:$N,""))</f>
        <v>Installation with low emissions</v>
      </c>
      <c r="D224" s="417"/>
      <c r="E224" s="417"/>
      <c r="F224" s="417"/>
      <c r="G224" s="367"/>
      <c r="H224" s="123" t="str">
        <f>_xlfn.CONCAT(_xlfn.XLOOKUP("[S05_DefaultValues][22][FuelMaterialType]",Submission!$O:$O,Submission!$H:$N,""))</f>
        <v>Mączką wapienna</v>
      </c>
      <c r="I224" s="106" t="str">
        <f>_xlfn.CONCAT(_xlfn.XLOOKUP("[S05_DefaultValues][22][InstallationNumber]",Submission!$O:$O,Submission!$H:$N,""))</f>
        <v>1</v>
      </c>
    </row>
    <row r="225" spans="1:9" ht="15.9" customHeight="1" x14ac:dyDescent="0.3">
      <c r="A225" s="13"/>
      <c r="B225" s="34"/>
      <c r="C225" s="277" t="str">
        <f>_xlfn.CONCAT(_xlfn.XLOOKUP("[S05_DefaultValues][23][InstallationCategory]",Submission!$O:$O,Submission!$H:$N,""))</f>
        <v>Installation with low emissions</v>
      </c>
      <c r="D225" s="417"/>
      <c r="E225" s="417"/>
      <c r="F225" s="417"/>
      <c r="G225" s="367"/>
      <c r="H225" s="123" t="str">
        <f>_xlfn.CONCAT(_xlfn.XLOOKUP("[S05_DefaultValues][23][FuelMaterialType]",Submission!$O:$O,Submission!$H:$N,""))</f>
        <v>Metanol</v>
      </c>
      <c r="I225" s="106" t="str">
        <f>_xlfn.CONCAT(_xlfn.XLOOKUP("[S05_DefaultValues][23][InstallationNumber]",Submission!$O:$O,Submission!$H:$N,""))</f>
        <v>1</v>
      </c>
    </row>
    <row r="226" spans="1:9" ht="15.9" customHeight="1" x14ac:dyDescent="0.3">
      <c r="A226" s="13"/>
      <c r="B226" s="34"/>
      <c r="C226" s="277" t="str">
        <f>_xlfn.CONCAT(_xlfn.XLOOKUP("[S05_DefaultValues][24][InstallationCategory]",Submission!$O:$O,Submission!$H:$N,""))</f>
        <v>Installation with low emissions</v>
      </c>
      <c r="D226" s="417"/>
      <c r="E226" s="417"/>
      <c r="F226" s="417"/>
      <c r="G226" s="367"/>
      <c r="H226" s="123" t="str">
        <f>_xlfn.CONCAT(_xlfn.XLOOKUP("[S05_DefaultValues][24][FuelMaterialType]",Submission!$O:$O,Submission!$H:$N,""))</f>
        <v>Mieszanina porafinacyjna</v>
      </c>
      <c r="I226" s="106" t="str">
        <f>_xlfn.CONCAT(_xlfn.XLOOKUP("[S05_DefaultValues][24][InstallationNumber]",Submission!$O:$O,Submission!$H:$N,""))</f>
        <v>1</v>
      </c>
    </row>
    <row r="227" spans="1:9" ht="15.9" customHeight="1" x14ac:dyDescent="0.3">
      <c r="A227" s="13"/>
      <c r="B227" s="34"/>
      <c r="C227" s="277" t="str">
        <f>_xlfn.CONCAT(_xlfn.XLOOKUP("[S05_DefaultValues][25][InstallationCategory]",Submission!$O:$O,Submission!$H:$N,""))</f>
        <v>Installation with low emissions</v>
      </c>
      <c r="D227" s="417"/>
      <c r="E227" s="417"/>
      <c r="F227" s="417"/>
      <c r="G227" s="367"/>
      <c r="H227" s="123" t="str">
        <f>_xlfn.CONCAT(_xlfn.XLOOKUP("[S05_DefaultValues][25][FuelMaterialType]",Submission!$O:$O,Submission!$H:$N,""))</f>
        <v>Mocznik</v>
      </c>
      <c r="I227" s="106" t="str">
        <f>_xlfn.CONCAT(_xlfn.XLOOKUP("[S05_DefaultValues][25][InstallationNumber]",Submission!$O:$O,Submission!$H:$N,""))</f>
        <v>1</v>
      </c>
    </row>
    <row r="228" spans="1:9" ht="15.9" customHeight="1" x14ac:dyDescent="0.3">
      <c r="A228" s="13"/>
      <c r="B228" s="34"/>
      <c r="C228" s="277" t="str">
        <f>_xlfn.CONCAT(_xlfn.XLOOKUP("[S05_DefaultValues][26][InstallationCategory]",Submission!$O:$O,Submission!$H:$N,""))</f>
        <v>Installation with low emissions</v>
      </c>
      <c r="D228" s="417"/>
      <c r="E228" s="417"/>
      <c r="F228" s="417"/>
      <c r="G228" s="367"/>
      <c r="H228" s="123" t="str">
        <f>_xlfn.CONCAT(_xlfn.XLOOKUP("[S05_DefaultValues][26][FuelMaterialType]",Submission!$O:$O,Submission!$H:$N,""))</f>
        <v>Nawęglacz</v>
      </c>
      <c r="I228" s="106" t="str">
        <f>_xlfn.CONCAT(_xlfn.XLOOKUP("[S05_DefaultValues][26][InstallationNumber]",Submission!$O:$O,Submission!$H:$N,""))</f>
        <v>1</v>
      </c>
    </row>
    <row r="229" spans="1:9" ht="15.9" customHeight="1" x14ac:dyDescent="0.3">
      <c r="A229" s="13"/>
      <c r="B229" s="34"/>
      <c r="C229" s="277" t="str">
        <f>_xlfn.CONCAT(_xlfn.XLOOKUP("[S05_DefaultValues][27][InstallationCategory]",Submission!$O:$O,Submission!$H:$N,""))</f>
        <v>Installation with low emissions</v>
      </c>
      <c r="D229" s="417"/>
      <c r="E229" s="417"/>
      <c r="F229" s="417"/>
      <c r="G229" s="367"/>
      <c r="H229" s="123" t="str">
        <f>_xlfn.CONCAT(_xlfn.XLOOKUP("[S05_DefaultValues][27][FuelMaterialType]",Submission!$O:$O,Submission!$H:$N,""))</f>
        <v>Olej napędowy</v>
      </c>
      <c r="I229" s="106" t="str">
        <f>_xlfn.CONCAT(_xlfn.XLOOKUP("[S05_DefaultValues][27][InstallationNumber]",Submission!$O:$O,Submission!$H:$N,""))</f>
        <v>43</v>
      </c>
    </row>
    <row r="230" spans="1:9" ht="15.9" customHeight="1" x14ac:dyDescent="0.3">
      <c r="A230" s="13"/>
      <c r="B230" s="34"/>
      <c r="C230" s="277" t="str">
        <f>_xlfn.CONCAT(_xlfn.XLOOKUP("[S05_DefaultValues][28][InstallationCategory]",Submission!$O:$O,Submission!$H:$N,""))</f>
        <v>Installation with low emissions</v>
      </c>
      <c r="D230" s="417"/>
      <c r="E230" s="417"/>
      <c r="F230" s="417"/>
      <c r="G230" s="367"/>
      <c r="H230" s="123" t="str">
        <f>_xlfn.CONCAT(_xlfn.XLOOKUP("[S05_DefaultValues][28][FuelMaterialType]",Submission!$O:$O,Submission!$H:$N,""))</f>
        <v>Olej opałowy bardzo lekki</v>
      </c>
      <c r="I230" s="106" t="str">
        <f>_xlfn.CONCAT(_xlfn.XLOOKUP("[S05_DefaultValues][28][InstallationNumber]",Submission!$O:$O,Submission!$H:$N,""))</f>
        <v>2</v>
      </c>
    </row>
    <row r="231" spans="1:9" ht="15.9" customHeight="1" x14ac:dyDescent="0.3">
      <c r="A231" s="13"/>
      <c r="B231" s="34"/>
      <c r="C231" s="277" t="str">
        <f>_xlfn.CONCAT(_xlfn.XLOOKUP("[S05_DefaultValues][29][InstallationCategory]",Submission!$O:$O,Submission!$H:$N,""))</f>
        <v>Installation with low emissions</v>
      </c>
      <c r="D231" s="417"/>
      <c r="E231" s="417"/>
      <c r="F231" s="417"/>
      <c r="G231" s="367"/>
      <c r="H231" s="123" t="str">
        <f>_xlfn.CONCAT(_xlfn.XLOOKUP("[S05_DefaultValues][29][FuelMaterialType]",Submission!$O:$O,Submission!$H:$N,""))</f>
        <v>Olej opałowy ciężki</v>
      </c>
      <c r="I231" s="106" t="str">
        <f>_xlfn.CONCAT(_xlfn.XLOOKUP("[S05_DefaultValues][29][InstallationNumber]",Submission!$O:$O,Submission!$H:$N,""))</f>
        <v>6</v>
      </c>
    </row>
    <row r="232" spans="1:9" ht="15.9" customHeight="1" x14ac:dyDescent="0.3">
      <c r="A232" s="13"/>
      <c r="B232" s="34"/>
      <c r="C232" s="277" t="str">
        <f>_xlfn.CONCAT(_xlfn.XLOOKUP("[S05_DefaultValues][30][InstallationCategory]",Submission!$O:$O,Submission!$H:$N,""))</f>
        <v>Installation with low emissions</v>
      </c>
      <c r="D232" s="417"/>
      <c r="E232" s="417"/>
      <c r="F232" s="417"/>
      <c r="G232" s="367"/>
      <c r="H232" s="123" t="str">
        <f>_xlfn.CONCAT(_xlfn.XLOOKUP("[S05_DefaultValues][30][FuelMaterialType]",Submission!$O:$O,Submission!$H:$N,""))</f>
        <v>Olej opałowy lekki</v>
      </c>
      <c r="I232" s="106" t="str">
        <f>_xlfn.CONCAT(_xlfn.XLOOKUP("[S05_DefaultValues][30][InstallationNumber]",Submission!$O:$O,Submission!$H:$N,""))</f>
        <v>32</v>
      </c>
    </row>
    <row r="233" spans="1:9" ht="15.9" customHeight="1" x14ac:dyDescent="0.3">
      <c r="A233" s="13"/>
      <c r="B233" s="34"/>
      <c r="C233" s="277" t="str">
        <f>_xlfn.CONCAT(_xlfn.XLOOKUP("[S05_DefaultValues][31][InstallationCategory]",Submission!$O:$O,Submission!$H:$N,""))</f>
        <v>Installation with low emissions</v>
      </c>
      <c r="D233" s="417"/>
      <c r="E233" s="417"/>
      <c r="F233" s="417"/>
      <c r="G233" s="367"/>
      <c r="H233" s="123" t="str">
        <f>_xlfn.CONCAT(_xlfn.XLOOKUP("[S05_DefaultValues][31][FuelMaterialType]",Submission!$O:$O,Submission!$H:$N,""))</f>
        <v>Olej opałowy średni</v>
      </c>
      <c r="I233" s="106" t="str">
        <f>_xlfn.CONCAT(_xlfn.XLOOKUP("[S05_DefaultValues][31][InstallationNumber]",Submission!$O:$O,Submission!$H:$N,""))</f>
        <v>1</v>
      </c>
    </row>
    <row r="234" spans="1:9" ht="15.9" customHeight="1" x14ac:dyDescent="0.3">
      <c r="A234" s="13"/>
      <c r="B234" s="34"/>
      <c r="C234" s="277" t="str">
        <f>_xlfn.CONCAT(_xlfn.XLOOKUP("[S05_DefaultValues][32][InstallationCategory]",Submission!$O:$O,Submission!$H:$N,""))</f>
        <v>Installation with low emissions</v>
      </c>
      <c r="D234" s="417"/>
      <c r="E234" s="417"/>
      <c r="F234" s="417"/>
      <c r="G234" s="367"/>
      <c r="H234" s="123" t="str">
        <f>_xlfn.CONCAT(_xlfn.XLOOKUP("[S05_DefaultValues][32][FuelMaterialType]",Submission!$O:$O,Submission!$H:$N,""))</f>
        <v>Olej opałowy pozostałościowy</v>
      </c>
      <c r="I234" s="106" t="str">
        <f>_xlfn.CONCAT(_xlfn.XLOOKUP("[S05_DefaultValues][32][InstallationNumber]",Submission!$O:$O,Submission!$H:$N,""))</f>
        <v>1</v>
      </c>
    </row>
    <row r="235" spans="1:9" ht="15.9" customHeight="1" x14ac:dyDescent="0.3">
      <c r="A235" s="13"/>
      <c r="B235" s="34"/>
      <c r="C235" s="277" t="str">
        <f>_xlfn.CONCAT(_xlfn.XLOOKUP("[S05_DefaultValues][33][InstallationCategory]",Submission!$O:$O,Submission!$H:$N,""))</f>
        <v>Installation with low emissions</v>
      </c>
      <c r="D235" s="417"/>
      <c r="E235" s="417"/>
      <c r="F235" s="417"/>
      <c r="G235" s="367"/>
      <c r="H235" s="123" t="str">
        <f>_xlfn.CONCAT(_xlfn.XLOOKUP("[S05_DefaultValues][33][FuelMaterialType]",Submission!$O:$O,Submission!$H:$N,""))</f>
        <v>Pozostałości procesowe</v>
      </c>
      <c r="I235" s="106" t="str">
        <f>_xlfn.CONCAT(_xlfn.XLOOKUP("[S05_DefaultValues][33][InstallationNumber]",Submission!$O:$O,Submission!$H:$N,""))</f>
        <v>1</v>
      </c>
    </row>
    <row r="236" spans="1:9" ht="15.9" customHeight="1" x14ac:dyDescent="0.3">
      <c r="A236" s="13"/>
      <c r="B236" s="34"/>
      <c r="C236" s="277" t="str">
        <f>_xlfn.CONCAT(_xlfn.XLOOKUP("[S05_DefaultValues][34][InstallationCategory]",Submission!$O:$O,Submission!$H:$N,""))</f>
        <v>Installation with low emissions</v>
      </c>
      <c r="D236" s="417"/>
      <c r="E236" s="417"/>
      <c r="F236" s="417"/>
      <c r="G236" s="367"/>
      <c r="H236" s="123" t="str">
        <f>_xlfn.CONCAT(_xlfn.XLOOKUP("[S05_DefaultValues][34][FuelMaterialType]",Submission!$O:$O,Submission!$H:$N,""))</f>
        <v>Produkcja wodoru z gazu ziemnego</v>
      </c>
      <c r="I236" s="106" t="str">
        <f>_xlfn.CONCAT(_xlfn.XLOOKUP("[S05_DefaultValues][34][InstallationNumber]",Submission!$O:$O,Submission!$H:$N,""))</f>
        <v>1</v>
      </c>
    </row>
    <row r="237" spans="1:9" ht="15.9" customHeight="1" x14ac:dyDescent="0.3">
      <c r="A237" s="13"/>
      <c r="B237" s="34"/>
      <c r="C237" s="277" t="str">
        <f>_xlfn.CONCAT(_xlfn.XLOOKUP("[S05_DefaultValues][35][InstallationCategory]",Submission!$O:$O,Submission!$H:$N,""))</f>
        <v>Installation with low emissions</v>
      </c>
      <c r="D237" s="417"/>
      <c r="E237" s="417"/>
      <c r="F237" s="417"/>
      <c r="G237" s="367"/>
      <c r="H237" s="123" t="str">
        <f>_xlfn.CONCAT(_xlfn.XLOOKUP("[S05_DefaultValues][35][FuelMaterialType]",Submission!$O:$O,Submission!$H:$N,""))</f>
        <v>przedgon benzolowy - IOKS</v>
      </c>
      <c r="I237" s="106" t="str">
        <f>_xlfn.CONCAT(_xlfn.XLOOKUP("[S05_DefaultValues][35][InstallationNumber]",Submission!$O:$O,Submission!$H:$N,""))</f>
        <v>1</v>
      </c>
    </row>
    <row r="238" spans="1:9" ht="15.9" customHeight="1" x14ac:dyDescent="0.3">
      <c r="A238" s="13"/>
      <c r="B238" s="34"/>
      <c r="C238" s="277" t="str">
        <f>_xlfn.CONCAT(_xlfn.XLOOKUP("[S05_DefaultValues][36][InstallationCategory]",Submission!$O:$O,Submission!$H:$N,""))</f>
        <v>Installation with low emissions</v>
      </c>
      <c r="D238" s="417"/>
      <c r="E238" s="417"/>
      <c r="F238" s="417"/>
      <c r="G238" s="367"/>
      <c r="H238" s="123" t="str">
        <f>_xlfn.CONCAT(_xlfn.XLOOKUP("[S05_DefaultValues][36][FuelMaterialType]",Submission!$O:$O,Submission!$H:$N,""))</f>
        <v>przedgon benzolowy - pochodnia</v>
      </c>
      <c r="I238" s="106" t="str">
        <f>_xlfn.CONCAT(_xlfn.XLOOKUP("[S05_DefaultValues][36][InstallationNumber]",Submission!$O:$O,Submission!$H:$N,""))</f>
        <v>1</v>
      </c>
    </row>
    <row r="239" spans="1:9" ht="15.9" customHeight="1" x14ac:dyDescent="0.3">
      <c r="A239" s="13"/>
      <c r="B239" s="34"/>
      <c r="C239" s="277" t="str">
        <f>_xlfn.CONCAT(_xlfn.XLOOKUP("[S05_DefaultValues][37][InstallationCategory]",Submission!$O:$O,Submission!$H:$N,""))</f>
        <v>Installation with low emissions</v>
      </c>
      <c r="D239" s="417"/>
      <c r="E239" s="417"/>
      <c r="F239" s="417"/>
      <c r="G239" s="367"/>
      <c r="H239" s="123" t="str">
        <f>_xlfn.CONCAT(_xlfn.XLOOKUP("[S05_DefaultValues][37][FuelMaterialType]",Submission!$O:$O,Submission!$H:$N,""))</f>
        <v>Soda</v>
      </c>
      <c r="I239" s="106" t="str">
        <f>_xlfn.CONCAT(_xlfn.XLOOKUP("[S05_DefaultValues][37][InstallationNumber]",Submission!$O:$O,Submission!$H:$N,""))</f>
        <v>2</v>
      </c>
    </row>
    <row r="240" spans="1:9" ht="15.9" customHeight="1" x14ac:dyDescent="0.3">
      <c r="A240" s="13"/>
      <c r="B240" s="34"/>
      <c r="C240" s="277" t="str">
        <f>_xlfn.CONCAT(_xlfn.XLOOKUP("[S05_DefaultValues][38][InstallationCategory]",Submission!$O:$O,Submission!$H:$N,""))</f>
        <v>Installation with low emissions</v>
      </c>
      <c r="D240" s="417"/>
      <c r="E240" s="417"/>
      <c r="F240" s="417"/>
      <c r="G240" s="367"/>
      <c r="H240" s="123" t="str">
        <f>_xlfn.CONCAT(_xlfn.XLOOKUP("[S05_DefaultValues][38][FuelMaterialType]",Submission!$O:$O,Submission!$H:$N,""))</f>
        <v>Spieniacz</v>
      </c>
      <c r="I240" s="106" t="str">
        <f>_xlfn.CONCAT(_xlfn.XLOOKUP("[S05_DefaultValues][38][InstallationNumber]",Submission!$O:$O,Submission!$H:$N,""))</f>
        <v>1</v>
      </c>
    </row>
    <row r="241" spans="1:9" ht="15.9" customHeight="1" x14ac:dyDescent="0.3">
      <c r="A241" s="13"/>
      <c r="B241" s="34"/>
      <c r="C241" s="277" t="str">
        <f>_xlfn.CONCAT(_xlfn.XLOOKUP("[S05_DefaultValues][39][InstallationCategory]",Submission!$O:$O,Submission!$H:$N,""))</f>
        <v>Installation with low emissions</v>
      </c>
      <c r="D241" s="417"/>
      <c r="E241" s="417"/>
      <c r="F241" s="417"/>
      <c r="G241" s="367"/>
      <c r="H241" s="123" t="str">
        <f>_xlfn.CONCAT(_xlfn.XLOOKUP("[S05_DefaultValues][39][FuelMaterialType]",Submission!$O:$O,Submission!$H:$N,""))</f>
        <v>Stal</v>
      </c>
      <c r="I241" s="106" t="str">
        <f>_xlfn.CONCAT(_xlfn.XLOOKUP("[S05_DefaultValues][39][InstallationNumber]",Submission!$O:$O,Submission!$H:$N,""))</f>
        <v>1</v>
      </c>
    </row>
    <row r="242" spans="1:9" ht="15.9" customHeight="1" x14ac:dyDescent="0.3">
      <c r="A242" s="13"/>
      <c r="B242" s="34"/>
      <c r="C242" s="277" t="str">
        <f>_xlfn.CONCAT(_xlfn.XLOOKUP("[S05_DefaultValues][40][InstallationCategory]",Submission!$O:$O,Submission!$H:$N,""))</f>
        <v>Installation with low emissions</v>
      </c>
      <c r="D242" s="417"/>
      <c r="E242" s="417"/>
      <c r="F242" s="417"/>
      <c r="G242" s="367"/>
      <c r="H242" s="123" t="str">
        <f>_xlfn.CONCAT(_xlfn.XLOOKUP("[S05_DefaultValues][40][FuelMaterialType]",Submission!$O:$O,Submission!$H:$N,""))</f>
        <v>Utlenianie katalityczne metanolu</v>
      </c>
      <c r="I242" s="106" t="str">
        <f>_xlfn.CONCAT(_xlfn.XLOOKUP("[S05_DefaultValues][40][InstallationNumber]",Submission!$O:$O,Submission!$H:$N,""))</f>
        <v>1</v>
      </c>
    </row>
    <row r="243" spans="1:9" ht="15.9" hidden="1" customHeight="1" outlineLevel="1" x14ac:dyDescent="0.3">
      <c r="A243" s="13"/>
      <c r="B243" s="34"/>
      <c r="C243" s="277" t="str">
        <f>_xlfn.CONCAT(_xlfn.XLOOKUP("[S05_DefaultValues][41][InstallationCategory]",Submission!$O:$O,Submission!$H:$N,""))</f>
        <v>Installation with low emissions</v>
      </c>
      <c r="D243" s="417"/>
      <c r="E243" s="417"/>
      <c r="F243" s="417"/>
      <c r="G243" s="367"/>
      <c r="H243" s="123" t="str">
        <f>_xlfn.CONCAT(_xlfn.XLOOKUP("[S05_DefaultValues][41][FuelMaterialType]",Submission!$O:$O,Submission!$H:$N,""))</f>
        <v>Węgiel brunatny</v>
      </c>
      <c r="I243" s="106" t="str">
        <f>_xlfn.CONCAT(_xlfn.XLOOKUP("[S05_DefaultValues][41][InstallationNumber]",Submission!$O:$O,Submission!$H:$N,""))</f>
        <v>2</v>
      </c>
    </row>
    <row r="244" spans="1:9" ht="15.9" hidden="1" customHeight="1" outlineLevel="1" x14ac:dyDescent="0.3">
      <c r="A244" s="13"/>
      <c r="B244" s="34"/>
      <c r="C244" s="277" t="str">
        <f>_xlfn.CONCAT(_xlfn.XLOOKUP("[S05_DefaultValues][42][InstallationCategory]",Submission!$O:$O,Submission!$H:$N,""))</f>
        <v>Installation with low emissions</v>
      </c>
      <c r="D244" s="417"/>
      <c r="E244" s="417"/>
      <c r="F244" s="417"/>
      <c r="G244" s="367"/>
      <c r="H244" s="123" t="str">
        <f>_xlfn.CONCAT(_xlfn.XLOOKUP("[S05_DefaultValues][42][FuelMaterialType]",Submission!$O:$O,Submission!$H:$N,""))</f>
        <v>Węgiel kamienny</v>
      </c>
      <c r="I244" s="106" t="str">
        <f>_xlfn.CONCAT(_xlfn.XLOOKUP("[S05_DefaultValues][42][InstallationNumber]",Submission!$O:$O,Submission!$H:$N,""))</f>
        <v>79</v>
      </c>
    </row>
    <row r="245" spans="1:9" ht="15.9" hidden="1" customHeight="1" outlineLevel="1" x14ac:dyDescent="0.3">
      <c r="A245" s="13"/>
      <c r="B245" s="34"/>
      <c r="C245" s="277" t="str">
        <f>_xlfn.CONCAT(_xlfn.XLOOKUP("[S05_DefaultValues][43][InstallationCategory]",Submission!$O:$O,Submission!$H:$N,""))</f>
        <v>Installation with low emissions</v>
      </c>
      <c r="D245" s="417"/>
      <c r="E245" s="417"/>
      <c r="F245" s="417"/>
      <c r="G245" s="367"/>
      <c r="H245" s="123" t="str">
        <f>_xlfn.CONCAT(_xlfn.XLOOKUP("[S05_DefaultValues][43][FuelMaterialType]",Submission!$O:$O,Submission!$H:$N,""))</f>
        <v>Węglan Baru</v>
      </c>
      <c r="I245" s="106" t="str">
        <f>_xlfn.CONCAT(_xlfn.XLOOKUP("[S05_DefaultValues][43][InstallationNumber]",Submission!$O:$O,Submission!$H:$N,""))</f>
        <v>3</v>
      </c>
    </row>
    <row r="246" spans="1:9" ht="15.9" hidden="1" customHeight="1" outlineLevel="1" x14ac:dyDescent="0.3">
      <c r="A246" s="13"/>
      <c r="B246" s="34"/>
      <c r="C246" s="277" t="str">
        <f>_xlfn.CONCAT(_xlfn.XLOOKUP("[S05_DefaultValues][44][InstallationCategory]",Submission!$O:$O,Submission!$H:$N,""))</f>
        <v>Installation with low emissions</v>
      </c>
      <c r="D246" s="417"/>
      <c r="E246" s="417"/>
      <c r="F246" s="417"/>
      <c r="G246" s="367"/>
      <c r="H246" s="123" t="str">
        <f>_xlfn.CONCAT(_xlfn.XLOOKUP("[S05_DefaultValues][44][FuelMaterialType]",Submission!$O:$O,Submission!$H:$N,""))</f>
        <v>Węglan Magnezu</v>
      </c>
      <c r="I246" s="106" t="str">
        <f>_xlfn.CONCAT(_xlfn.XLOOKUP("[S05_DefaultValues][44][InstallationNumber]",Submission!$O:$O,Submission!$H:$N,""))</f>
        <v>12</v>
      </c>
    </row>
    <row r="247" spans="1:9" ht="15.9" hidden="1" customHeight="1" outlineLevel="1" x14ac:dyDescent="0.3">
      <c r="A247" s="13"/>
      <c r="B247" s="34"/>
      <c r="C247" s="277" t="str">
        <f>_xlfn.CONCAT(_xlfn.XLOOKUP("[S05_DefaultValues][45][InstallationCategory]",Submission!$O:$O,Submission!$H:$N,""))</f>
        <v>Installation with low emissions</v>
      </c>
      <c r="D247" s="417"/>
      <c r="E247" s="417"/>
      <c r="F247" s="417"/>
      <c r="G247" s="367"/>
      <c r="H247" s="123" t="str">
        <f>_xlfn.CONCAT(_xlfn.XLOOKUP("[S05_DefaultValues][45][FuelMaterialType]",Submission!$O:$O,Submission!$H:$N,""))</f>
        <v>Węglan Sodu</v>
      </c>
      <c r="I247" s="106" t="str">
        <f>_xlfn.CONCAT(_xlfn.XLOOKUP("[S05_DefaultValues][45][InstallationNumber]",Submission!$O:$O,Submission!$H:$N,""))</f>
        <v>7</v>
      </c>
    </row>
    <row r="248" spans="1:9" ht="15.9" hidden="1" customHeight="1" outlineLevel="1" x14ac:dyDescent="0.3">
      <c r="A248" s="13"/>
      <c r="B248" s="34"/>
      <c r="C248" s="277" t="str">
        <f>_xlfn.CONCAT(_xlfn.XLOOKUP("[S05_DefaultValues][46][InstallationCategory]",Submission!$O:$O,Submission!$H:$N,""))</f>
        <v>Installation with low emissions</v>
      </c>
      <c r="D248" s="417"/>
      <c r="E248" s="417"/>
      <c r="F248" s="417"/>
      <c r="G248" s="367"/>
      <c r="H248" s="123" t="str">
        <f>_xlfn.CONCAT(_xlfn.XLOOKUP("[S05_DefaultValues][46][FuelMaterialType]",Submission!$O:$O,Submission!$H:$N,""))</f>
        <v>Węglan Wapnia</v>
      </c>
      <c r="I248" s="106" t="str">
        <f>_xlfn.CONCAT(_xlfn.XLOOKUP("[S05_DefaultValues][46][InstallationNumber]",Submission!$O:$O,Submission!$H:$N,""))</f>
        <v>18</v>
      </c>
    </row>
    <row r="249" spans="1:9" ht="15.9" hidden="1" customHeight="1" outlineLevel="1" x14ac:dyDescent="0.3">
      <c r="A249" s="13"/>
      <c r="B249" s="34"/>
      <c r="C249" s="277" t="str">
        <f>_xlfn.CONCAT(_xlfn.XLOOKUP("[S05_DefaultValues][47][InstallationCategory]",Submission!$O:$O,Submission!$H:$N,""))</f>
        <v>Installation with low emissions</v>
      </c>
      <c r="D249" s="417"/>
      <c r="E249" s="417"/>
      <c r="F249" s="417"/>
      <c r="G249" s="367"/>
      <c r="H249" s="123" t="str">
        <f>_xlfn.CONCAT(_xlfn.XLOOKUP("[S05_DefaultValues][47][FuelMaterialType]",Submission!$O:$O,Submission!$H:$N,""))</f>
        <v>Zanieczyszczone powietrze procesowe</v>
      </c>
      <c r="I249" s="106" t="str">
        <f>_xlfn.CONCAT(_xlfn.XLOOKUP("[S05_DefaultValues][47][InstallationNumber]",Submission!$O:$O,Submission!$H:$N,""))</f>
        <v>1</v>
      </c>
    </row>
    <row r="250" spans="1:9" ht="15.9" hidden="1" customHeight="1" outlineLevel="1" x14ac:dyDescent="0.3">
      <c r="A250" s="13"/>
      <c r="B250" s="34"/>
      <c r="C250" s="277" t="str">
        <f>_xlfn.CONCAT(_xlfn.XLOOKUP("[S05_DefaultValues][48][InstallationCategory]",Submission!$O:$O,Submission!$H:$N,""))</f>
        <v>Installation with low emissions</v>
      </c>
      <c r="D250" s="417"/>
      <c r="E250" s="417"/>
      <c r="F250" s="417"/>
      <c r="G250" s="367"/>
      <c r="H250" s="123" t="str">
        <f>_xlfn.CONCAT(_xlfn.XLOOKUP("[S05_DefaultValues][48][FuelMaterialType]",Submission!$O:$O,Submission!$H:$N,""))</f>
        <v>Złom stalowy</v>
      </c>
      <c r="I250" s="106" t="str">
        <f>_xlfn.CONCAT(_xlfn.XLOOKUP("[S05_DefaultValues][48][InstallationNumber]",Submission!$O:$O,Submission!$H:$N,""))</f>
        <v>1</v>
      </c>
    </row>
    <row r="251" spans="1:9" ht="15.9" hidden="1" customHeight="1" outlineLevel="1" x14ac:dyDescent="0.3">
      <c r="A251" s="13"/>
      <c r="B251" s="34"/>
      <c r="C251" s="277" t="str">
        <f>_xlfn.CONCAT(_xlfn.XLOOKUP("[S05_DefaultValues][49][InstallationCategory]",Submission!$O:$O,Submission!$H:$N,""))</f>
        <v>Installation with low emissions</v>
      </c>
      <c r="D251" s="417"/>
      <c r="E251" s="417"/>
      <c r="F251" s="417"/>
      <c r="G251" s="367"/>
      <c r="H251" s="123" t="str">
        <f>_xlfn.CONCAT(_xlfn.XLOOKUP("[S05_DefaultValues][49][FuelMaterialType]",Submission!$O:$O,Submission!$H:$N,""))</f>
        <v>Żelazostopy</v>
      </c>
      <c r="I251" s="106" t="str">
        <f>_xlfn.CONCAT(_xlfn.XLOOKUP("[S05_DefaultValues][49][InstallationNumber]",Submission!$O:$O,Submission!$H:$N,""))</f>
        <v>1</v>
      </c>
    </row>
    <row r="252" spans="1:9" ht="15.9" hidden="1" customHeight="1" outlineLevel="1" x14ac:dyDescent="0.3">
      <c r="A252" s="13"/>
      <c r="B252" s="34"/>
      <c r="C252" s="277" t="str">
        <f>_xlfn.CONCAT(_xlfn.XLOOKUP("[S05_DefaultValues][50][InstallationCategory]",Submission!$O:$O,Submission!$H:$N,""))</f>
        <v>Category A installation</v>
      </c>
      <c r="D252" s="417"/>
      <c r="E252" s="417"/>
      <c r="F252" s="417"/>
      <c r="G252" s="367"/>
      <c r="H252" s="123" t="str">
        <f>_xlfn.CONCAT(_xlfn.XLOOKUP("[S05_DefaultValues][50][FuelMaterialType]",Submission!$O:$O,Submission!$H:$N,""))</f>
        <v>Antracyt</v>
      </c>
      <c r="I252" s="106" t="str">
        <f>_xlfn.CONCAT(_xlfn.XLOOKUP("[S05_DefaultValues][50][InstallationNumber]",Submission!$O:$O,Submission!$H:$N,""))</f>
        <v>5</v>
      </c>
    </row>
    <row r="253" spans="1:9" ht="15.9" hidden="1" customHeight="1" outlineLevel="1" x14ac:dyDescent="0.3">
      <c r="A253" s="13"/>
      <c r="B253" s="34"/>
      <c r="C253" s="277" t="str">
        <f>_xlfn.CONCAT(_xlfn.XLOOKUP("[S05_DefaultValues][51][InstallationCategory]",Submission!$O:$O,Submission!$H:$N,""))</f>
        <v>Category A installation</v>
      </c>
      <c r="D253" s="417"/>
      <c r="E253" s="417"/>
      <c r="F253" s="417"/>
      <c r="G253" s="367"/>
      <c r="H253" s="123" t="str">
        <f>_xlfn.CONCAT(_xlfn.XLOOKUP("[S05_DefaultValues][51][FuelMaterialType]",Submission!$O:$O,Submission!$H:$N,""))</f>
        <v>Benzyna</v>
      </c>
      <c r="I253" s="106" t="str">
        <f>_xlfn.CONCAT(_xlfn.XLOOKUP("[S05_DefaultValues][51][InstallationNumber]",Submission!$O:$O,Submission!$H:$N,""))</f>
        <v>3</v>
      </c>
    </row>
    <row r="254" spans="1:9" ht="15.9" hidden="1" customHeight="1" outlineLevel="1" x14ac:dyDescent="0.3">
      <c r="A254" s="13"/>
      <c r="B254" s="34"/>
      <c r="C254" s="277" t="str">
        <f>_xlfn.CONCAT(_xlfn.XLOOKUP("[S05_DefaultValues][52][InstallationCategory]",Submission!$O:$O,Submission!$H:$N,""))</f>
        <v>Category A installation</v>
      </c>
      <c r="D254" s="417"/>
      <c r="E254" s="417"/>
      <c r="F254" s="417"/>
      <c r="G254" s="367"/>
      <c r="H254" s="123" t="str">
        <f>_xlfn.CONCAT(_xlfn.XLOOKUP("[S05_DefaultValues][52][FuelMaterialType]",Submission!$O:$O,Submission!$H:$N,""))</f>
        <v>Biogaz</v>
      </c>
      <c r="I254" s="106" t="str">
        <f>_xlfn.CONCAT(_xlfn.XLOOKUP("[S05_DefaultValues][52][InstallationNumber]",Submission!$O:$O,Submission!$H:$N,""))</f>
        <v>3</v>
      </c>
    </row>
    <row r="255" spans="1:9" ht="15.9" hidden="1" customHeight="1" outlineLevel="1" x14ac:dyDescent="0.3">
      <c r="A255" s="13"/>
      <c r="B255" s="34"/>
      <c r="C255" s="277" t="str">
        <f>_xlfn.CONCAT(_xlfn.XLOOKUP("[S05_DefaultValues][53][InstallationCategory]",Submission!$O:$O,Submission!$H:$N,""))</f>
        <v>Category A installation</v>
      </c>
      <c r="D255" s="417"/>
      <c r="E255" s="417"/>
      <c r="F255" s="417"/>
      <c r="G255" s="367"/>
      <c r="H255" s="123" t="str">
        <f>_xlfn.CONCAT(_xlfn.XLOOKUP("[S05_DefaultValues][53][FuelMaterialType]",Submission!$O:$O,Submission!$H:$N,""))</f>
        <v>Biomasa</v>
      </c>
      <c r="I255" s="106" t="str">
        <f>_xlfn.CONCAT(_xlfn.XLOOKUP("[S05_DefaultValues][53][InstallationNumber]",Submission!$O:$O,Submission!$H:$N,""))</f>
        <v>27</v>
      </c>
    </row>
    <row r="256" spans="1:9" ht="15.9" hidden="1" customHeight="1" outlineLevel="1" x14ac:dyDescent="0.3">
      <c r="A256" s="13"/>
      <c r="B256" s="34"/>
      <c r="C256" s="277" t="str">
        <f>_xlfn.CONCAT(_xlfn.XLOOKUP("[S05_DefaultValues][54][InstallationCategory]",Submission!$O:$O,Submission!$H:$N,""))</f>
        <v>Category A installation</v>
      </c>
      <c r="D256" s="417"/>
      <c r="E256" s="417"/>
      <c r="F256" s="417"/>
      <c r="G256" s="367"/>
      <c r="H256" s="123" t="str">
        <f>_xlfn.CONCAT(_xlfn.XLOOKUP("[S05_DefaultValues][54][FuelMaterialType]",Submission!$O:$O,Submission!$H:$N,""))</f>
        <v>Celuloza</v>
      </c>
      <c r="I256" s="106" t="str">
        <f>_xlfn.CONCAT(_xlfn.XLOOKUP("[S05_DefaultValues][54][InstallationNumber]",Submission!$O:$O,Submission!$H:$N,""))</f>
        <v>1</v>
      </c>
    </row>
    <row r="257" spans="1:9" ht="15.9" hidden="1" customHeight="1" outlineLevel="1" x14ac:dyDescent="0.3">
      <c r="A257" s="13"/>
      <c r="B257" s="34"/>
      <c r="C257" s="277" t="str">
        <f>_xlfn.CONCAT(_xlfn.XLOOKUP("[S05_DefaultValues][55][InstallationCategory]",Submission!$O:$O,Submission!$H:$N,""))</f>
        <v>Category A installation</v>
      </c>
      <c r="D257" s="417"/>
      <c r="E257" s="417"/>
      <c r="F257" s="417"/>
      <c r="G257" s="367"/>
      <c r="H257" s="123" t="str">
        <f>_xlfn.CONCAT(_xlfn.XLOOKUP("[S05_DefaultValues][55][FuelMaterialType]",Submission!$O:$O,Submission!$H:$N,""))</f>
        <v>Dolomit prażony</v>
      </c>
      <c r="I257" s="106" t="str">
        <f>_xlfn.CONCAT(_xlfn.XLOOKUP("[S05_DefaultValues][55][InstallationNumber]",Submission!$O:$O,Submission!$H:$N,""))</f>
        <v>1</v>
      </c>
    </row>
    <row r="258" spans="1:9" ht="15.9" hidden="1" customHeight="1" outlineLevel="1" x14ac:dyDescent="0.3">
      <c r="A258" s="13"/>
      <c r="B258" s="34"/>
      <c r="C258" s="277" t="str">
        <f>_xlfn.CONCAT(_xlfn.XLOOKUP("[S05_DefaultValues][56][InstallationCategory]",Submission!$O:$O,Submission!$H:$N,""))</f>
        <v>Category A installation</v>
      </c>
      <c r="D258" s="417"/>
      <c r="E258" s="417"/>
      <c r="F258" s="417"/>
      <c r="G258" s="367"/>
      <c r="H258" s="123" t="str">
        <f>_xlfn.CONCAT(_xlfn.XLOOKUP("[S05_DefaultValues][56][FuelMaterialType]",Submission!$O:$O,Submission!$H:$N,""))</f>
        <v>Dolomit surowy</v>
      </c>
      <c r="I258" s="106" t="str">
        <f>_xlfn.CONCAT(_xlfn.XLOOKUP("[S05_DefaultValues][56][InstallationNumber]",Submission!$O:$O,Submission!$H:$N,""))</f>
        <v>1</v>
      </c>
    </row>
    <row r="259" spans="1:9" ht="15.9" hidden="1" customHeight="1" outlineLevel="1" x14ac:dyDescent="0.3">
      <c r="A259" s="13"/>
      <c r="B259" s="34"/>
      <c r="C259" s="277" t="str">
        <f>_xlfn.CONCAT(_xlfn.XLOOKUP("[S05_DefaultValues][57][InstallationCategory]",Submission!$O:$O,Submission!$H:$N,""))</f>
        <v>Category A installation</v>
      </c>
      <c r="D259" s="417"/>
      <c r="E259" s="417"/>
      <c r="F259" s="417"/>
      <c r="G259" s="367"/>
      <c r="H259" s="123" t="str">
        <f>_xlfn.CONCAT(_xlfn.XLOOKUP("[S05_DefaultValues][57][FuelMaterialType]",Submission!$O:$O,Submission!$H:$N,""))</f>
        <v>Elektrody</v>
      </c>
      <c r="I259" s="106" t="str">
        <f>_xlfn.CONCAT(_xlfn.XLOOKUP("[S05_DefaultValues][57][InstallationNumber]",Submission!$O:$O,Submission!$H:$N,""))</f>
        <v>2</v>
      </c>
    </row>
    <row r="260" spans="1:9" ht="15.9" hidden="1" customHeight="1" outlineLevel="1" x14ac:dyDescent="0.3">
      <c r="A260" s="13"/>
      <c r="B260" s="34"/>
      <c r="C260" s="277" t="str">
        <f>_xlfn.CONCAT(_xlfn.XLOOKUP("[S05_DefaultValues][58][InstallationCategory]",Submission!$O:$O,Submission!$H:$N,""))</f>
        <v>Category A installation</v>
      </c>
      <c r="D260" s="417"/>
      <c r="E260" s="417"/>
      <c r="F260" s="417"/>
      <c r="G260" s="367"/>
      <c r="H260" s="123" t="str">
        <f>_xlfn.CONCAT(_xlfn.XLOOKUP("[S05_DefaultValues][58][FuelMaterialType]",Submission!$O:$O,Submission!$H:$N,""))</f>
        <v>Etylen</v>
      </c>
      <c r="I260" s="106" t="str">
        <f>_xlfn.CONCAT(_xlfn.XLOOKUP("[S05_DefaultValues][58][InstallationNumber]",Submission!$O:$O,Submission!$H:$N,""))</f>
        <v>1</v>
      </c>
    </row>
    <row r="261" spans="1:9" ht="15.9" hidden="1" customHeight="1" outlineLevel="1" x14ac:dyDescent="0.3">
      <c r="A261" s="13"/>
      <c r="B261" s="34"/>
      <c r="C261" s="277" t="str">
        <f>_xlfn.CONCAT(_xlfn.XLOOKUP("[S05_DefaultValues][59][InstallationCategory]",Submission!$O:$O,Submission!$H:$N,""))</f>
        <v>Category A installation</v>
      </c>
      <c r="D261" s="417"/>
      <c r="E261" s="417"/>
      <c r="F261" s="417"/>
      <c r="G261" s="367"/>
      <c r="H261" s="123" t="str">
        <f>_xlfn.CONCAT(_xlfn.XLOOKUP("[S05_DefaultValues][59][FuelMaterialType]",Submission!$O:$O,Submission!$H:$N,""))</f>
        <v>Fosforan diskrobiowy A</v>
      </c>
      <c r="I261" s="106" t="str">
        <f>_xlfn.CONCAT(_xlfn.XLOOKUP("[S05_DefaultValues][59][InstallationNumber]",Submission!$O:$O,Submission!$H:$N,""))</f>
        <v>1</v>
      </c>
    </row>
    <row r="262" spans="1:9" ht="15.9" hidden="1" customHeight="1" outlineLevel="1" x14ac:dyDescent="0.3">
      <c r="A262" s="13"/>
      <c r="B262" s="34"/>
      <c r="C262" s="277" t="str">
        <f>_xlfn.CONCAT(_xlfn.XLOOKUP("[S05_DefaultValues][60][InstallationCategory]",Submission!$O:$O,Submission!$H:$N,""))</f>
        <v>Category A installation</v>
      </c>
      <c r="D262" s="417"/>
      <c r="E262" s="417"/>
      <c r="F262" s="417"/>
      <c r="G262" s="367"/>
      <c r="H262" s="123" t="str">
        <f>_xlfn.CONCAT(_xlfn.XLOOKUP("[S05_DefaultValues][60][FuelMaterialType]",Submission!$O:$O,Submission!$H:$N,""))</f>
        <v>Fosforan diskrobiowy B</v>
      </c>
      <c r="I262" s="106" t="str">
        <f>_xlfn.CONCAT(_xlfn.XLOOKUP("[S05_DefaultValues][60][InstallationNumber]",Submission!$O:$O,Submission!$H:$N,""))</f>
        <v>1</v>
      </c>
    </row>
    <row r="263" spans="1:9" ht="15.9" hidden="1" customHeight="1" outlineLevel="1" x14ac:dyDescent="0.3">
      <c r="A263" s="13"/>
      <c r="B263" s="34"/>
      <c r="C263" s="277" t="str">
        <f>_xlfn.CONCAT(_xlfn.XLOOKUP("[S05_DefaultValues][61][InstallationCategory]",Submission!$O:$O,Submission!$H:$N,""))</f>
        <v>Category A installation</v>
      </c>
      <c r="D263" s="417"/>
      <c r="E263" s="417"/>
      <c r="F263" s="417"/>
      <c r="G263" s="367"/>
      <c r="H263" s="123" t="str">
        <f>_xlfn.CONCAT(_xlfn.XLOOKUP("[S05_DefaultValues][61][FuelMaterialType]",Submission!$O:$O,Submission!$H:$N,""))</f>
        <v>Gaz koksowniczy</v>
      </c>
      <c r="I263" s="106" t="str">
        <f>_xlfn.CONCAT(_xlfn.XLOOKUP("[S05_DefaultValues][61][InstallationNumber]",Submission!$O:$O,Submission!$H:$N,""))</f>
        <v>3</v>
      </c>
    </row>
    <row r="264" spans="1:9" ht="15.9" hidden="1" customHeight="1" outlineLevel="1" x14ac:dyDescent="0.3">
      <c r="A264" s="13"/>
      <c r="B264" s="34"/>
      <c r="C264" s="277" t="str">
        <f>_xlfn.CONCAT(_xlfn.XLOOKUP("[S05_DefaultValues][62][InstallationCategory]",Submission!$O:$O,Submission!$H:$N,""))</f>
        <v>Category A installation</v>
      </c>
      <c r="D264" s="417"/>
      <c r="E264" s="417"/>
      <c r="F264" s="417"/>
      <c r="G264" s="367"/>
      <c r="H264" s="123" t="str">
        <f>_xlfn.CONCAT(_xlfn.XLOOKUP("[S05_DefaultValues][62][FuelMaterialType]",Submission!$O:$O,Submission!$H:$N,""))</f>
        <v>Gaz LPG</v>
      </c>
      <c r="I264" s="106" t="str">
        <f>_xlfn.CONCAT(_xlfn.XLOOKUP("[S05_DefaultValues][62][InstallationNumber]",Submission!$O:$O,Submission!$H:$N,""))</f>
        <v>6</v>
      </c>
    </row>
    <row r="265" spans="1:9" ht="15.9" hidden="1" customHeight="1" outlineLevel="1" x14ac:dyDescent="0.3">
      <c r="A265" s="13"/>
      <c r="B265" s="34"/>
      <c r="C265" s="277" t="str">
        <f>_xlfn.CONCAT(_xlfn.XLOOKUP("[S05_DefaultValues][63][InstallationCategory]",Submission!$O:$O,Submission!$H:$N,""))</f>
        <v>Category A installation</v>
      </c>
      <c r="D265" s="417"/>
      <c r="E265" s="417"/>
      <c r="F265" s="417"/>
      <c r="G265" s="367"/>
      <c r="H265" s="123" t="str">
        <f>_xlfn.CONCAT(_xlfn.XLOOKUP("[S05_DefaultValues][63][FuelMaterialType]",Submission!$O:$O,Submission!$H:$N,""))</f>
        <v>Gaz propan</v>
      </c>
      <c r="I265" s="106" t="str">
        <f>_xlfn.CONCAT(_xlfn.XLOOKUP("[S05_DefaultValues][63][InstallationNumber]",Submission!$O:$O,Submission!$H:$N,""))</f>
        <v>2</v>
      </c>
    </row>
    <row r="266" spans="1:9" ht="15.9" hidden="1" customHeight="1" outlineLevel="1" x14ac:dyDescent="0.3">
      <c r="A266" s="13"/>
      <c r="B266" s="34"/>
      <c r="C266" s="277" t="str">
        <f>_xlfn.CONCAT(_xlfn.XLOOKUP("[S05_DefaultValues][64][InstallationCategory]",Submission!$O:$O,Submission!$H:$N,""))</f>
        <v>Category A installation</v>
      </c>
      <c r="D266" s="417"/>
      <c r="E266" s="417"/>
      <c r="F266" s="417"/>
      <c r="G266" s="367"/>
      <c r="H266" s="123" t="str">
        <f>_xlfn.CONCAT(_xlfn.XLOOKUP("[S05_DefaultValues][64][FuelMaterialType]",Submission!$O:$O,Submission!$H:$N,""))</f>
        <v>Gaz rafineryjny</v>
      </c>
      <c r="I266" s="106" t="str">
        <f>_xlfn.CONCAT(_xlfn.XLOOKUP("[S05_DefaultValues][64][InstallationNumber]",Submission!$O:$O,Submission!$H:$N,""))</f>
        <v>1</v>
      </c>
    </row>
    <row r="267" spans="1:9" ht="15.9" hidden="1" customHeight="1" outlineLevel="1" x14ac:dyDescent="0.3">
      <c r="A267" s="13"/>
      <c r="B267" s="34"/>
      <c r="C267" s="277" t="str">
        <f>_xlfn.CONCAT(_xlfn.XLOOKUP("[S05_DefaultValues][65][InstallationCategory]",Submission!$O:$O,Submission!$H:$N,""))</f>
        <v>Category A installation</v>
      </c>
      <c r="D267" s="417"/>
      <c r="E267" s="417"/>
      <c r="F267" s="417"/>
      <c r="G267" s="367"/>
      <c r="H267" s="123" t="str">
        <f>_xlfn.CONCAT(_xlfn.XLOOKUP("[S05_DefaultValues][65][FuelMaterialType]",Submission!$O:$O,Submission!$H:$N,""))</f>
        <v>Gaz skroplony LNG</v>
      </c>
      <c r="I267" s="106" t="str">
        <f>_xlfn.CONCAT(_xlfn.XLOOKUP("[S05_DefaultValues][65][InstallationNumber]",Submission!$O:$O,Submission!$H:$N,""))</f>
        <v>3</v>
      </c>
    </row>
    <row r="268" spans="1:9" ht="15.9" hidden="1" customHeight="1" outlineLevel="1" x14ac:dyDescent="0.3">
      <c r="A268" s="13"/>
      <c r="B268" s="34"/>
      <c r="C268" s="277" t="str">
        <f>_xlfn.CONCAT(_xlfn.XLOOKUP("[S05_DefaultValues][66][InstallationCategory]",Submission!$O:$O,Submission!$H:$N,""))</f>
        <v>Category A installation</v>
      </c>
      <c r="D268" s="417"/>
      <c r="E268" s="417"/>
      <c r="F268" s="417"/>
      <c r="G268" s="367"/>
      <c r="H268" s="123" t="str">
        <f>_xlfn.CONCAT(_xlfn.XLOOKUP("[S05_DefaultValues][66][FuelMaterialType]",Submission!$O:$O,Submission!$H:$N,""))</f>
        <v>Gaz z odmetanowania kopalni</v>
      </c>
      <c r="I268" s="106" t="str">
        <f>_xlfn.CONCAT(_xlfn.XLOOKUP("[S05_DefaultValues][66][InstallationNumber]",Submission!$O:$O,Submission!$H:$N,""))</f>
        <v>7</v>
      </c>
    </row>
    <row r="269" spans="1:9" ht="15.9" hidden="1" customHeight="1" outlineLevel="1" x14ac:dyDescent="0.3">
      <c r="A269" s="13"/>
      <c r="B269" s="34"/>
      <c r="C269" s="277" t="str">
        <f>_xlfn.CONCAT(_xlfn.XLOOKUP("[S05_DefaultValues][67][InstallationCategory]",Submission!$O:$O,Submission!$H:$N,""))</f>
        <v>Category A installation</v>
      </c>
      <c r="D269" s="417"/>
      <c r="E269" s="417"/>
      <c r="F269" s="417"/>
      <c r="G269" s="367"/>
      <c r="H269" s="123" t="str">
        <f>_xlfn.CONCAT(_xlfn.XLOOKUP("[S05_DefaultValues][67][FuelMaterialType]",Submission!$O:$O,Submission!$H:$N,""))</f>
        <v>Gaz ziemny wysokometanowy</v>
      </c>
      <c r="I269" s="106" t="str">
        <f>_xlfn.CONCAT(_xlfn.XLOOKUP("[S05_DefaultValues][67][InstallationNumber]",Submission!$O:$O,Submission!$H:$N,""))</f>
        <v>86</v>
      </c>
    </row>
    <row r="270" spans="1:9" ht="15.9" hidden="1" customHeight="1" outlineLevel="1" x14ac:dyDescent="0.3">
      <c r="A270" s="13"/>
      <c r="B270" s="34"/>
      <c r="C270" s="277" t="str">
        <f>_xlfn.CONCAT(_xlfn.XLOOKUP("[S05_DefaultValues][68][InstallationCategory]",Submission!$O:$O,Submission!$H:$N,""))</f>
        <v>Category A installation</v>
      </c>
      <c r="D270" s="417"/>
      <c r="E270" s="417"/>
      <c r="F270" s="417"/>
      <c r="G270" s="367"/>
      <c r="H270" s="123" t="str">
        <f>_xlfn.CONCAT(_xlfn.XLOOKUP("[S05_DefaultValues][68][FuelMaterialType]",Submission!$O:$O,Submission!$H:$N,""))</f>
        <v>Gaz ziemny zaazotowany</v>
      </c>
      <c r="I270" s="106" t="str">
        <f>_xlfn.CONCAT(_xlfn.XLOOKUP("[S05_DefaultValues][68][InstallationNumber]",Submission!$O:$O,Submission!$H:$N,""))</f>
        <v>1</v>
      </c>
    </row>
    <row r="271" spans="1:9" ht="15.9" hidden="1" customHeight="1" outlineLevel="1" x14ac:dyDescent="0.3">
      <c r="A271" s="13"/>
      <c r="B271" s="34"/>
      <c r="C271" s="277" t="str">
        <f>_xlfn.CONCAT(_xlfn.XLOOKUP("[S05_DefaultValues][69][InstallationCategory]",Submission!$O:$O,Submission!$H:$N,""))</f>
        <v>Category A installation</v>
      </c>
      <c r="D271" s="417"/>
      <c r="E271" s="417"/>
      <c r="F271" s="417"/>
      <c r="G271" s="367"/>
      <c r="H271" s="123" t="str">
        <f>_xlfn.CONCAT(_xlfn.XLOOKUP("[S05_DefaultValues][69][FuelMaterialType]",Submission!$O:$O,Submission!$H:$N,""))</f>
        <v>Gazy zrzutowe</v>
      </c>
      <c r="I271" s="106" t="str">
        <f>_xlfn.CONCAT(_xlfn.XLOOKUP("[S05_DefaultValues][69][InstallationNumber]",Submission!$O:$O,Submission!$H:$N,""))</f>
        <v>1</v>
      </c>
    </row>
    <row r="272" spans="1:9" ht="15.9" hidden="1" customHeight="1" outlineLevel="1" x14ac:dyDescent="0.3">
      <c r="A272" s="13"/>
      <c r="B272" s="34"/>
      <c r="C272" s="277" t="str">
        <f>_xlfn.CONCAT(_xlfn.XLOOKUP("[S05_DefaultValues][70][InstallationCategory]",Submission!$O:$O,Submission!$H:$N,""))</f>
        <v>Category A installation</v>
      </c>
      <c r="D272" s="417"/>
      <c r="E272" s="417"/>
      <c r="F272" s="417"/>
      <c r="G272" s="367"/>
      <c r="H272" s="123" t="str">
        <f>_xlfn.CONCAT(_xlfn.XLOOKUP("[S05_DefaultValues][70][FuelMaterialType]",Submission!$O:$O,Submission!$H:$N,""))</f>
        <v>gliceryna</v>
      </c>
      <c r="I272" s="106" t="str">
        <f>_xlfn.CONCAT(_xlfn.XLOOKUP("[S05_DefaultValues][70][InstallationNumber]",Submission!$O:$O,Submission!$H:$N,""))</f>
        <v>1</v>
      </c>
    </row>
    <row r="273" spans="1:9" ht="15.9" hidden="1" customHeight="1" outlineLevel="1" x14ac:dyDescent="0.3">
      <c r="A273" s="13"/>
      <c r="B273" s="34"/>
      <c r="C273" s="277" t="str">
        <f>_xlfn.CONCAT(_xlfn.XLOOKUP("[S05_DefaultValues][71][InstallationCategory]",Submission!$O:$O,Submission!$H:$N,""))</f>
        <v>Category A installation</v>
      </c>
      <c r="D273" s="417"/>
      <c r="E273" s="417"/>
      <c r="F273" s="417"/>
      <c r="G273" s="367"/>
      <c r="H273" s="123" t="str">
        <f>_xlfn.CONCAT(_xlfn.XLOOKUP("[S05_DefaultValues][71][FuelMaterialType]",Submission!$O:$O,Submission!$H:$N,""))</f>
        <v>glikol dwuetylenowy</v>
      </c>
      <c r="I273" s="106" t="str">
        <f>_xlfn.CONCAT(_xlfn.XLOOKUP("[S05_DefaultValues][71][InstallationNumber]",Submission!$O:$O,Submission!$H:$N,""))</f>
        <v>1</v>
      </c>
    </row>
    <row r="274" spans="1:9" ht="15.9" hidden="1" customHeight="1" outlineLevel="1" x14ac:dyDescent="0.3">
      <c r="A274" s="13"/>
      <c r="B274" s="34"/>
      <c r="C274" s="277" t="str">
        <f>_xlfn.CONCAT(_xlfn.XLOOKUP("[S05_DefaultValues][72][InstallationCategory]",Submission!$O:$O,Submission!$H:$N,""))</f>
        <v>Category A installation</v>
      </c>
      <c r="D274" s="417"/>
      <c r="E274" s="417"/>
      <c r="F274" s="417"/>
      <c r="G274" s="367"/>
      <c r="H274" s="123" t="str">
        <f>_xlfn.CONCAT(_xlfn.XLOOKUP("[S05_DefaultValues][72][FuelMaterialType]",Submission!$O:$O,Submission!$H:$N,""))</f>
        <v>glikol monoetylenowy</v>
      </c>
      <c r="I274" s="106" t="str">
        <f>_xlfn.CONCAT(_xlfn.XLOOKUP("[S05_DefaultValues][72][InstallationNumber]",Submission!$O:$O,Submission!$H:$N,""))</f>
        <v>1</v>
      </c>
    </row>
    <row r="275" spans="1:9" ht="15.9" hidden="1" customHeight="1" outlineLevel="1" x14ac:dyDescent="0.3">
      <c r="A275" s="13"/>
      <c r="B275" s="34"/>
      <c r="C275" s="277" t="str">
        <f>_xlfn.CONCAT(_xlfn.XLOOKUP("[S05_DefaultValues][73][InstallationCategory]",Submission!$O:$O,Submission!$H:$N,""))</f>
        <v>Category A installation</v>
      </c>
      <c r="D275" s="417"/>
      <c r="E275" s="417"/>
      <c r="F275" s="417"/>
      <c r="G275" s="367"/>
      <c r="H275" s="123" t="str">
        <f>_xlfn.CONCAT(_xlfn.XLOOKUP("[S05_DefaultValues][73][FuelMaterialType]",Submission!$O:$O,Submission!$H:$N,""))</f>
        <v>glikol trójetylenowy</v>
      </c>
      <c r="I275" s="106" t="str">
        <f>_xlfn.CONCAT(_xlfn.XLOOKUP("[S05_DefaultValues][73][InstallationNumber]",Submission!$O:$O,Submission!$H:$N,""))</f>
        <v>1</v>
      </c>
    </row>
    <row r="276" spans="1:9" ht="15.9" hidden="1" customHeight="1" outlineLevel="1" x14ac:dyDescent="0.3">
      <c r="A276" s="13"/>
      <c r="B276" s="34"/>
      <c r="C276" s="277" t="str">
        <f>_xlfn.CONCAT(_xlfn.XLOOKUP("[S05_DefaultValues][74][InstallationCategory]",Submission!$O:$O,Submission!$H:$N,""))</f>
        <v>Category A installation</v>
      </c>
      <c r="D276" s="417"/>
      <c r="E276" s="417"/>
      <c r="F276" s="417"/>
      <c r="G276" s="367"/>
      <c r="H276" s="123" t="str">
        <f>_xlfn.CONCAT(_xlfn.XLOOKUP("[S05_DefaultValues][74][FuelMaterialType]",Submission!$O:$O,Submission!$H:$N,""))</f>
        <v>Glina</v>
      </c>
      <c r="I276" s="106" t="str">
        <f>_xlfn.CONCAT(_xlfn.XLOOKUP("[S05_DefaultValues][74][InstallationNumber]",Submission!$O:$O,Submission!$H:$N,""))</f>
        <v>2</v>
      </c>
    </row>
    <row r="277" spans="1:9" ht="15.9" hidden="1" customHeight="1" outlineLevel="1" x14ac:dyDescent="0.3">
      <c r="A277" s="13"/>
      <c r="B277" s="34"/>
      <c r="C277" s="277" t="str">
        <f>_xlfn.CONCAT(_xlfn.XLOOKUP("[S05_DefaultValues][75][InstallationCategory]",Submission!$O:$O,Submission!$H:$N,""))</f>
        <v>Category A installation</v>
      </c>
      <c r="D277" s="417"/>
      <c r="E277" s="417"/>
      <c r="F277" s="417"/>
      <c r="G277" s="367"/>
      <c r="H277" s="123" t="str">
        <f>_xlfn.CONCAT(_xlfn.XLOOKUP("[S05_DefaultValues][75][FuelMaterialType]",Submission!$O:$O,Submission!$H:$N,""))</f>
        <v>gliokol polietylenowy</v>
      </c>
      <c r="I277" s="106" t="str">
        <f>_xlfn.CONCAT(_xlfn.XLOOKUP("[S05_DefaultValues][75][InstallationNumber]",Submission!$O:$O,Submission!$H:$N,""))</f>
        <v>1</v>
      </c>
    </row>
    <row r="278" spans="1:9" ht="15.9" hidden="1" customHeight="1" outlineLevel="1" x14ac:dyDescent="0.3">
      <c r="A278" s="13"/>
      <c r="B278" s="34"/>
      <c r="C278" s="277" t="str">
        <f>_xlfn.CONCAT(_xlfn.XLOOKUP("[S05_DefaultValues][76][InstallationCategory]",Submission!$O:$O,Submission!$H:$N,""))</f>
        <v>Category A installation</v>
      </c>
      <c r="D278" s="417"/>
      <c r="E278" s="417"/>
      <c r="F278" s="417"/>
      <c r="G278" s="367"/>
      <c r="H278" s="123" t="str">
        <f>_xlfn.CONCAT(_xlfn.XLOOKUP("[S05_DefaultValues][76][FuelMaterialType]",Submission!$O:$O,Submission!$H:$N,""))</f>
        <v>guma diutanowa</v>
      </c>
      <c r="I278" s="106" t="str">
        <f>_xlfn.CONCAT(_xlfn.XLOOKUP("[S05_DefaultValues][76][InstallationNumber]",Submission!$O:$O,Submission!$H:$N,""))</f>
        <v>1</v>
      </c>
    </row>
    <row r="279" spans="1:9" ht="15.9" hidden="1" customHeight="1" outlineLevel="1" x14ac:dyDescent="0.3">
      <c r="A279" s="13"/>
      <c r="B279" s="34"/>
      <c r="C279" s="277" t="str">
        <f>_xlfn.CONCAT(_xlfn.XLOOKUP("[S05_DefaultValues][77][InstallationCategory]",Submission!$O:$O,Submission!$H:$N,""))</f>
        <v>Category A installation</v>
      </c>
      <c r="D279" s="417"/>
      <c r="E279" s="417"/>
      <c r="F279" s="417"/>
      <c r="G279" s="367"/>
      <c r="H279" s="123" t="str">
        <f>_xlfn.CONCAT(_xlfn.XLOOKUP("[S05_DefaultValues][77][FuelMaterialType]",Submission!$O:$O,Submission!$H:$N,""))</f>
        <v>heptan i jego izomery</v>
      </c>
      <c r="I279" s="106" t="str">
        <f>_xlfn.CONCAT(_xlfn.XLOOKUP("[S05_DefaultValues][77][InstallationNumber]",Submission!$O:$O,Submission!$H:$N,""))</f>
        <v>1</v>
      </c>
    </row>
    <row r="280" spans="1:9" ht="15.9" hidden="1" customHeight="1" outlineLevel="1" x14ac:dyDescent="0.3">
      <c r="A280" s="13"/>
      <c r="B280" s="34"/>
      <c r="C280" s="277" t="str">
        <f>_xlfn.CONCAT(_xlfn.XLOOKUP("[S05_DefaultValues][78][InstallationCategory]",Submission!$O:$O,Submission!$H:$N,""))</f>
        <v>Category A installation</v>
      </c>
      <c r="D280" s="417"/>
      <c r="E280" s="417"/>
      <c r="F280" s="417"/>
      <c r="G280" s="367"/>
      <c r="H280" s="123" t="str">
        <f>_xlfn.CONCAT(_xlfn.XLOOKUP("[S05_DefaultValues][78][FuelMaterialType]",Submission!$O:$O,Submission!$H:$N,""))</f>
        <v>izopentan</v>
      </c>
      <c r="I280" s="106" t="str">
        <f>_xlfn.CONCAT(_xlfn.XLOOKUP("[S05_DefaultValues][78][InstallationNumber]",Submission!$O:$O,Submission!$H:$N,""))</f>
        <v>1</v>
      </c>
    </row>
    <row r="281" spans="1:9" ht="15.9" hidden="1" customHeight="1" outlineLevel="1" x14ac:dyDescent="0.3">
      <c r="A281" s="13"/>
      <c r="B281" s="34"/>
      <c r="C281" s="277" t="str">
        <f>_xlfn.CONCAT(_xlfn.XLOOKUP("[S05_DefaultValues][79][InstallationCategory]",Submission!$O:$O,Submission!$H:$N,""))</f>
        <v>Category A installation</v>
      </c>
      <c r="D281" s="417"/>
      <c r="E281" s="417"/>
      <c r="F281" s="417"/>
      <c r="G281" s="367"/>
      <c r="H281" s="123" t="str">
        <f>_xlfn.CONCAT(_xlfn.XLOOKUP("[S05_DefaultValues][79][FuelMaterialType]",Submission!$O:$O,Submission!$H:$N,""))</f>
        <v>Kamień wapienny</v>
      </c>
      <c r="I281" s="106" t="str">
        <f>_xlfn.CONCAT(_xlfn.XLOOKUP("[S05_DefaultValues][79][InstallationNumber]",Submission!$O:$O,Submission!$H:$N,""))</f>
        <v>1</v>
      </c>
    </row>
    <row r="282" spans="1:9" ht="15.9" hidden="1" customHeight="1" outlineLevel="1" x14ac:dyDescent="0.3">
      <c r="A282" s="13"/>
      <c r="B282" s="34"/>
      <c r="C282" s="277" t="str">
        <f>_xlfn.CONCAT(_xlfn.XLOOKUP("[S05_DefaultValues][80][InstallationCategory]",Submission!$O:$O,Submission!$H:$N,""))</f>
        <v>Category A installation</v>
      </c>
      <c r="D282" s="417"/>
      <c r="E282" s="417"/>
      <c r="F282" s="417"/>
      <c r="G282" s="367"/>
      <c r="H282" s="123" t="str">
        <f>_xlfn.CONCAT(_xlfn.XLOOKUP("[S05_DefaultValues][80][FuelMaterialType]",Submission!$O:$O,Submission!$H:$N,""))</f>
        <v>Koks</v>
      </c>
      <c r="I282" s="106" t="str">
        <f>_xlfn.CONCAT(_xlfn.XLOOKUP("[S05_DefaultValues][80][InstallationNumber]",Submission!$O:$O,Submission!$H:$N,""))</f>
        <v>8</v>
      </c>
    </row>
    <row r="283" spans="1:9" ht="15.9" hidden="1" customHeight="1" outlineLevel="1" x14ac:dyDescent="0.3">
      <c r="A283" s="13"/>
      <c r="B283" s="34"/>
      <c r="C283" s="277" t="str">
        <f>_xlfn.CONCAT(_xlfn.XLOOKUP("[S05_DefaultValues][81][InstallationCategory]",Submission!$O:$O,Submission!$H:$N,""))</f>
        <v>Category A installation</v>
      </c>
      <c r="D283" s="417"/>
      <c r="E283" s="417"/>
      <c r="F283" s="417"/>
      <c r="G283" s="367"/>
      <c r="H283" s="123" t="str">
        <f>_xlfn.CONCAT(_xlfn.XLOOKUP("[S05_DefaultValues][81][FuelMaterialType]",Submission!$O:$O,Submission!$H:$N,""))</f>
        <v>kopolimer akrylonitrylu</v>
      </c>
      <c r="I283" s="106" t="str">
        <f>_xlfn.CONCAT(_xlfn.XLOOKUP("[S05_DefaultValues][81][InstallationNumber]",Submission!$O:$O,Submission!$H:$N,""))</f>
        <v>1</v>
      </c>
    </row>
    <row r="284" spans="1:9" ht="15.9" hidden="1" customHeight="1" outlineLevel="1" x14ac:dyDescent="0.3">
      <c r="A284" s="13"/>
      <c r="B284" s="34"/>
      <c r="C284" s="277" t="str">
        <f>_xlfn.CONCAT(_xlfn.XLOOKUP("[S05_DefaultValues][82][InstallationCategory]",Submission!$O:$O,Submission!$H:$N,""))</f>
        <v>Category A installation</v>
      </c>
      <c r="D284" s="417"/>
      <c r="E284" s="417"/>
      <c r="F284" s="417"/>
      <c r="G284" s="367"/>
      <c r="H284" s="123" t="str">
        <f>_xlfn.CONCAT(_xlfn.XLOOKUP("[S05_DefaultValues][82][FuelMaterialType]",Submission!$O:$O,Submission!$H:$N,""))</f>
        <v>kwas tłuszczowy</v>
      </c>
      <c r="I284" s="106" t="str">
        <f>_xlfn.CONCAT(_xlfn.XLOOKUP("[S05_DefaultValues][82][InstallationNumber]",Submission!$O:$O,Submission!$H:$N,""))</f>
        <v>1</v>
      </c>
    </row>
    <row r="285" spans="1:9" ht="15.9" hidden="1" customHeight="1" outlineLevel="1" x14ac:dyDescent="0.3">
      <c r="A285" s="13"/>
      <c r="B285" s="34"/>
      <c r="C285" s="277" t="str">
        <f>_xlfn.CONCAT(_xlfn.XLOOKUP("[S05_DefaultValues][83][InstallationCategory]",Submission!$O:$O,Submission!$H:$N,""))</f>
        <v>Category A installation</v>
      </c>
      <c r="D285" s="417"/>
      <c r="E285" s="417"/>
      <c r="F285" s="417"/>
      <c r="G285" s="367"/>
      <c r="H285" s="123" t="str">
        <f>_xlfn.CONCAT(_xlfn.XLOOKUP("[S05_DefaultValues][83][FuelMaterialType]",Submission!$O:$O,Submission!$H:$N,""))</f>
        <v>magnezyt surowy</v>
      </c>
      <c r="I285" s="106" t="str">
        <f>_xlfn.CONCAT(_xlfn.XLOOKUP("[S05_DefaultValues][83][InstallationNumber]",Submission!$O:$O,Submission!$H:$N,""))</f>
        <v>1</v>
      </c>
    </row>
    <row r="286" spans="1:9" ht="15.9" hidden="1" customHeight="1" outlineLevel="1" x14ac:dyDescent="0.3">
      <c r="A286" s="13"/>
      <c r="B286" s="34"/>
      <c r="C286" s="277" t="str">
        <f>_xlfn.CONCAT(_xlfn.XLOOKUP("[S05_DefaultValues][84][InstallationCategory]",Submission!$O:$O,Submission!$H:$N,""))</f>
        <v>Category A installation</v>
      </c>
      <c r="D286" s="417"/>
      <c r="E286" s="417"/>
      <c r="F286" s="417"/>
      <c r="G286" s="367"/>
      <c r="H286" s="123" t="str">
        <f>_xlfn.CONCAT(_xlfn.XLOOKUP("[S05_DefaultValues][84][FuelMaterialType]",Submission!$O:$O,Submission!$H:$N,""))</f>
        <v>Nawęglacz</v>
      </c>
      <c r="I286" s="106" t="str">
        <f>_xlfn.CONCAT(_xlfn.XLOOKUP("[S05_DefaultValues][84][InstallationNumber]",Submission!$O:$O,Submission!$H:$N,""))</f>
        <v>3</v>
      </c>
    </row>
    <row r="287" spans="1:9" ht="15.9" hidden="1" customHeight="1" outlineLevel="1" x14ac:dyDescent="0.3">
      <c r="A287" s="13"/>
      <c r="B287" s="34"/>
      <c r="C287" s="277" t="str">
        <f>_xlfn.CONCAT(_xlfn.XLOOKUP("[S05_DefaultValues][85][InstallationCategory]",Submission!$O:$O,Submission!$H:$N,""))</f>
        <v>Category A installation</v>
      </c>
      <c r="D287" s="417"/>
      <c r="E287" s="417"/>
      <c r="F287" s="417"/>
      <c r="G287" s="367"/>
      <c r="H287" s="123" t="str">
        <f>_xlfn.CONCAT(_xlfn.XLOOKUP("[S05_DefaultValues][85][FuelMaterialType]",Submission!$O:$O,Submission!$H:$N,""))</f>
        <v>Olej napędowy</v>
      </c>
      <c r="I287" s="106" t="str">
        <f>_xlfn.CONCAT(_xlfn.XLOOKUP("[S05_DefaultValues][85][InstallationNumber]",Submission!$O:$O,Submission!$H:$N,""))</f>
        <v>43</v>
      </c>
    </row>
    <row r="288" spans="1:9" ht="15.9" hidden="1" customHeight="1" outlineLevel="1" x14ac:dyDescent="0.3">
      <c r="A288" s="13"/>
      <c r="B288" s="34"/>
      <c r="C288" s="277" t="str">
        <f>_xlfn.CONCAT(_xlfn.XLOOKUP("[S05_DefaultValues][86][InstallationCategory]",Submission!$O:$O,Submission!$H:$N,""))</f>
        <v>Category A installation</v>
      </c>
      <c r="D288" s="417"/>
      <c r="E288" s="417"/>
      <c r="F288" s="417"/>
      <c r="G288" s="367"/>
      <c r="H288" s="123" t="str">
        <f>_xlfn.CONCAT(_xlfn.XLOOKUP("[S05_DefaultValues][86][FuelMaterialType]",Submission!$O:$O,Submission!$H:$N,""))</f>
        <v>Olej opałowy bardzo lekki</v>
      </c>
      <c r="I288" s="106" t="str">
        <f>_xlfn.CONCAT(_xlfn.XLOOKUP("[S05_DefaultValues][86][InstallationNumber]",Submission!$O:$O,Submission!$H:$N,""))</f>
        <v>2</v>
      </c>
    </row>
    <row r="289" spans="1:9" ht="15.9" hidden="1" customHeight="1" outlineLevel="1" x14ac:dyDescent="0.3">
      <c r="A289" s="13"/>
      <c r="B289" s="34"/>
      <c r="C289" s="277" t="str">
        <f>_xlfn.CONCAT(_xlfn.XLOOKUP("[S05_DefaultValues][87][InstallationCategory]",Submission!$O:$O,Submission!$H:$N,""))</f>
        <v>Category A installation</v>
      </c>
      <c r="D289" s="417"/>
      <c r="E289" s="417"/>
      <c r="F289" s="417"/>
      <c r="G289" s="367"/>
      <c r="H289" s="123" t="str">
        <f>_xlfn.CONCAT(_xlfn.XLOOKUP("[S05_DefaultValues][87][FuelMaterialType]",Submission!$O:$O,Submission!$H:$N,""))</f>
        <v>Olej opałowy ciężki</v>
      </c>
      <c r="I289" s="106" t="str">
        <f>_xlfn.CONCAT(_xlfn.XLOOKUP("[S05_DefaultValues][87][InstallationNumber]",Submission!$O:$O,Submission!$H:$N,""))</f>
        <v>3</v>
      </c>
    </row>
    <row r="290" spans="1:9" ht="15.9" hidden="1" customHeight="1" outlineLevel="1" x14ac:dyDescent="0.3">
      <c r="A290" s="13"/>
      <c r="B290" s="34"/>
      <c r="C290" s="277" t="str">
        <f>_xlfn.CONCAT(_xlfn.XLOOKUP("[S05_DefaultValues][88][InstallationCategory]",Submission!$O:$O,Submission!$H:$N,""))</f>
        <v>Category A installation</v>
      </c>
      <c r="D290" s="417"/>
      <c r="E290" s="417"/>
      <c r="F290" s="417"/>
      <c r="G290" s="367"/>
      <c r="H290" s="123" t="str">
        <f>_xlfn.CONCAT(_xlfn.XLOOKUP("[S05_DefaultValues][88][FuelMaterialType]",Submission!$O:$O,Submission!$H:$N,""))</f>
        <v>Olej opałowy lekki</v>
      </c>
      <c r="I290" s="106" t="str">
        <f>_xlfn.CONCAT(_xlfn.XLOOKUP("[S05_DefaultValues][88][InstallationNumber]",Submission!$O:$O,Submission!$H:$N,""))</f>
        <v>17</v>
      </c>
    </row>
    <row r="291" spans="1:9" ht="15.9" hidden="1" customHeight="1" outlineLevel="1" x14ac:dyDescent="0.3">
      <c r="A291" s="13"/>
      <c r="B291" s="34"/>
      <c r="C291" s="277" t="str">
        <f>_xlfn.CONCAT(_xlfn.XLOOKUP("[S05_DefaultValues][89][InstallationCategory]",Submission!$O:$O,Submission!$H:$N,""))</f>
        <v>Category A installation</v>
      </c>
      <c r="D291" s="417"/>
      <c r="E291" s="417"/>
      <c r="F291" s="417"/>
      <c r="G291" s="367"/>
      <c r="H291" s="123" t="str">
        <f>_xlfn.CONCAT(_xlfn.XLOOKUP("[S05_DefaultValues][89][FuelMaterialType]",Submission!$O:$O,Submission!$H:$N,""))</f>
        <v>poli(tlenek etylenu)</v>
      </c>
      <c r="I291" s="106" t="str">
        <f>_xlfn.CONCAT(_xlfn.XLOOKUP("[S05_DefaultValues][89][InstallationNumber]",Submission!$O:$O,Submission!$H:$N,""))</f>
        <v>1</v>
      </c>
    </row>
    <row r="292" spans="1:9" ht="15.9" hidden="1" customHeight="1" outlineLevel="1" x14ac:dyDescent="0.3">
      <c r="A292" s="13"/>
      <c r="B292" s="34"/>
      <c r="C292" s="277" t="str">
        <f>_xlfn.CONCAT(_xlfn.XLOOKUP("[S05_DefaultValues][90][InstallationCategory]",Submission!$O:$O,Submission!$H:$N,""))</f>
        <v>Category A installation</v>
      </c>
      <c r="D292" s="417"/>
      <c r="E292" s="417"/>
      <c r="F292" s="417"/>
      <c r="G292" s="367"/>
      <c r="H292" s="123" t="str">
        <f>_xlfn.CONCAT(_xlfn.XLOOKUP("[S05_DefaultValues][90][FuelMaterialType]",Submission!$O:$O,Submission!$H:$N,""))</f>
        <v>polieter poliolu</v>
      </c>
      <c r="I292" s="106" t="str">
        <f>_xlfn.CONCAT(_xlfn.XLOOKUP("[S05_DefaultValues][90][InstallationNumber]",Submission!$O:$O,Submission!$H:$N,""))</f>
        <v>1</v>
      </c>
    </row>
    <row r="293" spans="1:9" ht="15.9" hidden="1" customHeight="1" outlineLevel="1" x14ac:dyDescent="0.3">
      <c r="A293" s="13"/>
      <c r="B293" s="34"/>
      <c r="C293" s="277" t="str">
        <f>_xlfn.CONCAT(_xlfn.XLOOKUP("[S05_DefaultValues][91][InstallationCategory]",Submission!$O:$O,Submission!$H:$N,""))</f>
        <v>Category A installation</v>
      </c>
      <c r="D293" s="417"/>
      <c r="E293" s="417"/>
      <c r="F293" s="417"/>
      <c r="G293" s="367"/>
      <c r="H293" s="123" t="str">
        <f>_xlfn.CONCAT(_xlfn.XLOOKUP("[S05_DefaultValues][91][FuelMaterialType]",Submission!$O:$O,Submission!$H:$N,""))</f>
        <v>poliglikole</v>
      </c>
      <c r="I293" s="106" t="str">
        <f>_xlfn.CONCAT(_xlfn.XLOOKUP("[S05_DefaultValues][91][InstallationNumber]",Submission!$O:$O,Submission!$H:$N,""))</f>
        <v>1</v>
      </c>
    </row>
    <row r="294" spans="1:9" ht="15.9" hidden="1" customHeight="1" outlineLevel="1" x14ac:dyDescent="0.3">
      <c r="A294" s="13"/>
      <c r="B294" s="34"/>
      <c r="C294" s="277" t="str">
        <f>_xlfn.CONCAT(_xlfn.XLOOKUP("[S05_DefaultValues][92][InstallationCategory]",Submission!$O:$O,Submission!$H:$N,""))</f>
        <v>Category A installation</v>
      </c>
      <c r="D294" s="417"/>
      <c r="E294" s="417"/>
      <c r="F294" s="417"/>
      <c r="G294" s="367"/>
      <c r="H294" s="123" t="str">
        <f>_xlfn.CONCAT(_xlfn.XLOOKUP("[S05_DefaultValues][92][FuelMaterialType]",Submission!$O:$O,Submission!$H:$N,""))</f>
        <v>polikarboksylany typu surfaktant</v>
      </c>
      <c r="I294" s="106" t="str">
        <f>_xlfn.CONCAT(_xlfn.XLOOKUP("[S05_DefaultValues][92][InstallationNumber]",Submission!$O:$O,Submission!$H:$N,""))</f>
        <v>1</v>
      </c>
    </row>
    <row r="295" spans="1:9" ht="15.9" hidden="1" customHeight="1" outlineLevel="1" x14ac:dyDescent="0.3">
      <c r="A295" s="13"/>
      <c r="B295" s="34"/>
      <c r="C295" s="277" t="str">
        <f>_xlfn.CONCAT(_xlfn.XLOOKUP("[S05_DefaultValues][93][InstallationCategory]",Submission!$O:$O,Submission!$H:$N,""))</f>
        <v>Category A installation</v>
      </c>
      <c r="D295" s="417"/>
      <c r="E295" s="417"/>
      <c r="F295" s="417"/>
      <c r="G295" s="367"/>
      <c r="H295" s="123" t="str">
        <f>_xlfn.CONCAT(_xlfn.XLOOKUP("[S05_DefaultValues][93][FuelMaterialType]",Submission!$O:$O,Submission!$H:$N,""))</f>
        <v>polimer akrylowy</v>
      </c>
      <c r="I295" s="106" t="str">
        <f>_xlfn.CONCAT(_xlfn.XLOOKUP("[S05_DefaultValues][93][InstallationNumber]",Submission!$O:$O,Submission!$H:$N,""))</f>
        <v>1</v>
      </c>
    </row>
    <row r="296" spans="1:9" ht="15.9" hidden="1" customHeight="1" outlineLevel="1" x14ac:dyDescent="0.3">
      <c r="A296" s="13"/>
      <c r="B296" s="34"/>
      <c r="C296" s="277" t="str">
        <f>_xlfn.CONCAT(_xlfn.XLOOKUP("[S05_DefaultValues][94][InstallationCategory]",Submission!$O:$O,Submission!$H:$N,""))</f>
        <v>Category A installation</v>
      </c>
      <c r="D296" s="417"/>
      <c r="E296" s="417"/>
      <c r="F296" s="417"/>
      <c r="G296" s="367"/>
      <c r="H296" s="123" t="str">
        <f>_xlfn.CONCAT(_xlfn.XLOOKUP("[S05_DefaultValues][94][FuelMaterialType]",Submission!$O:$O,Submission!$H:$N,""))</f>
        <v>powłoka hydrofobowa</v>
      </c>
      <c r="I296" s="106" t="str">
        <f>_xlfn.CONCAT(_xlfn.XLOOKUP("[S05_DefaultValues][94][InstallationNumber]",Submission!$O:$O,Submission!$H:$N,""))</f>
        <v>1</v>
      </c>
    </row>
    <row r="297" spans="1:9" ht="15.9" hidden="1" customHeight="1" outlineLevel="1" x14ac:dyDescent="0.3">
      <c r="A297" s="13"/>
      <c r="B297" s="34"/>
      <c r="C297" s="277" t="str">
        <f>_xlfn.CONCAT(_xlfn.XLOOKUP("[S05_DefaultValues][95][InstallationCategory]",Submission!$O:$O,Submission!$H:$N,""))</f>
        <v>Category A installation</v>
      </c>
      <c r="D297" s="417"/>
      <c r="E297" s="417"/>
      <c r="F297" s="417"/>
      <c r="G297" s="367"/>
      <c r="H297" s="123" t="str">
        <f>_xlfn.CONCAT(_xlfn.XLOOKUP("[S05_DefaultValues][95][FuelMaterialType]",Submission!$O:$O,Submission!$H:$N,""))</f>
        <v>pył z odpylania gazów odlotowych</v>
      </c>
      <c r="I297" s="106" t="str">
        <f>_xlfn.CONCAT(_xlfn.XLOOKUP("[S05_DefaultValues][95][InstallationNumber]",Submission!$O:$O,Submission!$H:$N,""))</f>
        <v>1</v>
      </c>
    </row>
    <row r="298" spans="1:9" ht="15.9" hidden="1" customHeight="1" outlineLevel="1" x14ac:dyDescent="0.3">
      <c r="A298" s="13"/>
      <c r="B298" s="34"/>
      <c r="C298" s="277" t="str">
        <f>_xlfn.CONCAT(_xlfn.XLOOKUP("[S05_DefaultValues][96][InstallationCategory]",Submission!$O:$O,Submission!$H:$N,""))</f>
        <v>Category A installation</v>
      </c>
      <c r="D298" s="417"/>
      <c r="E298" s="417"/>
      <c r="F298" s="417"/>
      <c r="G298" s="367"/>
      <c r="H298" s="123" t="str">
        <f>_xlfn.CONCAT(_xlfn.XLOOKUP("[S05_DefaultValues][96][FuelMaterialType]",Submission!$O:$O,Submission!$H:$N,""))</f>
        <v>Soda</v>
      </c>
      <c r="I298" s="106" t="str">
        <f>_xlfn.CONCAT(_xlfn.XLOOKUP("[S05_DefaultValues][96][InstallationNumber]",Submission!$O:$O,Submission!$H:$N,""))</f>
        <v>4</v>
      </c>
    </row>
    <row r="299" spans="1:9" ht="15.9" hidden="1" customHeight="1" outlineLevel="1" x14ac:dyDescent="0.3">
      <c r="A299" s="13"/>
      <c r="B299" s="34"/>
      <c r="C299" s="277" t="str">
        <f>_xlfn.CONCAT(_xlfn.XLOOKUP("[S05_DefaultValues][97][InstallationCategory]",Submission!$O:$O,Submission!$H:$N,""))</f>
        <v>Category A installation</v>
      </c>
      <c r="D299" s="417"/>
      <c r="E299" s="417"/>
      <c r="F299" s="417"/>
      <c r="G299" s="367"/>
      <c r="H299" s="123" t="str">
        <f>_xlfn.CONCAT(_xlfn.XLOOKUP("[S05_DefaultValues][97][FuelMaterialType]",Submission!$O:$O,Submission!$H:$N,""))</f>
        <v>Spieniacz</v>
      </c>
      <c r="I299" s="106" t="str">
        <f>_xlfn.CONCAT(_xlfn.XLOOKUP("[S05_DefaultValues][97][InstallationNumber]",Submission!$O:$O,Submission!$H:$N,""))</f>
        <v>1</v>
      </c>
    </row>
    <row r="300" spans="1:9" ht="15.9" hidden="1" customHeight="1" outlineLevel="1" x14ac:dyDescent="0.3">
      <c r="A300" s="13"/>
      <c r="B300" s="34"/>
      <c r="C300" s="277" t="str">
        <f>_xlfn.CONCAT(_xlfn.XLOOKUP("[S05_DefaultValues][98][InstallationCategory]",Submission!$O:$O,Submission!$H:$N,""))</f>
        <v>Category A installation</v>
      </c>
      <c r="D300" s="417"/>
      <c r="E300" s="417"/>
      <c r="F300" s="417"/>
      <c r="G300" s="367"/>
      <c r="H300" s="123" t="str">
        <f>_xlfn.CONCAT(_xlfn.XLOOKUP("[S05_DefaultValues][98][FuelMaterialType]",Submission!$O:$O,Submission!$H:$N,""))</f>
        <v>Stal</v>
      </c>
      <c r="I300" s="106" t="str">
        <f>_xlfn.CONCAT(_xlfn.XLOOKUP("[S05_DefaultValues][98][InstallationNumber]",Submission!$O:$O,Submission!$H:$N,""))</f>
        <v>2</v>
      </c>
    </row>
    <row r="301" spans="1:9" ht="15.9" hidden="1" customHeight="1" outlineLevel="1" x14ac:dyDescent="0.3">
      <c r="A301" s="13"/>
      <c r="B301" s="34"/>
      <c r="C301" s="277" t="str">
        <f>_xlfn.CONCAT(_xlfn.XLOOKUP("[S05_DefaultValues][99][InstallationCategory]",Submission!$O:$O,Submission!$H:$N,""))</f>
        <v>Category A installation</v>
      </c>
      <c r="D301" s="417"/>
      <c r="E301" s="417"/>
      <c r="F301" s="417"/>
      <c r="G301" s="367"/>
      <c r="H301" s="123" t="str">
        <f>_xlfn.CONCAT(_xlfn.XLOOKUP("[S05_DefaultValues][99][FuelMaterialType]",Submission!$O:$O,Submission!$H:$N,""))</f>
        <v>substancje testowane</v>
      </c>
      <c r="I301" s="106" t="str">
        <f>_xlfn.CONCAT(_xlfn.XLOOKUP("[S05_DefaultValues][99][InstallationNumber]",Submission!$O:$O,Submission!$H:$N,""))</f>
        <v>1</v>
      </c>
    </row>
    <row r="302" spans="1:9" ht="15.9" hidden="1" customHeight="1" outlineLevel="1" x14ac:dyDescent="0.3">
      <c r="A302" s="13"/>
      <c r="B302" s="34"/>
      <c r="C302" s="277" t="str">
        <f>_xlfn.CONCAT(_xlfn.XLOOKUP("[S05_DefaultValues][100][InstallationCategory]",Submission!$O:$O,Submission!$H:$N,""))</f>
        <v>Category A installation</v>
      </c>
      <c r="D302" s="417"/>
      <c r="E302" s="417"/>
      <c r="F302" s="417"/>
      <c r="G302" s="367"/>
      <c r="H302" s="123" t="str">
        <f>_xlfn.CONCAT(_xlfn.XLOOKUP("[S05_DefaultValues][100][FuelMaterialType]",Submission!$O:$O,Submission!$H:$N,""))</f>
        <v>surowiec TS</v>
      </c>
      <c r="I302" s="106" t="str">
        <f>_xlfn.CONCAT(_xlfn.XLOOKUP("[S05_DefaultValues][100][InstallationNumber]",Submission!$O:$O,Submission!$H:$N,""))</f>
        <v>1</v>
      </c>
    </row>
    <row r="303" spans="1:9" ht="15.9" hidden="1" customHeight="1" outlineLevel="1" x14ac:dyDescent="0.3">
      <c r="A303" s="13"/>
      <c r="B303" s="34"/>
      <c r="C303" s="277" t="str">
        <f>_xlfn.CONCAT(_xlfn.XLOOKUP("[S05_DefaultValues][101][InstallationCategory]",Submission!$O:$O,Submission!$H:$N,""))</f>
        <v>Category A installation</v>
      </c>
      <c r="D303" s="417"/>
      <c r="E303" s="417"/>
      <c r="F303" s="417"/>
      <c r="G303" s="367"/>
      <c r="H303" s="123" t="str">
        <f>_xlfn.CONCAT(_xlfn.XLOOKUP("[S05_DefaultValues][101][FuelMaterialType]",Submission!$O:$O,Submission!$H:$N,""))</f>
        <v>surowiec TS2</v>
      </c>
      <c r="I303" s="106" t="str">
        <f>_xlfn.CONCAT(_xlfn.XLOOKUP("[S05_DefaultValues][101][InstallationNumber]",Submission!$O:$O,Submission!$H:$N,""))</f>
        <v>1</v>
      </c>
    </row>
    <row r="304" spans="1:9" ht="15.9" hidden="1" customHeight="1" outlineLevel="1" x14ac:dyDescent="0.3">
      <c r="A304" s="13"/>
      <c r="B304" s="34"/>
      <c r="C304" s="277" t="str">
        <f>_xlfn.CONCAT(_xlfn.XLOOKUP("[S05_DefaultValues][102][InstallationCategory]",Submission!$O:$O,Submission!$H:$N,""))</f>
        <v>Category A installation</v>
      </c>
      <c r="D304" s="417"/>
      <c r="E304" s="417"/>
      <c r="F304" s="417"/>
      <c r="G304" s="367"/>
      <c r="H304" s="123" t="str">
        <f>_xlfn.CONCAT(_xlfn.XLOOKUP("[S05_DefaultValues][102][FuelMaterialType]",Submission!$O:$O,Submission!$H:$N,""))</f>
        <v>surówka</v>
      </c>
      <c r="I304" s="106" t="str">
        <f>_xlfn.CONCAT(_xlfn.XLOOKUP("[S05_DefaultValues][102][InstallationNumber]",Submission!$O:$O,Submission!$H:$N,""))</f>
        <v>2</v>
      </c>
    </row>
    <row r="305" spans="1:9" ht="15.9" hidden="1" customHeight="1" outlineLevel="1" x14ac:dyDescent="0.3">
      <c r="A305" s="13"/>
      <c r="B305" s="34"/>
      <c r="C305" s="277" t="str">
        <f>_xlfn.CONCAT(_xlfn.XLOOKUP("[S05_DefaultValues][103][InstallationCategory]",Submission!$O:$O,Submission!$H:$N,""))</f>
        <v>Category A installation</v>
      </c>
      <c r="D305" s="417"/>
      <c r="E305" s="417"/>
      <c r="F305" s="417"/>
      <c r="G305" s="367"/>
      <c r="H305" s="123" t="str">
        <f>_xlfn.CONCAT(_xlfn.XLOOKUP("[S05_DefaultValues][103][FuelMaterialType]",Submission!$O:$O,Submission!$H:$N,""))</f>
        <v>tlenek etylenu</v>
      </c>
      <c r="I305" s="106" t="str">
        <f>_xlfn.CONCAT(_xlfn.XLOOKUP("[S05_DefaultValues][103][InstallationNumber]",Submission!$O:$O,Submission!$H:$N,""))</f>
        <v>1</v>
      </c>
    </row>
    <row r="306" spans="1:9" ht="15.9" hidden="1" customHeight="1" outlineLevel="1" x14ac:dyDescent="0.3">
      <c r="A306" s="13"/>
      <c r="B306" s="34"/>
      <c r="C306" s="277" t="str">
        <f>_xlfn.CONCAT(_xlfn.XLOOKUP("[S05_DefaultValues][104][InstallationCategory]",Submission!$O:$O,Submission!$H:$N,""))</f>
        <v>Category A installation</v>
      </c>
      <c r="D306" s="417"/>
      <c r="E306" s="417"/>
      <c r="F306" s="417"/>
      <c r="G306" s="367"/>
      <c r="H306" s="123" t="str">
        <f>_xlfn.CONCAT(_xlfn.XLOOKUP("[S05_DefaultValues][104][FuelMaterialType]",Submission!$O:$O,Submission!$H:$N,""))</f>
        <v>trehaloza dwuwodna</v>
      </c>
      <c r="I306" s="106" t="str">
        <f>_xlfn.CONCAT(_xlfn.XLOOKUP("[S05_DefaultValues][104][InstallationNumber]",Submission!$O:$O,Submission!$H:$N,""))</f>
        <v>1</v>
      </c>
    </row>
    <row r="307" spans="1:9" ht="15.9" hidden="1" customHeight="1" outlineLevel="1" x14ac:dyDescent="0.3">
      <c r="A307" s="13"/>
      <c r="B307" s="34"/>
      <c r="C307" s="277" t="str">
        <f>_xlfn.CONCAT(_xlfn.XLOOKUP("[S05_DefaultValues][105][InstallationCategory]",Submission!$O:$O,Submission!$H:$N,""))</f>
        <v>Category A installation</v>
      </c>
      <c r="D307" s="417"/>
      <c r="E307" s="417"/>
      <c r="F307" s="417"/>
      <c r="G307" s="367"/>
      <c r="H307" s="123" t="str">
        <f>_xlfn.CONCAT(_xlfn.XLOOKUP("[S05_DefaultValues][105][FuelMaterialType]",Submission!$O:$O,Submission!$H:$N,""))</f>
        <v>Wapień</v>
      </c>
      <c r="I307" s="106" t="str">
        <f>_xlfn.CONCAT(_xlfn.XLOOKUP("[S05_DefaultValues][105][InstallationNumber]",Submission!$O:$O,Submission!$H:$N,""))</f>
        <v>3</v>
      </c>
    </row>
    <row r="308" spans="1:9" ht="15.9" hidden="1" customHeight="1" outlineLevel="1" x14ac:dyDescent="0.3">
      <c r="A308" s="13"/>
      <c r="B308" s="34"/>
      <c r="C308" s="277" t="str">
        <f>_xlfn.CONCAT(_xlfn.XLOOKUP("[S05_DefaultValues][106][InstallationCategory]",Submission!$O:$O,Submission!$H:$N,""))</f>
        <v>Category A installation</v>
      </c>
      <c r="D308" s="417"/>
      <c r="E308" s="417"/>
      <c r="F308" s="417"/>
      <c r="G308" s="367"/>
      <c r="H308" s="123" t="str">
        <f>_xlfn.CONCAT(_xlfn.XLOOKUP("[S05_DefaultValues][106][FuelMaterialType]",Submission!$O:$O,Submission!$H:$N,""))</f>
        <v>Wapno</v>
      </c>
      <c r="I308" s="106" t="str">
        <f>_xlfn.CONCAT(_xlfn.XLOOKUP("[S05_DefaultValues][106][InstallationNumber]",Submission!$O:$O,Submission!$H:$N,""))</f>
        <v>1</v>
      </c>
    </row>
    <row r="309" spans="1:9" ht="15.9" hidden="1" customHeight="1" outlineLevel="1" x14ac:dyDescent="0.3">
      <c r="A309" s="13"/>
      <c r="B309" s="34"/>
      <c r="C309" s="277" t="str">
        <f>_xlfn.CONCAT(_xlfn.XLOOKUP("[S05_DefaultValues][107][InstallationCategory]",Submission!$O:$O,Submission!$H:$N,""))</f>
        <v>Category A installation</v>
      </c>
      <c r="D309" s="417"/>
      <c r="E309" s="417"/>
      <c r="F309" s="417"/>
      <c r="G309" s="367"/>
      <c r="H309" s="123" t="str">
        <f>_xlfn.CONCAT(_xlfn.XLOOKUP("[S05_DefaultValues][107][FuelMaterialType]",Submission!$O:$O,Submission!$H:$N,""))</f>
        <v>Węgiel kamienny</v>
      </c>
      <c r="I309" s="106" t="str">
        <f>_xlfn.CONCAT(_xlfn.XLOOKUP("[S05_DefaultValues][107][InstallationNumber]",Submission!$O:$O,Submission!$H:$N,""))</f>
        <v>71</v>
      </c>
    </row>
    <row r="310" spans="1:9" ht="15.9" hidden="1" customHeight="1" outlineLevel="1" x14ac:dyDescent="0.3">
      <c r="A310" s="13"/>
      <c r="B310" s="34"/>
      <c r="C310" s="277" t="str">
        <f>_xlfn.CONCAT(_xlfn.XLOOKUP("[S05_DefaultValues][108][InstallationCategory]",Submission!$O:$O,Submission!$H:$N,""))</f>
        <v>Category A installation</v>
      </c>
      <c r="D310" s="417"/>
      <c r="E310" s="417"/>
      <c r="F310" s="417"/>
      <c r="G310" s="367"/>
      <c r="H310" s="123" t="str">
        <f>_xlfn.CONCAT(_xlfn.XLOOKUP("[S05_DefaultValues][108][FuelMaterialType]",Submission!$O:$O,Submission!$H:$N,""))</f>
        <v>Węglan Baru</v>
      </c>
      <c r="I310" s="106" t="str">
        <f>_xlfn.CONCAT(_xlfn.XLOOKUP("[S05_DefaultValues][108][InstallationNumber]",Submission!$O:$O,Submission!$H:$N,""))</f>
        <v>4</v>
      </c>
    </row>
    <row r="311" spans="1:9" ht="15.9" hidden="1" customHeight="1" outlineLevel="1" x14ac:dyDescent="0.3">
      <c r="A311" s="13"/>
      <c r="B311" s="34"/>
      <c r="C311" s="277" t="str">
        <f>_xlfn.CONCAT(_xlfn.XLOOKUP("[S05_DefaultValues][109][InstallationCategory]",Submission!$O:$O,Submission!$H:$N,""))</f>
        <v>Category A installation</v>
      </c>
      <c r="D311" s="417"/>
      <c r="E311" s="417"/>
      <c r="F311" s="417"/>
      <c r="G311" s="367"/>
      <c r="H311" s="123" t="str">
        <f>_xlfn.CONCAT(_xlfn.XLOOKUP("[S05_DefaultValues][109][FuelMaterialType]",Submission!$O:$O,Submission!$H:$N,""))</f>
        <v>Węglan Magnezu</v>
      </c>
      <c r="I311" s="106" t="str">
        <f>_xlfn.CONCAT(_xlfn.XLOOKUP("[S05_DefaultValues][109][InstallationNumber]",Submission!$O:$O,Submission!$H:$N,""))</f>
        <v>10</v>
      </c>
    </row>
    <row r="312" spans="1:9" ht="15.9" hidden="1" customHeight="1" outlineLevel="1" x14ac:dyDescent="0.3">
      <c r="A312" s="13"/>
      <c r="B312" s="34"/>
      <c r="C312" s="277" t="str">
        <f>_xlfn.CONCAT(_xlfn.XLOOKUP("[S05_DefaultValues][110][InstallationCategory]",Submission!$O:$O,Submission!$H:$N,""))</f>
        <v>Category A installation</v>
      </c>
      <c r="D312" s="417"/>
      <c r="E312" s="417"/>
      <c r="F312" s="417"/>
      <c r="G312" s="367"/>
      <c r="H312" s="123" t="str">
        <f>_xlfn.CONCAT(_xlfn.XLOOKUP("[S05_DefaultValues][110][FuelMaterialType]",Submission!$O:$O,Submission!$H:$N,""))</f>
        <v>Węglan Sodu</v>
      </c>
      <c r="I312" s="106" t="str">
        <f>_xlfn.CONCAT(_xlfn.XLOOKUP("[S05_DefaultValues][110][InstallationNumber]",Submission!$O:$O,Submission!$H:$N,""))</f>
        <v>10</v>
      </c>
    </row>
    <row r="313" spans="1:9" ht="15.9" hidden="1" customHeight="1" outlineLevel="1" x14ac:dyDescent="0.3">
      <c r="A313" s="13"/>
      <c r="B313" s="34"/>
      <c r="C313" s="277" t="str">
        <f>_xlfn.CONCAT(_xlfn.XLOOKUP("[S05_DefaultValues][111][InstallationCategory]",Submission!$O:$O,Submission!$H:$N,""))</f>
        <v>Category A installation</v>
      </c>
      <c r="D313" s="417"/>
      <c r="E313" s="417"/>
      <c r="F313" s="417"/>
      <c r="G313" s="367"/>
      <c r="H313" s="123" t="str">
        <f>_xlfn.CONCAT(_xlfn.XLOOKUP("[S05_DefaultValues][111][FuelMaterialType]",Submission!$O:$O,Submission!$H:$N,""))</f>
        <v>Węglan Strontu</v>
      </c>
      <c r="I313" s="106" t="str">
        <f>_xlfn.CONCAT(_xlfn.XLOOKUP("[S05_DefaultValues][111][InstallationNumber]",Submission!$O:$O,Submission!$H:$N,""))</f>
        <v>1</v>
      </c>
    </row>
    <row r="314" spans="1:9" ht="15.9" hidden="1" customHeight="1" outlineLevel="1" x14ac:dyDescent="0.3">
      <c r="A314" s="13"/>
      <c r="B314" s="34"/>
      <c r="C314" s="277" t="str">
        <f>_xlfn.CONCAT(_xlfn.XLOOKUP("[S05_DefaultValues][112][InstallationCategory]",Submission!$O:$O,Submission!$H:$N,""))</f>
        <v>Category A installation</v>
      </c>
      <c r="D314" s="417"/>
      <c r="E314" s="417"/>
      <c r="F314" s="417"/>
      <c r="G314" s="367"/>
      <c r="H314" s="123" t="str">
        <f>_xlfn.CONCAT(_xlfn.XLOOKUP("[S05_DefaultValues][112][FuelMaterialType]",Submission!$O:$O,Submission!$H:$N,""))</f>
        <v>Węglan Wapnia</v>
      </c>
      <c r="I314" s="106" t="str">
        <f>_xlfn.CONCAT(_xlfn.XLOOKUP("[S05_DefaultValues][112][InstallationNumber]",Submission!$O:$O,Submission!$H:$N,""))</f>
        <v>18</v>
      </c>
    </row>
    <row r="315" spans="1:9" ht="15.9" hidden="1" customHeight="1" outlineLevel="1" x14ac:dyDescent="0.3">
      <c r="A315" s="13"/>
      <c r="B315" s="34"/>
      <c r="C315" s="277" t="str">
        <f>_xlfn.CONCAT(_xlfn.XLOOKUP("[S05_DefaultValues][113][InstallationCategory]",Submission!$O:$O,Submission!$H:$N,""))</f>
        <v>Category A installation</v>
      </c>
      <c r="D315" s="417"/>
      <c r="E315" s="417"/>
      <c r="F315" s="417"/>
      <c r="G315" s="367"/>
      <c r="H315" s="123" t="str">
        <f>_xlfn.CONCAT(_xlfn.XLOOKUP("[S05_DefaultValues][113][FuelMaterialType]",Submission!$O:$O,Submission!$H:$N,""))</f>
        <v>węglik krzemu SiC</v>
      </c>
      <c r="I315" s="106" t="str">
        <f>_xlfn.CONCAT(_xlfn.XLOOKUP("[S05_DefaultValues][113][InstallationNumber]",Submission!$O:$O,Submission!$H:$N,""))</f>
        <v>1</v>
      </c>
    </row>
    <row r="316" spans="1:9" ht="15.9" hidden="1" customHeight="1" outlineLevel="1" x14ac:dyDescent="0.3">
      <c r="A316" s="13"/>
      <c r="B316" s="34"/>
      <c r="C316" s="277" t="str">
        <f>_xlfn.CONCAT(_xlfn.XLOOKUP("[S05_DefaultValues][114][InstallationCategory]",Submission!$O:$O,Submission!$H:$N,""))</f>
        <v>Category A installation</v>
      </c>
      <c r="D316" s="417"/>
      <c r="E316" s="417"/>
      <c r="F316" s="417"/>
      <c r="G316" s="367"/>
      <c r="H316" s="123" t="str">
        <f>_xlfn.CONCAT(_xlfn.XLOOKUP("[S05_DefaultValues][114][FuelMaterialType]",Submission!$O:$O,Submission!$H:$N,""))</f>
        <v>Złom stalowy</v>
      </c>
      <c r="I316" s="106" t="str">
        <f>_xlfn.CONCAT(_xlfn.XLOOKUP("[S05_DefaultValues][114][InstallationNumber]",Submission!$O:$O,Submission!$H:$N,""))</f>
        <v>3</v>
      </c>
    </row>
    <row r="317" spans="1:9" ht="15.9" hidden="1" customHeight="1" outlineLevel="1" x14ac:dyDescent="0.3">
      <c r="A317" s="13"/>
      <c r="B317" s="34"/>
      <c r="C317" s="277" t="str">
        <f>_xlfn.CONCAT(_xlfn.XLOOKUP("[S05_DefaultValues][115][InstallationCategory]",Submission!$O:$O,Submission!$H:$N,""))</f>
        <v>Category A installation</v>
      </c>
      <c r="D317" s="417"/>
      <c r="E317" s="417"/>
      <c r="F317" s="417"/>
      <c r="G317" s="367"/>
      <c r="H317" s="123" t="str">
        <f>_xlfn.CONCAT(_xlfn.XLOOKUP("[S05_DefaultValues][115][FuelMaterialType]",Submission!$O:$O,Submission!$H:$N,""))</f>
        <v>żelastopy</v>
      </c>
      <c r="I317" s="106" t="str">
        <f>_xlfn.CONCAT(_xlfn.XLOOKUP("[S05_DefaultValues][115][InstallationNumber]",Submission!$O:$O,Submission!$H:$N,""))</f>
        <v>1</v>
      </c>
    </row>
    <row r="318" spans="1:9" ht="15.9" hidden="1" customHeight="1" outlineLevel="1" x14ac:dyDescent="0.3">
      <c r="A318" s="13"/>
      <c r="B318" s="34"/>
      <c r="C318" s="277" t="str">
        <f>_xlfn.CONCAT(_xlfn.XLOOKUP("[S05_DefaultValues][116][InstallationCategory]",Submission!$O:$O,Submission!$H:$N,""))</f>
        <v>Category A installation</v>
      </c>
      <c r="D318" s="417"/>
      <c r="E318" s="417"/>
      <c r="F318" s="417"/>
      <c r="G318" s="367"/>
      <c r="H318" s="123" t="str">
        <f>_xlfn.CONCAT(_xlfn.XLOOKUP("[S05_DefaultValues][116][FuelMaterialType]",Submission!$O:$O,Submission!$H:$N,""))</f>
        <v>żelazochrom FeCr025</v>
      </c>
      <c r="I318" s="106" t="str">
        <f>_xlfn.CONCAT(_xlfn.XLOOKUP("[S05_DefaultValues][116][InstallationNumber]",Submission!$O:$O,Submission!$H:$N,""))</f>
        <v>1</v>
      </c>
    </row>
    <row r="319" spans="1:9" ht="15.9" hidden="1" customHeight="1" outlineLevel="1" x14ac:dyDescent="0.3">
      <c r="A319" s="13"/>
      <c r="B319" s="34"/>
      <c r="C319" s="277" t="str">
        <f>_xlfn.CONCAT(_xlfn.XLOOKUP("[S05_DefaultValues][117][InstallationCategory]",Submission!$O:$O,Submission!$H:$N,""))</f>
        <v>Category A installation</v>
      </c>
      <c r="D319" s="417"/>
      <c r="E319" s="417"/>
      <c r="F319" s="417"/>
      <c r="G319" s="367"/>
      <c r="H319" s="123" t="str">
        <f>_xlfn.CONCAT(_xlfn.XLOOKUP("[S05_DefaultValues][117][FuelMaterialType]",Submission!$O:$O,Submission!$H:$N,""))</f>
        <v>żelazochrom FeCr800</v>
      </c>
      <c r="I319" s="106" t="str">
        <f>_xlfn.CONCAT(_xlfn.XLOOKUP("[S05_DefaultValues][117][InstallationNumber]",Submission!$O:$O,Submission!$H:$N,""))</f>
        <v>1</v>
      </c>
    </row>
    <row r="320" spans="1:9" ht="15.9" hidden="1" customHeight="1" outlineLevel="1" x14ac:dyDescent="0.3">
      <c r="A320" s="13"/>
      <c r="B320" s="34"/>
      <c r="C320" s="277" t="str">
        <f>_xlfn.CONCAT(_xlfn.XLOOKUP("[S05_DefaultValues][118][InstallationCategory]",Submission!$O:$O,Submission!$H:$N,""))</f>
        <v>Category A installation</v>
      </c>
      <c r="D320" s="417"/>
      <c r="E320" s="417"/>
      <c r="F320" s="417"/>
      <c r="G320" s="367"/>
      <c r="H320" s="123" t="str">
        <f>_xlfn.CONCAT(_xlfn.XLOOKUP("[S05_DefaultValues][118][FuelMaterialType]",Submission!$O:$O,Submission!$H:$N,""))</f>
        <v>żelazokrzem FeSi</v>
      </c>
      <c r="I320" s="106" t="str">
        <f>_xlfn.CONCAT(_xlfn.XLOOKUP("[S05_DefaultValues][118][InstallationNumber]",Submission!$O:$O,Submission!$H:$N,""))</f>
        <v>1</v>
      </c>
    </row>
    <row r="321" spans="1:9" ht="15.9" hidden="1" customHeight="1" outlineLevel="1" x14ac:dyDescent="0.3">
      <c r="A321" s="13"/>
      <c r="B321" s="34"/>
      <c r="C321" s="277" t="str">
        <f>_xlfn.CONCAT(_xlfn.XLOOKUP("[S05_DefaultValues][119][InstallationCategory]",Submission!$O:$O,Submission!$H:$N,""))</f>
        <v>Category A installation</v>
      </c>
      <c r="D321" s="417"/>
      <c r="E321" s="417"/>
      <c r="F321" s="417"/>
      <c r="G321" s="367"/>
      <c r="H321" s="123" t="str">
        <f>_xlfn.CONCAT(_xlfn.XLOOKUP("[S05_DefaultValues][119][FuelMaterialType]",Submission!$O:$O,Submission!$H:$N,""))</f>
        <v>żelazokrzemomangan FeSiMn</v>
      </c>
      <c r="I321" s="106" t="str">
        <f>_xlfn.CONCAT(_xlfn.XLOOKUP("[S05_DefaultValues][119][InstallationNumber]",Submission!$O:$O,Submission!$H:$N,""))</f>
        <v>1</v>
      </c>
    </row>
    <row r="322" spans="1:9" ht="15.9" hidden="1" customHeight="1" outlineLevel="1" x14ac:dyDescent="0.3">
      <c r="A322" s="13"/>
      <c r="B322" s="34"/>
      <c r="C322" s="277" t="str">
        <f>_xlfn.CONCAT(_xlfn.XLOOKUP("[S05_DefaultValues][120][InstallationCategory]",Submission!$O:$O,Submission!$H:$N,""))</f>
        <v>Category A installation</v>
      </c>
      <c r="D322" s="417"/>
      <c r="E322" s="417"/>
      <c r="F322" s="417"/>
      <c r="G322" s="367"/>
      <c r="H322" s="123" t="str">
        <f>_xlfn.CONCAT(_xlfn.XLOOKUP("[S05_DefaultValues][120][FuelMaterialType]",Submission!$O:$O,Submission!$H:$N,""))</f>
        <v>żelazomangan FeMn</v>
      </c>
      <c r="I322" s="106" t="str">
        <f>_xlfn.CONCAT(_xlfn.XLOOKUP("[S05_DefaultValues][120][InstallationNumber]",Submission!$O:$O,Submission!$H:$N,""))</f>
        <v>1</v>
      </c>
    </row>
    <row r="323" spans="1:9" ht="15.9" hidden="1" customHeight="1" outlineLevel="1" x14ac:dyDescent="0.3">
      <c r="A323" s="13"/>
      <c r="B323" s="34"/>
      <c r="C323" s="277" t="str">
        <f>_xlfn.CONCAT(_xlfn.XLOOKUP("[S05_DefaultValues][121][InstallationCategory]",Submission!$O:$O,Submission!$H:$N,""))</f>
        <v>Category A installation</v>
      </c>
      <c r="D323" s="417"/>
      <c r="E323" s="417"/>
      <c r="F323" s="417"/>
      <c r="G323" s="367"/>
      <c r="H323" s="123" t="str">
        <f>_xlfn.CONCAT(_xlfn.XLOOKUP("[S05_DefaultValues][121][FuelMaterialType]",Submission!$O:$O,Submission!$H:$N,""))</f>
        <v>żelazomolibden FeMo</v>
      </c>
      <c r="I323" s="106" t="str">
        <f>_xlfn.CONCAT(_xlfn.XLOOKUP("[S05_DefaultValues][121][InstallationNumber]",Submission!$O:$O,Submission!$H:$N,""))</f>
        <v>1</v>
      </c>
    </row>
    <row r="324" spans="1:9" ht="15.9" hidden="1" customHeight="1" outlineLevel="1" x14ac:dyDescent="0.3">
      <c r="A324" s="13"/>
      <c r="B324" s="34"/>
      <c r="C324" s="277" t="str">
        <f>_xlfn.CONCAT(_xlfn.XLOOKUP("[S05_DefaultValues][122][InstallationCategory]",Submission!$O:$O,Submission!$H:$N,""))</f>
        <v>Category A installation</v>
      </c>
      <c r="D324" s="417"/>
      <c r="E324" s="417"/>
      <c r="F324" s="417"/>
      <c r="G324" s="367"/>
      <c r="H324" s="123" t="str">
        <f>_xlfn.CONCAT(_xlfn.XLOOKUP("[S05_DefaultValues][122][FuelMaterialType]",Submission!$O:$O,Submission!$H:$N,""))</f>
        <v>żelazotytan FeTi</v>
      </c>
      <c r="I324" s="106" t="str">
        <f>_xlfn.CONCAT(_xlfn.XLOOKUP("[S05_DefaultValues][122][InstallationNumber]",Submission!$O:$O,Submission!$H:$N,""))</f>
        <v>1</v>
      </c>
    </row>
    <row r="325" spans="1:9" ht="15.9" hidden="1" customHeight="1" outlineLevel="1" x14ac:dyDescent="0.3">
      <c r="A325" s="13"/>
      <c r="B325" s="34"/>
      <c r="C325" s="277" t="str">
        <f>_xlfn.CONCAT(_xlfn.XLOOKUP("[S05_DefaultValues][123][InstallationCategory]",Submission!$O:$O,Submission!$H:$N,""))</f>
        <v>Category A installation</v>
      </c>
      <c r="D325" s="417"/>
      <c r="E325" s="417"/>
      <c r="F325" s="417"/>
      <c r="G325" s="367"/>
      <c r="H325" s="123" t="str">
        <f>_xlfn.CONCAT(_xlfn.XLOOKUP("[S05_DefaultValues][123][FuelMaterialType]",Submission!$O:$O,Submission!$H:$N,""))</f>
        <v xml:space="preserve">żelazowanad azotowany FeNV </v>
      </c>
      <c r="I325" s="106" t="str">
        <f>_xlfn.CONCAT(_xlfn.XLOOKUP("[S05_DefaultValues][123][InstallationNumber]",Submission!$O:$O,Submission!$H:$N,""))</f>
        <v>1</v>
      </c>
    </row>
    <row r="326" spans="1:9" ht="15.9" hidden="1" customHeight="1" outlineLevel="1" x14ac:dyDescent="0.3">
      <c r="A326" s="13"/>
      <c r="B326" s="34"/>
      <c r="C326" s="277" t="str">
        <f>_xlfn.CONCAT(_xlfn.XLOOKUP("[S05_DefaultValues][124][InstallationCategory]",Submission!$O:$O,Submission!$H:$N,""))</f>
        <v>Category A installation</v>
      </c>
      <c r="D326" s="417"/>
      <c r="E326" s="417"/>
      <c r="F326" s="417"/>
      <c r="G326" s="367"/>
      <c r="H326" s="123" t="str">
        <f>_xlfn.CONCAT(_xlfn.XLOOKUP("[S05_DefaultValues][124][FuelMaterialType]",Submission!$O:$O,Submission!$H:$N,""))</f>
        <v>żelazowanad FeV</v>
      </c>
      <c r="I326" s="106" t="str">
        <f>_xlfn.CONCAT(_xlfn.XLOOKUP("[S05_DefaultValues][124][InstallationNumber]",Submission!$O:$O,Submission!$H:$N,""))</f>
        <v>1</v>
      </c>
    </row>
    <row r="327" spans="1:9" ht="15.9" hidden="1" customHeight="1" outlineLevel="1" x14ac:dyDescent="0.3">
      <c r="A327" s="13"/>
      <c r="B327" s="34"/>
      <c r="C327" s="277" t="str">
        <f>_xlfn.CONCAT(_xlfn.XLOOKUP("[S05_DefaultValues][125][InstallationCategory]",Submission!$O:$O,Submission!$H:$N,""))</f>
        <v>Category A installation</v>
      </c>
      <c r="D327" s="417"/>
      <c r="E327" s="417"/>
      <c r="F327" s="417"/>
      <c r="G327" s="367"/>
      <c r="H327" s="123" t="str">
        <f>_xlfn.CONCAT(_xlfn.XLOOKUP("[S05_DefaultValues][125][FuelMaterialType]",Submission!$O:$O,Submission!$H:$N,""))</f>
        <v>żeliwo</v>
      </c>
      <c r="I327" s="106" t="str">
        <f>_xlfn.CONCAT(_xlfn.XLOOKUP("[S05_DefaultValues][125][InstallationNumber]",Submission!$O:$O,Submission!$H:$N,""))</f>
        <v>1</v>
      </c>
    </row>
    <row r="328" spans="1:9" ht="15.9" hidden="1" customHeight="1" outlineLevel="1" x14ac:dyDescent="0.3">
      <c r="A328" s="13"/>
      <c r="B328" s="34"/>
      <c r="C328" s="277" t="str">
        <f>_xlfn.CONCAT(_xlfn.XLOOKUP("[S05_DefaultValues][126][InstallationCategory]",Submission!$O:$O,Submission!$H:$N,""))</f>
        <v>Category A installation</v>
      </c>
      <c r="D328" s="417"/>
      <c r="E328" s="417"/>
      <c r="F328" s="417"/>
      <c r="G328" s="367"/>
      <c r="H328" s="123" t="str">
        <f>_xlfn.CONCAT(_xlfn.XLOOKUP("[S05_DefaultValues][126][FuelMaterialType]",Submission!$O:$O,Submission!$H:$N,""))</f>
        <v>Żużel</v>
      </c>
      <c r="I328" s="106" t="str">
        <f>_xlfn.CONCAT(_xlfn.XLOOKUP("[S05_DefaultValues][126][InstallationNumber]",Submission!$O:$O,Submission!$H:$N,""))</f>
        <v>2</v>
      </c>
    </row>
    <row r="329" spans="1:9" ht="15.9" hidden="1" customHeight="1" outlineLevel="1" x14ac:dyDescent="0.3">
      <c r="A329" s="13"/>
      <c r="B329" s="34"/>
      <c r="C329" s="277" t="str">
        <f>_xlfn.CONCAT(_xlfn.XLOOKUP("[S05_DefaultValues][127][InstallationCategory]",Submission!$O:$O,Submission!$H:$N,""))</f>
        <v>Category B installation</v>
      </c>
      <c r="D329" s="417"/>
      <c r="E329" s="417"/>
      <c r="F329" s="417"/>
      <c r="G329" s="367"/>
      <c r="H329" s="123" t="str">
        <f>_xlfn.CONCAT(_xlfn.XLOOKUP("[S05_DefaultValues][127][FuelMaterialType]",Submission!$O:$O,Submission!$H:$N,""))</f>
        <v>Antracyt</v>
      </c>
      <c r="I329" s="106" t="str">
        <f>_xlfn.CONCAT(_xlfn.XLOOKUP("[S05_DefaultValues][127][InstallationNumber]",Submission!$O:$O,Submission!$H:$N,""))</f>
        <v>14</v>
      </c>
    </row>
    <row r="330" spans="1:9" ht="15.9" hidden="1" customHeight="1" outlineLevel="1" x14ac:dyDescent="0.3">
      <c r="A330" s="13"/>
      <c r="B330" s="34"/>
      <c r="C330" s="277" t="str">
        <f>_xlfn.CONCAT(_xlfn.XLOOKUP("[S05_DefaultValues][128][InstallationCategory]",Submission!$O:$O,Submission!$H:$N,""))</f>
        <v>Category B installation</v>
      </c>
      <c r="D330" s="417"/>
      <c r="E330" s="417"/>
      <c r="F330" s="417"/>
      <c r="G330" s="367"/>
      <c r="H330" s="123" t="str">
        <f>_xlfn.CONCAT(_xlfn.XLOOKUP("[S05_DefaultValues][128][FuelMaterialType]",Submission!$O:$O,Submission!$H:$N,""))</f>
        <v>Benzyna</v>
      </c>
      <c r="I330" s="106" t="str">
        <f>_xlfn.CONCAT(_xlfn.XLOOKUP("[S05_DefaultValues][128][InstallationNumber]",Submission!$O:$O,Submission!$H:$N,""))</f>
        <v>1</v>
      </c>
    </row>
    <row r="331" spans="1:9" ht="15.9" hidden="1" customHeight="1" outlineLevel="1" x14ac:dyDescent="0.3">
      <c r="A331" s="13"/>
      <c r="B331" s="34"/>
      <c r="C331" s="277" t="str">
        <f>_xlfn.CONCAT(_xlfn.XLOOKUP("[S05_DefaultValues][129][InstallationCategory]",Submission!$O:$O,Submission!$H:$N,""))</f>
        <v>Category B installation</v>
      </c>
      <c r="D331" s="417"/>
      <c r="E331" s="417"/>
      <c r="F331" s="417"/>
      <c r="G331" s="367"/>
      <c r="H331" s="123" t="str">
        <f>_xlfn.CONCAT(_xlfn.XLOOKUP("[S05_DefaultValues][129][FuelMaterialType]",Submission!$O:$O,Submission!$H:$N,""))</f>
        <v>Biogaz</v>
      </c>
      <c r="I331" s="106" t="str">
        <f>_xlfn.CONCAT(_xlfn.XLOOKUP("[S05_DefaultValues][129][InstallationNumber]",Submission!$O:$O,Submission!$H:$N,""))</f>
        <v>11</v>
      </c>
    </row>
    <row r="332" spans="1:9" ht="15.9" hidden="1" customHeight="1" outlineLevel="1" x14ac:dyDescent="0.3">
      <c r="A332" s="13"/>
      <c r="B332" s="34"/>
      <c r="C332" s="277" t="str">
        <f>_xlfn.CONCAT(_xlfn.XLOOKUP("[S05_DefaultValues][130][InstallationCategory]",Submission!$O:$O,Submission!$H:$N,""))</f>
        <v>Category B installation</v>
      </c>
      <c r="D332" s="417"/>
      <c r="E332" s="417"/>
      <c r="F332" s="417"/>
      <c r="G332" s="367"/>
      <c r="H332" s="123" t="str">
        <f>_xlfn.CONCAT(_xlfn.XLOOKUP("[S05_DefaultValues][130][FuelMaterialType]",Submission!$O:$O,Submission!$H:$N,""))</f>
        <v>Biomasa</v>
      </c>
      <c r="I332" s="106" t="str">
        <f>_xlfn.CONCAT(_xlfn.XLOOKUP("[S05_DefaultValues][130][InstallationNumber]",Submission!$O:$O,Submission!$H:$N,""))</f>
        <v>31</v>
      </c>
    </row>
    <row r="333" spans="1:9" ht="15.9" hidden="1" customHeight="1" outlineLevel="1" x14ac:dyDescent="0.3">
      <c r="A333" s="13"/>
      <c r="B333" s="34"/>
      <c r="C333" s="277" t="str">
        <f>_xlfn.CONCAT(_xlfn.XLOOKUP("[S05_DefaultValues][131][InstallationCategory]",Submission!$O:$O,Submission!$H:$N,""))</f>
        <v>Category B installation</v>
      </c>
      <c r="D333" s="417"/>
      <c r="E333" s="417"/>
      <c r="F333" s="417"/>
      <c r="G333" s="367"/>
      <c r="H333" s="123" t="str">
        <f>_xlfn.CONCAT(_xlfn.XLOOKUP("[S05_DefaultValues][131][FuelMaterialType]",Submission!$O:$O,Submission!$H:$N,""))</f>
        <v>dodatki stopowe</v>
      </c>
      <c r="I333" s="106" t="str">
        <f>_xlfn.CONCAT(_xlfn.XLOOKUP("[S05_DefaultValues][131][InstallationNumber]",Submission!$O:$O,Submission!$H:$N,""))</f>
        <v>1</v>
      </c>
    </row>
    <row r="334" spans="1:9" ht="15.9" hidden="1" customHeight="1" outlineLevel="1" x14ac:dyDescent="0.3">
      <c r="A334" s="13"/>
      <c r="B334" s="34"/>
      <c r="C334" s="277" t="str">
        <f>_xlfn.CONCAT(_xlfn.XLOOKUP("[S05_DefaultValues][132][InstallationCategory]",Submission!$O:$O,Submission!$H:$N,""))</f>
        <v>Category B installation</v>
      </c>
      <c r="D334" s="417"/>
      <c r="E334" s="417"/>
      <c r="F334" s="417"/>
      <c r="G334" s="367"/>
      <c r="H334" s="123" t="str">
        <f>_xlfn.CONCAT(_xlfn.XLOOKUP("[S05_DefaultValues][132][FuelMaterialType]",Submission!$O:$O,Submission!$H:$N,""))</f>
        <v>drut węglowy</v>
      </c>
      <c r="I334" s="106" t="str">
        <f>_xlfn.CONCAT(_xlfn.XLOOKUP("[S05_DefaultValues][132][InstallationNumber]",Submission!$O:$O,Submission!$H:$N,""))</f>
        <v>1</v>
      </c>
    </row>
    <row r="335" spans="1:9" ht="15.9" hidden="1" customHeight="1" outlineLevel="1" x14ac:dyDescent="0.3">
      <c r="A335" s="13"/>
      <c r="B335" s="34"/>
      <c r="C335" s="277" t="str">
        <f>_xlfn.CONCAT(_xlfn.XLOOKUP("[S05_DefaultValues][133][InstallationCategory]",Submission!$O:$O,Submission!$H:$N,""))</f>
        <v>Category B installation</v>
      </c>
      <c r="D335" s="417"/>
      <c r="E335" s="417"/>
      <c r="F335" s="417"/>
      <c r="G335" s="367"/>
      <c r="H335" s="123" t="str">
        <f>_xlfn.CONCAT(_xlfn.XLOOKUP("[S05_DefaultValues][133][FuelMaterialType]",Submission!$O:$O,Submission!$H:$N,""))</f>
        <v>Elektrody</v>
      </c>
      <c r="I335" s="106" t="str">
        <f>_xlfn.CONCAT(_xlfn.XLOOKUP("[S05_DefaultValues][133][InstallationNumber]",Submission!$O:$O,Submission!$H:$N,""))</f>
        <v>2</v>
      </c>
    </row>
    <row r="336" spans="1:9" ht="15.9" hidden="1" customHeight="1" outlineLevel="1" x14ac:dyDescent="0.3">
      <c r="A336" s="13"/>
      <c r="B336" s="34"/>
      <c r="C336" s="277" t="str">
        <f>_xlfn.CONCAT(_xlfn.XLOOKUP("[S05_DefaultValues][134][InstallationCategory]",Submission!$O:$O,Submission!$H:$N,""))</f>
        <v>Category B installation</v>
      </c>
      <c r="D336" s="417"/>
      <c r="E336" s="417"/>
      <c r="F336" s="417"/>
      <c r="G336" s="367"/>
      <c r="H336" s="123" t="str">
        <f>_xlfn.CONCAT(_xlfn.XLOOKUP("[S05_DefaultValues][134][FuelMaterialType]",Submission!$O:$O,Submission!$H:$N,""))</f>
        <v>Folia Cu</v>
      </c>
      <c r="I336" s="106" t="str">
        <f>_xlfn.CONCAT(_xlfn.XLOOKUP("[S05_DefaultValues][134][InstallationNumber]",Submission!$O:$O,Submission!$H:$N,""))</f>
        <v>1</v>
      </c>
    </row>
    <row r="337" spans="1:9" ht="15.9" hidden="1" customHeight="1" outlineLevel="1" x14ac:dyDescent="0.3">
      <c r="A337" s="13"/>
      <c r="B337" s="34"/>
      <c r="C337" s="277" t="str">
        <f>_xlfn.CONCAT(_xlfn.XLOOKUP("[S05_DefaultValues][135][InstallationCategory]",Submission!$O:$O,Submission!$H:$N,""))</f>
        <v>Category B installation</v>
      </c>
      <c r="D337" s="417"/>
      <c r="E337" s="417"/>
      <c r="F337" s="417"/>
      <c r="G337" s="367"/>
      <c r="H337" s="123" t="str">
        <f>_xlfn.CONCAT(_xlfn.XLOOKUP("[S05_DefaultValues][135][FuelMaterialType]",Submission!$O:$O,Submission!$H:$N,""))</f>
        <v>Gaz koksowniczy</v>
      </c>
      <c r="I337" s="106" t="str">
        <f>_xlfn.CONCAT(_xlfn.XLOOKUP("[S05_DefaultValues][135][InstallationNumber]",Submission!$O:$O,Submission!$H:$N,""))</f>
        <v>5</v>
      </c>
    </row>
    <row r="338" spans="1:9" ht="15.9" hidden="1" customHeight="1" outlineLevel="1" x14ac:dyDescent="0.3">
      <c r="A338" s="13"/>
      <c r="B338" s="34"/>
      <c r="C338" s="277" t="str">
        <f>_xlfn.CONCAT(_xlfn.XLOOKUP("[S05_DefaultValues][136][InstallationCategory]",Submission!$O:$O,Submission!$H:$N,""))</f>
        <v>Category B installation</v>
      </c>
      <c r="D338" s="417"/>
      <c r="E338" s="417"/>
      <c r="F338" s="417"/>
      <c r="G338" s="367"/>
      <c r="H338" s="123" t="str">
        <f>_xlfn.CONCAT(_xlfn.XLOOKUP("[S05_DefaultValues][136][FuelMaterialType]",Submission!$O:$O,Submission!$H:$N,""))</f>
        <v>Gaz LPG</v>
      </c>
      <c r="I338" s="106" t="str">
        <f>_xlfn.CONCAT(_xlfn.XLOOKUP("[S05_DefaultValues][136][InstallationNumber]",Submission!$O:$O,Submission!$H:$N,""))</f>
        <v>3</v>
      </c>
    </row>
    <row r="339" spans="1:9" ht="15.9" hidden="1" customHeight="1" outlineLevel="1" x14ac:dyDescent="0.3">
      <c r="A339" s="13"/>
      <c r="B339" s="34"/>
      <c r="C339" s="277" t="str">
        <f>_xlfn.CONCAT(_xlfn.XLOOKUP("[S05_DefaultValues][137][InstallationCategory]",Submission!$O:$O,Submission!$H:$N,""))</f>
        <v>Category B installation</v>
      </c>
      <c r="D339" s="417"/>
      <c r="E339" s="417"/>
      <c r="F339" s="417"/>
      <c r="G339" s="367"/>
      <c r="H339" s="123" t="str">
        <f>_xlfn.CONCAT(_xlfn.XLOOKUP("[S05_DefaultValues][137][FuelMaterialType]",Submission!$O:$O,Submission!$H:$N,""))</f>
        <v>Gaz nadmiarowy</v>
      </c>
      <c r="I339" s="106" t="str">
        <f>_xlfn.CONCAT(_xlfn.XLOOKUP("[S05_DefaultValues][137][InstallationNumber]",Submission!$O:$O,Submission!$H:$N,""))</f>
        <v>1</v>
      </c>
    </row>
    <row r="340" spans="1:9" ht="15.9" hidden="1" customHeight="1" outlineLevel="1" x14ac:dyDescent="0.3">
      <c r="A340" s="13"/>
      <c r="B340" s="34"/>
      <c r="C340" s="277" t="str">
        <f>_xlfn.CONCAT(_xlfn.XLOOKUP("[S05_DefaultValues][138][InstallationCategory]",Submission!$O:$O,Submission!$H:$N,""))</f>
        <v>Category B installation</v>
      </c>
      <c r="D340" s="417"/>
      <c r="E340" s="417"/>
      <c r="F340" s="417"/>
      <c r="G340" s="367"/>
      <c r="H340" s="123" t="str">
        <f>_xlfn.CONCAT(_xlfn.XLOOKUP("[S05_DefaultValues][138][FuelMaterialType]",Submission!$O:$O,Submission!$H:$N,""))</f>
        <v>Gaz Propan Butan</v>
      </c>
      <c r="I340" s="106" t="str">
        <f>_xlfn.CONCAT(_xlfn.XLOOKUP("[S05_DefaultValues][138][InstallationNumber]",Submission!$O:$O,Submission!$H:$N,""))</f>
        <v>5</v>
      </c>
    </row>
    <row r="341" spans="1:9" ht="15.9" hidden="1" customHeight="1" outlineLevel="1" x14ac:dyDescent="0.3">
      <c r="A341" s="13"/>
      <c r="B341" s="34"/>
      <c r="C341" s="277" t="str">
        <f>_xlfn.CONCAT(_xlfn.XLOOKUP("[S05_DefaultValues][139][InstallationCategory]",Submission!$O:$O,Submission!$H:$N,""))</f>
        <v>Category B installation</v>
      </c>
      <c r="D341" s="417"/>
      <c r="E341" s="417"/>
      <c r="F341" s="417"/>
      <c r="G341" s="367"/>
      <c r="H341" s="123" t="str">
        <f>_xlfn.CONCAT(_xlfn.XLOOKUP("[S05_DefaultValues][139][FuelMaterialType]",Submission!$O:$O,Submission!$H:$N,""))</f>
        <v>Gaz skroplony LNG</v>
      </c>
      <c r="I341" s="106" t="str">
        <f>_xlfn.CONCAT(_xlfn.XLOOKUP("[S05_DefaultValues][139][InstallationNumber]",Submission!$O:$O,Submission!$H:$N,""))</f>
        <v>1</v>
      </c>
    </row>
    <row r="342" spans="1:9" ht="15.9" hidden="1" customHeight="1" outlineLevel="1" x14ac:dyDescent="0.3">
      <c r="A342" s="13"/>
      <c r="B342" s="34"/>
      <c r="C342" s="277" t="str">
        <f>_xlfn.CONCAT(_xlfn.XLOOKUP("[S05_DefaultValues][140][InstallationCategory]",Submission!$O:$O,Submission!$H:$N,""))</f>
        <v>Category B installation</v>
      </c>
      <c r="D342" s="417"/>
      <c r="E342" s="417"/>
      <c r="F342" s="417"/>
      <c r="G342" s="367"/>
      <c r="H342" s="123" t="str">
        <f>_xlfn.CONCAT(_xlfn.XLOOKUP("[S05_DefaultValues][140][FuelMaterialType]",Submission!$O:$O,Submission!$H:$N,""))</f>
        <v>Gaz z utwardzania żywicy</v>
      </c>
      <c r="I342" s="106" t="str">
        <f>_xlfn.CONCAT(_xlfn.XLOOKUP("[S05_DefaultValues][140][InstallationNumber]",Submission!$O:$O,Submission!$H:$N,""))</f>
        <v>2</v>
      </c>
    </row>
    <row r="343" spans="1:9" ht="15.9" hidden="1" customHeight="1" outlineLevel="1" x14ac:dyDescent="0.3">
      <c r="A343" s="13"/>
      <c r="B343" s="34"/>
      <c r="C343" s="277" t="str">
        <f>_xlfn.CONCAT(_xlfn.XLOOKUP("[S05_DefaultValues][141][InstallationCategory]",Submission!$O:$O,Submission!$H:$N,""))</f>
        <v>Category B installation</v>
      </c>
      <c r="D343" s="417"/>
      <c r="E343" s="417"/>
      <c r="F343" s="417"/>
      <c r="G343" s="367"/>
      <c r="H343" s="123" t="str">
        <f>_xlfn.CONCAT(_xlfn.XLOOKUP("[S05_DefaultValues][141][FuelMaterialType]",Submission!$O:$O,Submission!$H:$N,""))</f>
        <v>gaz ziemny wysokometanowy</v>
      </c>
      <c r="I343" s="106" t="str">
        <f>_xlfn.CONCAT(_xlfn.XLOOKUP("[S05_DefaultValues][141][InstallationNumber]",Submission!$O:$O,Submission!$H:$N,""))</f>
        <v>39</v>
      </c>
    </row>
    <row r="344" spans="1:9" ht="15.9" hidden="1" customHeight="1" outlineLevel="1" x14ac:dyDescent="0.3">
      <c r="A344" s="13"/>
      <c r="B344" s="34"/>
      <c r="C344" s="277" t="str">
        <f>_xlfn.CONCAT(_xlfn.XLOOKUP("[S05_DefaultValues][142][InstallationCategory]",Submission!$O:$O,Submission!$H:$N,""))</f>
        <v>Category B installation</v>
      </c>
      <c r="D344" s="417"/>
      <c r="E344" s="417"/>
      <c r="F344" s="417"/>
      <c r="G344" s="367"/>
      <c r="H344" s="123" t="str">
        <f>_xlfn.CONCAT(_xlfn.XLOOKUP("[S05_DefaultValues][142][FuelMaterialType]",Submission!$O:$O,Submission!$H:$N,""))</f>
        <v>Gazy złowonne</v>
      </c>
      <c r="I344" s="106" t="str">
        <f>_xlfn.CONCAT(_xlfn.XLOOKUP("[S05_DefaultValues][142][InstallationNumber]",Submission!$O:$O,Submission!$H:$N,""))</f>
        <v>1</v>
      </c>
    </row>
    <row r="345" spans="1:9" ht="15.9" hidden="1" customHeight="1" outlineLevel="1" x14ac:dyDescent="0.3">
      <c r="A345" s="13"/>
      <c r="B345" s="34"/>
      <c r="C345" s="277" t="str">
        <f>_xlfn.CONCAT(_xlfn.XLOOKUP("[S05_DefaultValues][143][InstallationCategory]",Submission!$O:$O,Submission!$H:$N,""))</f>
        <v>Category B installation</v>
      </c>
      <c r="D345" s="417"/>
      <c r="E345" s="417"/>
      <c r="F345" s="417"/>
      <c r="G345" s="367"/>
      <c r="H345" s="123" t="str">
        <f>_xlfn.CONCAT(_xlfn.XLOOKUP("[S05_DefaultValues][143][FuelMaterialType]",Submission!$O:$O,Submission!$H:$N,""))</f>
        <v>Gazy zrzutowe</v>
      </c>
      <c r="I345" s="106" t="str">
        <f>_xlfn.CONCAT(_xlfn.XLOOKUP("[S05_DefaultValues][143][InstallationNumber]",Submission!$O:$O,Submission!$H:$N,""))</f>
        <v>1</v>
      </c>
    </row>
    <row r="346" spans="1:9" ht="15.9" hidden="1" customHeight="1" outlineLevel="1" x14ac:dyDescent="0.3">
      <c r="A346" s="13"/>
      <c r="B346" s="34"/>
      <c r="C346" s="277" t="str">
        <f>_xlfn.CONCAT(_xlfn.XLOOKUP("[S05_DefaultValues][144][InstallationCategory]",Submission!$O:$O,Submission!$H:$N,""))</f>
        <v>Category B installation</v>
      </c>
      <c r="D346" s="417"/>
      <c r="E346" s="417"/>
      <c r="F346" s="417"/>
      <c r="G346" s="367"/>
      <c r="H346" s="123" t="str">
        <f>_xlfn.CONCAT(_xlfn.XLOOKUP("[S05_DefaultValues][144][FuelMaterialType]",Submission!$O:$O,Submission!$H:$N,""))</f>
        <v xml:space="preserve">Grafit </v>
      </c>
      <c r="I346" s="106" t="str">
        <f>_xlfn.CONCAT(_xlfn.XLOOKUP("[S05_DefaultValues][144][InstallationNumber]",Submission!$O:$O,Submission!$H:$N,""))</f>
        <v>1</v>
      </c>
    </row>
    <row r="347" spans="1:9" ht="15.9" hidden="1" customHeight="1" outlineLevel="1" x14ac:dyDescent="0.3">
      <c r="A347" s="13"/>
      <c r="B347" s="34"/>
      <c r="C347" s="277" t="str">
        <f>_xlfn.CONCAT(_xlfn.XLOOKUP("[S05_DefaultValues][145][InstallationCategory]",Submission!$O:$O,Submission!$H:$N,""))</f>
        <v>Category B installation</v>
      </c>
      <c r="D347" s="417"/>
      <c r="E347" s="417"/>
      <c r="F347" s="417"/>
      <c r="G347" s="367"/>
      <c r="H347" s="123" t="str">
        <f>_xlfn.CONCAT(_xlfn.XLOOKUP("[S05_DefaultValues][145][FuelMaterialType]",Submission!$O:$O,Submission!$H:$N,""))</f>
        <v>Kamień wapienny</v>
      </c>
      <c r="I347" s="106" t="str">
        <f>_xlfn.CONCAT(_xlfn.XLOOKUP("[S05_DefaultValues][145][InstallationNumber]",Submission!$O:$O,Submission!$H:$N,""))</f>
        <v>2</v>
      </c>
    </row>
    <row r="348" spans="1:9" ht="15.9" hidden="1" customHeight="1" outlineLevel="1" x14ac:dyDescent="0.3">
      <c r="A348" s="13"/>
      <c r="B348" s="34"/>
      <c r="C348" s="277" t="str">
        <f>_xlfn.CONCAT(_xlfn.XLOOKUP("[S05_DefaultValues][146][InstallationCategory]",Submission!$O:$O,Submission!$H:$N,""))</f>
        <v>Category B installation</v>
      </c>
      <c r="D348" s="417"/>
      <c r="E348" s="417"/>
      <c r="F348" s="417"/>
      <c r="G348" s="367"/>
      <c r="H348" s="123" t="str">
        <f>_xlfn.CONCAT(_xlfn.XLOOKUP("[S05_DefaultValues][146][FuelMaterialType]",Submission!$O:$O,Submission!$H:$N,""))</f>
        <v>karbid</v>
      </c>
      <c r="I348" s="106" t="str">
        <f>_xlfn.CONCAT(_xlfn.XLOOKUP("[S05_DefaultValues][146][InstallationNumber]",Submission!$O:$O,Submission!$H:$N,""))</f>
        <v>1</v>
      </c>
    </row>
    <row r="349" spans="1:9" ht="15.9" hidden="1" customHeight="1" outlineLevel="1" x14ac:dyDescent="0.3">
      <c r="A349" s="13"/>
      <c r="B349" s="34"/>
      <c r="C349" s="277" t="str">
        <f>_xlfn.CONCAT(_xlfn.XLOOKUP("[S05_DefaultValues][147][InstallationCategory]",Submission!$O:$O,Submission!$H:$N,""))</f>
        <v>Category B installation</v>
      </c>
      <c r="D349" s="417"/>
      <c r="E349" s="417"/>
      <c r="F349" s="417"/>
      <c r="G349" s="367"/>
      <c r="H349" s="123" t="str">
        <f>_xlfn.CONCAT(_xlfn.XLOOKUP("[S05_DefaultValues][147][FuelMaterialType]",Submission!$O:$O,Submission!$H:$N,""))</f>
        <v>Koks</v>
      </c>
      <c r="I349" s="106" t="str">
        <f>_xlfn.CONCAT(_xlfn.XLOOKUP("[S05_DefaultValues][147][InstallationNumber]",Submission!$O:$O,Submission!$H:$N,""))</f>
        <v>18</v>
      </c>
    </row>
    <row r="350" spans="1:9" ht="15.9" hidden="1" customHeight="1" outlineLevel="1" x14ac:dyDescent="0.3">
      <c r="A350" s="13"/>
      <c r="B350" s="34"/>
      <c r="C350" s="277" t="str">
        <f>_xlfn.CONCAT(_xlfn.XLOOKUP("[S05_DefaultValues][148][InstallationCategory]",Submission!$O:$O,Submission!$H:$N,""))</f>
        <v>Category B installation</v>
      </c>
      <c r="D350" s="417"/>
      <c r="E350" s="417"/>
      <c r="F350" s="417"/>
      <c r="G350" s="367"/>
      <c r="H350" s="123" t="str">
        <f>_xlfn.CONCAT(_xlfn.XLOOKUP("[S05_DefaultValues][148][FuelMaterialType]",Submission!$O:$O,Submission!$H:$N,""))</f>
        <v>Koncentraty flotacyjne i metaliczne</v>
      </c>
      <c r="I350" s="106" t="str">
        <f>_xlfn.CONCAT(_xlfn.XLOOKUP("[S05_DefaultValues][148][InstallationNumber]",Submission!$O:$O,Submission!$H:$N,""))</f>
        <v>1</v>
      </c>
    </row>
    <row r="351" spans="1:9" ht="15.9" hidden="1" customHeight="1" outlineLevel="1" x14ac:dyDescent="0.3">
      <c r="A351" s="13"/>
      <c r="B351" s="34"/>
      <c r="C351" s="277" t="str">
        <f>_xlfn.CONCAT(_xlfn.XLOOKUP("[S05_DefaultValues][149][InstallationCategory]",Submission!$O:$O,Submission!$H:$N,""))</f>
        <v>Category B installation</v>
      </c>
      <c r="D351" s="417"/>
      <c r="E351" s="417"/>
      <c r="F351" s="417"/>
      <c r="G351" s="367"/>
      <c r="H351" s="123" t="str">
        <f>_xlfn.CONCAT(_xlfn.XLOOKUP("[S05_DefaultValues][149][FuelMaterialType]",Submission!$O:$O,Submission!$H:$N,""))</f>
        <v>Koncentraty miedzi pozostałe</v>
      </c>
      <c r="I351" s="106" t="str">
        <f>_xlfn.CONCAT(_xlfn.XLOOKUP("[S05_DefaultValues][149][InstallationNumber]",Submission!$O:$O,Submission!$H:$N,""))</f>
        <v>1</v>
      </c>
    </row>
    <row r="352" spans="1:9" ht="15.9" hidden="1" customHeight="1" outlineLevel="1" x14ac:dyDescent="0.3">
      <c r="A352" s="13"/>
      <c r="B352" s="34"/>
      <c r="C352" s="277" t="str">
        <f>_xlfn.CONCAT(_xlfn.XLOOKUP("[S05_DefaultValues][150][InstallationCategory]",Submission!$O:$O,Submission!$H:$N,""))</f>
        <v>Category B installation</v>
      </c>
      <c r="D352" s="417"/>
      <c r="E352" s="417"/>
      <c r="F352" s="417"/>
      <c r="G352" s="367"/>
      <c r="H352" s="123" t="str">
        <f>_xlfn.CONCAT(_xlfn.XLOOKUP("[S05_DefaultValues][150][FuelMaterialType]",Submission!$O:$O,Submission!$H:$N,""))</f>
        <v>Kwas octowy</v>
      </c>
      <c r="I352" s="106" t="str">
        <f>_xlfn.CONCAT(_xlfn.XLOOKUP("[S05_DefaultValues][150][InstallationNumber]",Submission!$O:$O,Submission!$H:$N,""))</f>
        <v>1</v>
      </c>
    </row>
    <row r="353" spans="1:9" ht="15.9" hidden="1" customHeight="1" outlineLevel="1" x14ac:dyDescent="0.3">
      <c r="A353" s="13"/>
      <c r="B353" s="34"/>
      <c r="C353" s="277" t="str">
        <f>_xlfn.CONCAT(_xlfn.XLOOKUP("[S05_DefaultValues][151][InstallationCategory]",Submission!$O:$O,Submission!$H:$N,""))</f>
        <v>Category B installation</v>
      </c>
      <c r="D353" s="417"/>
      <c r="E353" s="417"/>
      <c r="F353" s="417"/>
      <c r="G353" s="367"/>
      <c r="H353" s="123" t="str">
        <f>_xlfn.CONCAT(_xlfn.XLOOKUP("[S05_DefaultValues][151][FuelMaterialType]",Submission!$O:$O,Submission!$H:$N,""))</f>
        <v>Ług czarny</v>
      </c>
      <c r="I353" s="106" t="str">
        <f>_xlfn.CONCAT(_xlfn.XLOOKUP("[S05_DefaultValues][151][InstallationNumber]",Submission!$O:$O,Submission!$H:$N,""))</f>
        <v>1</v>
      </c>
    </row>
    <row r="354" spans="1:9" ht="15.9" hidden="1" customHeight="1" outlineLevel="1" x14ac:dyDescent="0.3">
      <c r="A354" s="13"/>
      <c r="B354" s="34"/>
      <c r="C354" s="277" t="str">
        <f>_xlfn.CONCAT(_xlfn.XLOOKUP("[S05_DefaultValues][152][InstallationCategory]",Submission!$O:$O,Submission!$H:$N,""))</f>
        <v>Category B installation</v>
      </c>
      <c r="D354" s="417"/>
      <c r="E354" s="417"/>
      <c r="F354" s="417"/>
      <c r="G354" s="367"/>
      <c r="H354" s="123" t="str">
        <f>_xlfn.CONCAT(_xlfn.XLOOKUP("[S05_DefaultValues][152][FuelMaterialType]",Submission!$O:$O,Submission!$H:$N,""))</f>
        <v xml:space="preserve">Masa formiersko-rdzeniowa FLOSTER </v>
      </c>
      <c r="I354" s="106" t="str">
        <f>_xlfn.CONCAT(_xlfn.XLOOKUP("[S05_DefaultValues][152][InstallationNumber]",Submission!$O:$O,Submission!$H:$N,""))</f>
        <v>1</v>
      </c>
    </row>
    <row r="355" spans="1:9" ht="15.9" hidden="1" customHeight="1" outlineLevel="1" x14ac:dyDescent="0.3">
      <c r="A355" s="13"/>
      <c r="B355" s="34"/>
      <c r="C355" s="277" t="str">
        <f>_xlfn.CONCAT(_xlfn.XLOOKUP("[S05_DefaultValues][153][InstallationCategory]",Submission!$O:$O,Submission!$H:$N,""))</f>
        <v>Category B installation</v>
      </c>
      <c r="D355" s="417"/>
      <c r="E355" s="417"/>
      <c r="F355" s="417"/>
      <c r="G355" s="367"/>
      <c r="H355" s="123" t="str">
        <f>_xlfn.CONCAT(_xlfn.XLOOKUP("[S05_DefaultValues][153][FuelMaterialType]",Submission!$O:$O,Submission!$H:$N,""))</f>
        <v>mączka wapienna</v>
      </c>
      <c r="I355" s="106" t="str">
        <f>_xlfn.CONCAT(_xlfn.XLOOKUP("[S05_DefaultValues][153][InstallationNumber]",Submission!$O:$O,Submission!$H:$N,""))</f>
        <v>2</v>
      </c>
    </row>
    <row r="356" spans="1:9" ht="15.9" hidden="1" customHeight="1" outlineLevel="1" x14ac:dyDescent="0.3">
      <c r="A356" s="13"/>
      <c r="B356" s="34"/>
      <c r="C356" s="277" t="str">
        <f>_xlfn.CONCAT(_xlfn.XLOOKUP("[S05_DefaultValues][154][InstallationCategory]",Submission!$O:$O,Submission!$H:$N,""))</f>
        <v>Category B installation</v>
      </c>
      <c r="D356" s="417"/>
      <c r="E356" s="417"/>
      <c r="F356" s="417"/>
      <c r="G356" s="367"/>
      <c r="H356" s="123" t="str">
        <f>_xlfn.CONCAT(_xlfn.XLOOKUP("[S05_DefaultValues][154][FuelMaterialType]",Submission!$O:$O,Submission!$H:$N,""))</f>
        <v>Metanol</v>
      </c>
      <c r="I356" s="106" t="str">
        <f>_xlfn.CONCAT(_xlfn.XLOOKUP("[S05_DefaultValues][154][InstallationNumber]",Submission!$O:$O,Submission!$H:$N,""))</f>
        <v>1</v>
      </c>
    </row>
    <row r="357" spans="1:9" ht="15.9" hidden="1" customHeight="1" outlineLevel="1" x14ac:dyDescent="0.3">
      <c r="A357" s="13"/>
      <c r="B357" s="34"/>
      <c r="C357" s="277" t="str">
        <f>_xlfn.CONCAT(_xlfn.XLOOKUP("[S05_DefaultValues][155][InstallationCategory]",Submission!$O:$O,Submission!$H:$N,""))</f>
        <v>Category B installation</v>
      </c>
      <c r="D357" s="417"/>
      <c r="E357" s="417"/>
      <c r="F357" s="417"/>
      <c r="G357" s="367"/>
      <c r="H357" s="123" t="str">
        <f>_xlfn.CONCAT(_xlfn.XLOOKUP("[S05_DefaultValues][155][FuelMaterialType]",Submission!$O:$O,Submission!$H:$N,""))</f>
        <v>Mocznik</v>
      </c>
      <c r="I357" s="106" t="str">
        <f>_xlfn.CONCAT(_xlfn.XLOOKUP("[S05_DefaultValues][155][InstallationNumber]",Submission!$O:$O,Submission!$H:$N,""))</f>
        <v>1</v>
      </c>
    </row>
    <row r="358" spans="1:9" ht="15.9" hidden="1" customHeight="1" outlineLevel="1" x14ac:dyDescent="0.3">
      <c r="A358" s="13"/>
      <c r="B358" s="34"/>
      <c r="C358" s="277" t="str">
        <f>_xlfn.CONCAT(_xlfn.XLOOKUP("[S05_DefaultValues][156][InstallationCategory]",Submission!$O:$O,Submission!$H:$N,""))</f>
        <v>Category B installation</v>
      </c>
      <c r="D358" s="417"/>
      <c r="E358" s="417"/>
      <c r="F358" s="417"/>
      <c r="G358" s="367"/>
      <c r="H358" s="123" t="str">
        <f>_xlfn.CONCAT(_xlfn.XLOOKUP("[S05_DefaultValues][156][FuelMaterialType]",Submission!$O:$O,Submission!$H:$N,""))</f>
        <v>Mydła</v>
      </c>
      <c r="I358" s="106" t="str">
        <f>_xlfn.CONCAT(_xlfn.XLOOKUP("[S05_DefaultValues][156][InstallationNumber]",Submission!$O:$O,Submission!$H:$N,""))</f>
        <v>1</v>
      </c>
    </row>
    <row r="359" spans="1:9" ht="15.9" hidden="1" customHeight="1" outlineLevel="1" x14ac:dyDescent="0.3">
      <c r="A359" s="13"/>
      <c r="B359" s="34"/>
      <c r="C359" s="277" t="str">
        <f>_xlfn.CONCAT(_xlfn.XLOOKUP("[S05_DefaultValues][157][InstallationCategory]",Submission!$O:$O,Submission!$H:$N,""))</f>
        <v>Category B installation</v>
      </c>
      <c r="D359" s="417"/>
      <c r="E359" s="417"/>
      <c r="F359" s="417"/>
      <c r="G359" s="367"/>
      <c r="H359" s="123" t="str">
        <f>_xlfn.CONCAT(_xlfn.XLOOKUP("[S05_DefaultValues][157][FuelMaterialType]",Submission!$O:$O,Submission!$H:$N,""))</f>
        <v>Odpady przemysłowe</v>
      </c>
      <c r="I359" s="106" t="str">
        <f>_xlfn.CONCAT(_xlfn.XLOOKUP("[S05_DefaultValues][157][InstallationNumber]",Submission!$O:$O,Submission!$H:$N,""))</f>
        <v>1</v>
      </c>
    </row>
    <row r="360" spans="1:9" ht="15.9" hidden="1" customHeight="1" outlineLevel="1" x14ac:dyDescent="0.3">
      <c r="A360" s="13"/>
      <c r="B360" s="34"/>
      <c r="C360" s="277" t="str">
        <f>_xlfn.CONCAT(_xlfn.XLOOKUP("[S05_DefaultValues][158][InstallationCategory]",Submission!$O:$O,Submission!$H:$N,""))</f>
        <v>Category B installation</v>
      </c>
      <c r="D360" s="417"/>
      <c r="E360" s="417"/>
      <c r="F360" s="417"/>
      <c r="G360" s="367"/>
      <c r="H360" s="123" t="str">
        <f>_xlfn.CONCAT(_xlfn.XLOOKUP("[S05_DefaultValues][158][FuelMaterialType]",Submission!$O:$O,Submission!$H:$N,""))</f>
        <v xml:space="preserve">Okładziny piecowe i materiały ogniotrwałe </v>
      </c>
      <c r="I360" s="106" t="str">
        <f>_xlfn.CONCAT(_xlfn.XLOOKUP("[S05_DefaultValues][158][InstallationNumber]",Submission!$O:$O,Submission!$H:$N,""))</f>
        <v>1</v>
      </c>
    </row>
    <row r="361" spans="1:9" ht="15.9" hidden="1" customHeight="1" outlineLevel="1" x14ac:dyDescent="0.3">
      <c r="A361" s="13"/>
      <c r="B361" s="34"/>
      <c r="C361" s="277" t="str">
        <f>_xlfn.CONCAT(_xlfn.XLOOKUP("[S05_DefaultValues][159][InstallationCategory]",Submission!$O:$O,Submission!$H:$N,""))</f>
        <v>Category B installation</v>
      </c>
      <c r="D361" s="417"/>
      <c r="E361" s="417"/>
      <c r="F361" s="417"/>
      <c r="G361" s="367"/>
      <c r="H361" s="123" t="str">
        <f>_xlfn.CONCAT(_xlfn.XLOOKUP("[S05_DefaultValues][159][FuelMaterialType]",Submission!$O:$O,Submission!$H:$N,""))</f>
        <v>Olej napędowy</v>
      </c>
      <c r="I361" s="106" t="str">
        <f>_xlfn.CONCAT(_xlfn.XLOOKUP("[S05_DefaultValues][159][InstallationNumber]",Submission!$O:$O,Submission!$H:$N,""))</f>
        <v>45</v>
      </c>
    </row>
    <row r="362" spans="1:9" ht="15.9" hidden="1" customHeight="1" outlineLevel="1" x14ac:dyDescent="0.3">
      <c r="A362" s="13"/>
      <c r="B362" s="34"/>
      <c r="C362" s="277" t="str">
        <f>_xlfn.CONCAT(_xlfn.XLOOKUP("[S05_DefaultValues][160][InstallationCategory]",Submission!$O:$O,Submission!$H:$N,""))</f>
        <v>Category B installation</v>
      </c>
      <c r="D362" s="417"/>
      <c r="E362" s="417"/>
      <c r="F362" s="417"/>
      <c r="G362" s="367"/>
      <c r="H362" s="123" t="str">
        <f>_xlfn.CONCAT(_xlfn.XLOOKUP("[S05_DefaultValues][160][FuelMaterialType]",Submission!$O:$O,Submission!$H:$N,""))</f>
        <v>Olej opałowy bardzo lekki</v>
      </c>
      <c r="I362" s="106" t="str">
        <f>_xlfn.CONCAT(_xlfn.XLOOKUP("[S05_DefaultValues][160][InstallationNumber]",Submission!$O:$O,Submission!$H:$N,""))</f>
        <v>2</v>
      </c>
    </row>
    <row r="363" spans="1:9" ht="15.9" hidden="1" customHeight="1" outlineLevel="1" x14ac:dyDescent="0.3">
      <c r="A363" s="13"/>
      <c r="B363" s="34"/>
      <c r="C363" s="277" t="str">
        <f>_xlfn.CONCAT(_xlfn.XLOOKUP("[S05_DefaultValues][161][InstallationCategory]",Submission!$O:$O,Submission!$H:$N,""))</f>
        <v>Category B installation</v>
      </c>
      <c r="D363" s="417"/>
      <c r="E363" s="417"/>
      <c r="F363" s="417"/>
      <c r="G363" s="367"/>
      <c r="H363" s="123" t="str">
        <f>_xlfn.CONCAT(_xlfn.XLOOKUP("[S05_DefaultValues][161][FuelMaterialType]",Submission!$O:$O,Submission!$H:$N,""))</f>
        <v>Olej opałowy ciężki</v>
      </c>
      <c r="I363" s="106" t="str">
        <f>_xlfn.CONCAT(_xlfn.XLOOKUP("[S05_DefaultValues][161][InstallationNumber]",Submission!$O:$O,Submission!$H:$N,""))</f>
        <v>4</v>
      </c>
    </row>
    <row r="364" spans="1:9" ht="15.9" hidden="1" customHeight="1" outlineLevel="1" x14ac:dyDescent="0.3">
      <c r="A364" s="13"/>
      <c r="B364" s="34"/>
      <c r="C364" s="277" t="str">
        <f>_xlfn.CONCAT(_xlfn.XLOOKUP("[S05_DefaultValues][162][InstallationCategory]",Submission!$O:$O,Submission!$H:$N,""))</f>
        <v>Category B installation</v>
      </c>
      <c r="D364" s="417"/>
      <c r="E364" s="417"/>
      <c r="F364" s="417"/>
      <c r="G364" s="367"/>
      <c r="H364" s="123" t="str">
        <f>_xlfn.CONCAT(_xlfn.XLOOKUP("[S05_DefaultValues][162][FuelMaterialType]",Submission!$O:$O,Submission!$H:$N,""))</f>
        <v>Olej opałowy lekki</v>
      </c>
      <c r="I364" s="106" t="str">
        <f>_xlfn.CONCAT(_xlfn.XLOOKUP("[S05_DefaultValues][162][InstallationNumber]",Submission!$O:$O,Submission!$H:$N,""))</f>
        <v>42</v>
      </c>
    </row>
    <row r="365" spans="1:9" ht="15.9" hidden="1" customHeight="1" outlineLevel="1" x14ac:dyDescent="0.3">
      <c r="A365" s="13"/>
      <c r="B365" s="34"/>
      <c r="C365" s="277" t="str">
        <f>_xlfn.CONCAT(_xlfn.XLOOKUP("[S05_DefaultValues][163][InstallationCategory]",Submission!$O:$O,Submission!$H:$N,""))</f>
        <v>Category B installation</v>
      </c>
      <c r="D365" s="417"/>
      <c r="E365" s="417"/>
      <c r="F365" s="417"/>
      <c r="G365" s="367"/>
      <c r="H365" s="123" t="str">
        <f>_xlfn.CONCAT(_xlfn.XLOOKUP("[S05_DefaultValues][163][FuelMaterialType]",Submission!$O:$O,Submission!$H:$N,""))</f>
        <v>Olej opałowy średni</v>
      </c>
      <c r="I365" s="106" t="str">
        <f>_xlfn.CONCAT(_xlfn.XLOOKUP("[S05_DefaultValues][163][InstallationNumber]",Submission!$O:$O,Submission!$H:$N,""))</f>
        <v>3</v>
      </c>
    </row>
    <row r="366" spans="1:9" ht="15.9" hidden="1" customHeight="1" outlineLevel="1" x14ac:dyDescent="0.3">
      <c r="A366" s="13"/>
      <c r="B366" s="34"/>
      <c r="C366" s="277" t="str">
        <f>_xlfn.CONCAT(_xlfn.XLOOKUP("[S05_DefaultValues][164][InstallationCategory]",Submission!$O:$O,Submission!$H:$N,""))</f>
        <v>Category B installation</v>
      </c>
      <c r="D366" s="417"/>
      <c r="E366" s="417"/>
      <c r="F366" s="417"/>
      <c r="G366" s="367"/>
      <c r="H366" s="123" t="str">
        <f>_xlfn.CONCAT(_xlfn.XLOOKUP("[S05_DefaultValues][164][FuelMaterialType]",Submission!$O:$O,Submission!$H:$N,""))</f>
        <v>Propan</v>
      </c>
      <c r="I366" s="106" t="str">
        <f>_xlfn.CONCAT(_xlfn.XLOOKUP("[S05_DefaultValues][164][InstallationNumber]",Submission!$O:$O,Submission!$H:$N,""))</f>
        <v>3</v>
      </c>
    </row>
    <row r="367" spans="1:9" ht="15.9" hidden="1" customHeight="1" outlineLevel="1" x14ac:dyDescent="0.3">
      <c r="A367" s="13"/>
      <c r="B367" s="34"/>
      <c r="C367" s="277" t="str">
        <f>_xlfn.CONCAT(_xlfn.XLOOKUP("[S05_DefaultValues][165][InstallationCategory]",Submission!$O:$O,Submission!$H:$N,""))</f>
        <v>Category B installation</v>
      </c>
      <c r="D367" s="417"/>
      <c r="E367" s="417"/>
      <c r="F367" s="417"/>
      <c r="G367" s="367"/>
      <c r="H367" s="123" t="str">
        <f>_xlfn.CONCAT(_xlfn.XLOOKUP("[S05_DefaultValues][165][FuelMaterialType]",Submission!$O:$O,Submission!$H:$N,""))</f>
        <v>Soda</v>
      </c>
      <c r="I367" s="106" t="str">
        <f>_xlfn.CONCAT(_xlfn.XLOOKUP("[S05_DefaultValues][165][InstallationNumber]",Submission!$O:$O,Submission!$H:$N,""))</f>
        <v>1</v>
      </c>
    </row>
    <row r="368" spans="1:9" ht="15.9" hidden="1" customHeight="1" outlineLevel="1" x14ac:dyDescent="0.3">
      <c r="A368" s="13"/>
      <c r="B368" s="34"/>
      <c r="C368" s="277" t="str">
        <f>_xlfn.CONCAT(_xlfn.XLOOKUP("[S05_DefaultValues][166][InstallationCategory]",Submission!$O:$O,Submission!$H:$N,""))</f>
        <v>Category B installation</v>
      </c>
      <c r="D368" s="417"/>
      <c r="E368" s="417"/>
      <c r="F368" s="417"/>
      <c r="G368" s="367"/>
      <c r="H368" s="123" t="str">
        <f>_xlfn.CONCAT(_xlfn.XLOOKUP("[S05_DefaultValues][166][FuelMaterialType]",Submission!$O:$O,Submission!$H:$N,""))</f>
        <v>Surówka</v>
      </c>
      <c r="I368" s="106" t="str">
        <f>_xlfn.CONCAT(_xlfn.XLOOKUP("[S05_DefaultValues][166][InstallationNumber]",Submission!$O:$O,Submission!$H:$N,""))</f>
        <v>1</v>
      </c>
    </row>
    <row r="369" spans="1:9" ht="15.9" hidden="1" customHeight="1" outlineLevel="1" x14ac:dyDescent="0.3">
      <c r="A369" s="13"/>
      <c r="B369" s="34"/>
      <c r="C369" s="277" t="str">
        <f>_xlfn.CONCAT(_xlfn.XLOOKUP("[S05_DefaultValues][167][InstallationCategory]",Submission!$O:$O,Submission!$H:$N,""))</f>
        <v>Category B installation</v>
      </c>
      <c r="D369" s="417"/>
      <c r="E369" s="417"/>
      <c r="F369" s="417"/>
      <c r="G369" s="367"/>
      <c r="H369" s="123" t="str">
        <f>_xlfn.CONCAT(_xlfn.XLOOKUP("[S05_DefaultValues][167][FuelMaterialType]",Submission!$O:$O,Submission!$H:$N,""))</f>
        <v>Terpentyna</v>
      </c>
      <c r="I369" s="106" t="str">
        <f>_xlfn.CONCAT(_xlfn.XLOOKUP("[S05_DefaultValues][167][InstallationNumber]",Submission!$O:$O,Submission!$H:$N,""))</f>
        <v>1</v>
      </c>
    </row>
    <row r="370" spans="1:9" ht="15.9" hidden="1" customHeight="1" outlineLevel="1" x14ac:dyDescent="0.3">
      <c r="A370" s="13"/>
      <c r="B370" s="34"/>
      <c r="C370" s="277" t="str">
        <f>_xlfn.CONCAT(_xlfn.XLOOKUP("[S05_DefaultValues][168][InstallationCategory]",Submission!$O:$O,Submission!$H:$N,""))</f>
        <v>Category B installation</v>
      </c>
      <c r="D370" s="417"/>
      <c r="E370" s="417"/>
      <c r="F370" s="417"/>
      <c r="G370" s="367"/>
      <c r="H370" s="123" t="str">
        <f>_xlfn.CONCAT(_xlfn.XLOOKUP("[S05_DefaultValues][168][FuelMaterialType]",Submission!$O:$O,Submission!$H:$N,""))</f>
        <v>Wapno</v>
      </c>
      <c r="I370" s="106" t="str">
        <f>_xlfn.CONCAT(_xlfn.XLOOKUP("[S05_DefaultValues][168][InstallationNumber]",Submission!$O:$O,Submission!$H:$N,""))</f>
        <v>1</v>
      </c>
    </row>
    <row r="371" spans="1:9" ht="15.9" hidden="1" customHeight="1" outlineLevel="1" x14ac:dyDescent="0.3">
      <c r="A371" s="13"/>
      <c r="B371" s="34"/>
      <c r="C371" s="277" t="str">
        <f>_xlfn.CONCAT(_xlfn.XLOOKUP("[S05_DefaultValues][169][InstallationCategory]",Submission!$O:$O,Submission!$H:$N,""))</f>
        <v>Category B installation</v>
      </c>
      <c r="D371" s="417"/>
      <c r="E371" s="417"/>
      <c r="F371" s="417"/>
      <c r="G371" s="367"/>
      <c r="H371" s="123" t="str">
        <f>_xlfn.CONCAT(_xlfn.XLOOKUP("[S05_DefaultValues][169][FuelMaterialType]",Submission!$O:$O,Submission!$H:$N,""))</f>
        <v>Węgiel kamienny</v>
      </c>
      <c r="I371" s="106" t="str">
        <f>_xlfn.CONCAT(_xlfn.XLOOKUP("[S05_DefaultValues][169][InstallationNumber]",Submission!$O:$O,Submission!$H:$N,""))</f>
        <v>8</v>
      </c>
    </row>
    <row r="372" spans="1:9" ht="15.9" hidden="1" customHeight="1" outlineLevel="1" x14ac:dyDescent="0.3">
      <c r="A372" s="13"/>
      <c r="B372" s="34"/>
      <c r="C372" s="277" t="str">
        <f>_xlfn.CONCAT(_xlfn.XLOOKUP("[S05_DefaultValues][170][InstallationCategory]",Submission!$O:$O,Submission!$H:$N,""))</f>
        <v>Category B installation</v>
      </c>
      <c r="D372" s="417"/>
      <c r="E372" s="417"/>
      <c r="F372" s="417"/>
      <c r="G372" s="367"/>
      <c r="H372" s="123" t="str">
        <f>_xlfn.CONCAT(_xlfn.XLOOKUP("[S05_DefaultValues][170][FuelMaterialType]",Submission!$O:$O,Submission!$H:$N,""))</f>
        <v>Węglan Baru</v>
      </c>
      <c r="I372" s="106" t="str">
        <f>_xlfn.CONCAT(_xlfn.XLOOKUP("[S05_DefaultValues][170][InstallationNumber]",Submission!$O:$O,Submission!$H:$N,""))</f>
        <v>2</v>
      </c>
    </row>
    <row r="373" spans="1:9" ht="15.9" hidden="1" customHeight="1" outlineLevel="1" x14ac:dyDescent="0.3">
      <c r="A373" s="13"/>
      <c r="B373" s="34"/>
      <c r="C373" s="277" t="str">
        <f>_xlfn.CONCAT(_xlfn.XLOOKUP("[S05_DefaultValues][171][InstallationCategory]",Submission!$O:$O,Submission!$H:$N,""))</f>
        <v>Category B installation</v>
      </c>
      <c r="D373" s="417"/>
      <c r="E373" s="417"/>
      <c r="F373" s="417"/>
      <c r="G373" s="367"/>
      <c r="H373" s="123" t="str">
        <f>_xlfn.CONCAT(_xlfn.XLOOKUP("[S05_DefaultValues][171][FuelMaterialType]",Submission!$O:$O,Submission!$H:$N,""))</f>
        <v>Węglan Magnezu</v>
      </c>
      <c r="I373" s="106" t="str">
        <f>_xlfn.CONCAT(_xlfn.XLOOKUP("[S05_DefaultValues][171][InstallationNumber]",Submission!$O:$O,Submission!$H:$N,""))</f>
        <v>8</v>
      </c>
    </row>
    <row r="374" spans="1:9" ht="15.9" hidden="1" customHeight="1" outlineLevel="1" x14ac:dyDescent="0.3">
      <c r="A374" s="13"/>
      <c r="B374" s="34"/>
      <c r="C374" s="277" t="str">
        <f>_xlfn.CONCAT(_xlfn.XLOOKUP("[S05_DefaultValues][172][InstallationCategory]",Submission!$O:$O,Submission!$H:$N,""))</f>
        <v>Category B installation</v>
      </c>
      <c r="D374" s="417"/>
      <c r="E374" s="417"/>
      <c r="F374" s="417"/>
      <c r="G374" s="367"/>
      <c r="H374" s="123" t="str">
        <f>_xlfn.CONCAT(_xlfn.XLOOKUP("[S05_DefaultValues][172][FuelMaterialType]",Submission!$O:$O,Submission!$H:$N,""))</f>
        <v>Węglan Sodu</v>
      </c>
      <c r="I374" s="106" t="str">
        <f>_xlfn.CONCAT(_xlfn.XLOOKUP("[S05_DefaultValues][172][InstallationNumber]",Submission!$O:$O,Submission!$H:$N,""))</f>
        <v>7</v>
      </c>
    </row>
    <row r="375" spans="1:9" ht="15.9" hidden="1" customHeight="1" outlineLevel="1" x14ac:dyDescent="0.3">
      <c r="A375" s="13"/>
      <c r="B375" s="34"/>
      <c r="C375" s="277" t="str">
        <f>_xlfn.CONCAT(_xlfn.XLOOKUP("[S05_DefaultValues][173][InstallationCategory]",Submission!$O:$O,Submission!$H:$N,""))</f>
        <v>Category B installation</v>
      </c>
      <c r="D375" s="417"/>
      <c r="E375" s="417"/>
      <c r="F375" s="417"/>
      <c r="G375" s="367"/>
      <c r="H375" s="123" t="str">
        <f>_xlfn.CONCAT(_xlfn.XLOOKUP("[S05_DefaultValues][173][FuelMaterialType]",Submission!$O:$O,Submission!$H:$N,""))</f>
        <v>Węglan Wapnia</v>
      </c>
      <c r="I375" s="106" t="str">
        <f>_xlfn.CONCAT(_xlfn.XLOOKUP("[S05_DefaultValues][173][InstallationNumber]",Submission!$O:$O,Submission!$H:$N,""))</f>
        <v>17</v>
      </c>
    </row>
    <row r="376" spans="1:9" ht="15.9" hidden="1" customHeight="1" outlineLevel="1" x14ac:dyDescent="0.3">
      <c r="A376" s="13"/>
      <c r="B376" s="34"/>
      <c r="C376" s="277" t="str">
        <f>_xlfn.CONCAT(_xlfn.XLOOKUP("[S05_DefaultValues][174][InstallationCategory]",Submission!$O:$O,Submission!$H:$N,""))</f>
        <v>Category B installation</v>
      </c>
      <c r="D376" s="417"/>
      <c r="E376" s="417"/>
      <c r="F376" s="417"/>
      <c r="G376" s="367"/>
      <c r="H376" s="123" t="str">
        <f>_xlfn.CONCAT(_xlfn.XLOOKUP("[S05_DefaultValues][174][FuelMaterialType]",Submission!$O:$O,Submission!$H:$N,""))</f>
        <v>Zanieczyszczone powietrze procesowe</v>
      </c>
      <c r="I376" s="106" t="str">
        <f>_xlfn.CONCAT(_xlfn.XLOOKUP("[S05_DefaultValues][174][InstallationNumber]",Submission!$O:$O,Submission!$H:$N,""))</f>
        <v>1</v>
      </c>
    </row>
    <row r="377" spans="1:9" ht="15.9" hidden="1" customHeight="1" outlineLevel="1" x14ac:dyDescent="0.3">
      <c r="A377" s="13"/>
      <c r="B377" s="34"/>
      <c r="C377" s="277" t="str">
        <f>_xlfn.CONCAT(_xlfn.XLOOKUP("[S05_DefaultValues][175][InstallationCategory]",Submission!$O:$O,Submission!$H:$N,""))</f>
        <v>Category B installation</v>
      </c>
      <c r="D377" s="417"/>
      <c r="E377" s="417"/>
      <c r="F377" s="417"/>
      <c r="G377" s="367"/>
      <c r="H377" s="123" t="str">
        <f>_xlfn.CONCAT(_xlfn.XLOOKUP("[S05_DefaultValues][175][FuelMaterialType]",Submission!$O:$O,Submission!$H:$N,""))</f>
        <v>zasypki</v>
      </c>
      <c r="I377" s="106" t="str">
        <f>_xlfn.CONCAT(_xlfn.XLOOKUP("[S05_DefaultValues][175][InstallationNumber]",Submission!$O:$O,Submission!$H:$N,""))</f>
        <v>1</v>
      </c>
    </row>
    <row r="378" spans="1:9" ht="15.9" hidden="1" customHeight="1" outlineLevel="1" x14ac:dyDescent="0.3">
      <c r="A378" s="13"/>
      <c r="B378" s="34"/>
      <c r="C378" s="277" t="str">
        <f>_xlfn.CONCAT(_xlfn.XLOOKUP("[S05_DefaultValues][176][InstallationCategory]",Submission!$O:$O,Submission!$H:$N,""))</f>
        <v>Category B installation</v>
      </c>
      <c r="D378" s="417"/>
      <c r="E378" s="417"/>
      <c r="F378" s="417"/>
      <c r="G378" s="367"/>
      <c r="H378" s="123" t="str">
        <f>_xlfn.CONCAT(_xlfn.XLOOKUP("[S05_DefaultValues][176][FuelMaterialType]",Submission!$O:$O,Submission!$H:$N,""))</f>
        <v>Zużyte opony</v>
      </c>
      <c r="I378" s="106" t="str">
        <f>_xlfn.CONCAT(_xlfn.XLOOKUP("[S05_DefaultValues][176][InstallationNumber]",Submission!$O:$O,Submission!$H:$N,""))</f>
        <v>1</v>
      </c>
    </row>
    <row r="379" spans="1:9" ht="15.9" hidden="1" customHeight="1" outlineLevel="1" x14ac:dyDescent="0.3">
      <c r="A379" s="13"/>
      <c r="B379" s="34"/>
      <c r="C379" s="277" t="str">
        <f>_xlfn.CONCAT(_xlfn.XLOOKUP("[S05_DefaultValues][177][InstallationCategory]",Submission!$O:$O,Submission!$H:$N,""))</f>
        <v>Category B installation</v>
      </c>
      <c r="D379" s="417"/>
      <c r="E379" s="417"/>
      <c r="F379" s="417"/>
      <c r="G379" s="367"/>
      <c r="H379" s="123" t="str">
        <f>_xlfn.CONCAT(_xlfn.XLOOKUP("[S05_DefaultValues][177][FuelMaterialType]",Submission!$O:$O,Submission!$H:$N,""))</f>
        <v>Żużel</v>
      </c>
      <c r="I379" s="106" t="str">
        <f>_xlfn.CONCAT(_xlfn.XLOOKUP("[S05_DefaultValues][177][InstallationNumber]",Submission!$O:$O,Submission!$H:$N,""))</f>
        <v>1</v>
      </c>
    </row>
    <row r="380" spans="1:9" ht="15.9" hidden="1" customHeight="1" outlineLevel="1" x14ac:dyDescent="0.3">
      <c r="A380" s="13"/>
      <c r="B380" s="34"/>
      <c r="C380" s="277" t="str">
        <f>_xlfn.CONCAT(_xlfn.XLOOKUP("[S05_DefaultValues][178][InstallationCategory]",Submission!$O:$O,Submission!$H:$N,""))</f>
        <v>Category C installation</v>
      </c>
      <c r="D380" s="417"/>
      <c r="E380" s="417"/>
      <c r="F380" s="417"/>
      <c r="G380" s="367"/>
      <c r="H380" s="123" t="str">
        <f>_xlfn.CONCAT(_xlfn.XLOOKUP("[S05_DefaultValues][178][FuelMaterialType]",Submission!$O:$O,Submission!$H:$N,""))</f>
        <v>Benzyna</v>
      </c>
      <c r="I380" s="106" t="str">
        <f>_xlfn.CONCAT(_xlfn.XLOOKUP("[S05_DefaultValues][178][InstallationNumber]",Submission!$O:$O,Submission!$H:$N,""))</f>
        <v>2</v>
      </c>
    </row>
    <row r="381" spans="1:9" ht="15.9" hidden="1" customHeight="1" outlineLevel="1" x14ac:dyDescent="0.3">
      <c r="A381" s="13"/>
      <c r="B381" s="34"/>
      <c r="C381" s="277" t="str">
        <f>_xlfn.CONCAT(_xlfn.XLOOKUP("[S05_DefaultValues][179][InstallationCategory]",Submission!$O:$O,Submission!$H:$N,""))</f>
        <v>Category C installation</v>
      </c>
      <c r="D381" s="417"/>
      <c r="E381" s="417"/>
      <c r="F381" s="417"/>
      <c r="G381" s="367"/>
      <c r="H381" s="123" t="str">
        <f>_xlfn.CONCAT(_xlfn.XLOOKUP("[S05_DefaultValues][179][FuelMaterialType]",Submission!$O:$O,Submission!$H:$N,""))</f>
        <v>bezsiarkowy komponent oleju opałowego</v>
      </c>
      <c r="I381" s="106" t="str">
        <f>_xlfn.CONCAT(_xlfn.XLOOKUP("[S05_DefaultValues][179][InstallationNumber]",Submission!$O:$O,Submission!$H:$N,""))</f>
        <v>1</v>
      </c>
    </row>
    <row r="382" spans="1:9" ht="15.9" hidden="1" customHeight="1" outlineLevel="1" x14ac:dyDescent="0.3">
      <c r="A382" s="13"/>
      <c r="B382" s="34"/>
      <c r="C382" s="277" t="str">
        <f>_xlfn.CONCAT(_xlfn.XLOOKUP("[S05_DefaultValues][180][InstallationCategory]",Submission!$O:$O,Submission!$H:$N,""))</f>
        <v>Category C installation</v>
      </c>
      <c r="D382" s="417"/>
      <c r="E382" s="417"/>
      <c r="F382" s="417"/>
      <c r="G382" s="367"/>
      <c r="H382" s="123" t="str">
        <f>_xlfn.CONCAT(_xlfn.XLOOKUP("[S05_DefaultValues][180][FuelMaterialType]",Submission!$O:$O,Submission!$H:$N,""))</f>
        <v>Biomasa</v>
      </c>
      <c r="I382" s="106" t="str">
        <f>_xlfn.CONCAT(_xlfn.XLOOKUP("[S05_DefaultValues][180][InstallationNumber]",Submission!$O:$O,Submission!$H:$N,""))</f>
        <v>7</v>
      </c>
    </row>
    <row r="383" spans="1:9" ht="15.9" hidden="1" customHeight="1" outlineLevel="1" x14ac:dyDescent="0.3">
      <c r="A383" s="13"/>
      <c r="B383" s="34"/>
      <c r="C383" s="277" t="str">
        <f>_xlfn.CONCAT(_xlfn.XLOOKUP("[S05_DefaultValues][181][InstallationCategory]",Submission!$O:$O,Submission!$H:$N,""))</f>
        <v>Category C installation</v>
      </c>
      <c r="D383" s="417"/>
      <c r="E383" s="417"/>
      <c r="F383" s="417"/>
      <c r="G383" s="367"/>
      <c r="H383" s="123" t="str">
        <f>_xlfn.CONCAT(_xlfn.XLOOKUP("[S05_DefaultValues][181][FuelMaterialType]",Submission!$O:$O,Submission!$H:$N,""))</f>
        <v>Dimer</v>
      </c>
      <c r="I383" s="106" t="str">
        <f>_xlfn.CONCAT(_xlfn.XLOOKUP("[S05_DefaultValues][181][InstallationNumber]",Submission!$O:$O,Submission!$H:$N,""))</f>
        <v>1</v>
      </c>
    </row>
    <row r="384" spans="1:9" ht="15.9" hidden="1" customHeight="1" outlineLevel="1" x14ac:dyDescent="0.3">
      <c r="A384" s="13"/>
      <c r="B384" s="34"/>
      <c r="C384" s="277" t="str">
        <f>_xlfn.CONCAT(_xlfn.XLOOKUP("[S05_DefaultValues][182][InstallationCategory]",Submission!$O:$O,Submission!$H:$N,""))</f>
        <v>Category C installation</v>
      </c>
      <c r="D384" s="417"/>
      <c r="E384" s="417"/>
      <c r="F384" s="417"/>
      <c r="G384" s="367"/>
      <c r="H384" s="123" t="str">
        <f>_xlfn.CONCAT(_xlfn.XLOOKUP("[S05_DefaultValues][182][FuelMaterialType]",Submission!$O:$O,Submission!$H:$N,""))</f>
        <v>Gaz koksowniczy</v>
      </c>
      <c r="I384" s="106" t="str">
        <f>_xlfn.CONCAT(_xlfn.XLOOKUP("[S05_DefaultValues][182][InstallationNumber]",Submission!$O:$O,Submission!$H:$N,""))</f>
        <v>1</v>
      </c>
    </row>
    <row r="385" spans="1:9" ht="15.9" hidden="1" customHeight="1" outlineLevel="1" x14ac:dyDescent="0.3">
      <c r="A385" s="13"/>
      <c r="B385" s="34"/>
      <c r="C385" s="277" t="str">
        <f>_xlfn.CONCAT(_xlfn.XLOOKUP("[S05_DefaultValues][183][InstallationCategory]",Submission!$O:$O,Submission!$H:$N,""))</f>
        <v>Category C installation</v>
      </c>
      <c r="D385" s="417"/>
      <c r="E385" s="417"/>
      <c r="F385" s="417"/>
      <c r="G385" s="367"/>
      <c r="H385" s="123" t="str">
        <f>_xlfn.CONCAT(_xlfn.XLOOKUP("[S05_DefaultValues][183][FuelMaterialType]",Submission!$O:$O,Submission!$H:$N,""))</f>
        <v>Gaz LPG</v>
      </c>
      <c r="I385" s="106" t="str">
        <f>_xlfn.CONCAT(_xlfn.XLOOKUP("[S05_DefaultValues][183][InstallationNumber]",Submission!$O:$O,Submission!$H:$N,""))</f>
        <v>4</v>
      </c>
    </row>
    <row r="386" spans="1:9" ht="15.9" hidden="1" customHeight="1" outlineLevel="1" x14ac:dyDescent="0.3">
      <c r="A386" s="13"/>
      <c r="B386" s="34"/>
      <c r="C386" s="277" t="str">
        <f>_xlfn.CONCAT(_xlfn.XLOOKUP("[S05_DefaultValues][184][InstallationCategory]",Submission!$O:$O,Submission!$H:$N,""))</f>
        <v>Category C installation</v>
      </c>
      <c r="D386" s="417"/>
      <c r="E386" s="417"/>
      <c r="F386" s="417"/>
      <c r="G386" s="367"/>
      <c r="H386" s="123" t="str">
        <f>_xlfn.CONCAT(_xlfn.XLOOKUP("[S05_DefaultValues][184][FuelMaterialType]",Submission!$O:$O,Submission!$H:$N,""))</f>
        <v>gaz opałowy z HOG</v>
      </c>
      <c r="I386" s="106" t="str">
        <f>_xlfn.CONCAT(_xlfn.XLOOKUP("[S05_DefaultValues][184][InstallationNumber]",Submission!$O:$O,Submission!$H:$N,""))</f>
        <v>1</v>
      </c>
    </row>
    <row r="387" spans="1:9" ht="15.9" hidden="1" customHeight="1" outlineLevel="1" x14ac:dyDescent="0.3">
      <c r="A387" s="13"/>
      <c r="B387" s="34"/>
      <c r="C387" s="277" t="str">
        <f>_xlfn.CONCAT(_xlfn.XLOOKUP("[S05_DefaultValues][185][InstallationCategory]",Submission!$O:$O,Submission!$H:$N,""))</f>
        <v>Category C installation</v>
      </c>
      <c r="D387" s="417"/>
      <c r="E387" s="417"/>
      <c r="F387" s="417"/>
      <c r="G387" s="367"/>
      <c r="H387" s="123" t="str">
        <f>_xlfn.CONCAT(_xlfn.XLOOKUP("[S05_DefaultValues][185][FuelMaterialType]",Submission!$O:$O,Submission!$H:$N,""))</f>
        <v>gaz pooksydacyjny z Biturox</v>
      </c>
      <c r="I387" s="106" t="str">
        <f>_xlfn.CONCAT(_xlfn.XLOOKUP("[S05_DefaultValues][185][InstallationNumber]",Submission!$O:$O,Submission!$H:$N,""))</f>
        <v>1</v>
      </c>
    </row>
    <row r="388" spans="1:9" ht="15.9" hidden="1" customHeight="1" outlineLevel="1" x14ac:dyDescent="0.3">
      <c r="A388" s="13"/>
      <c r="B388" s="34"/>
      <c r="C388" s="277" t="str">
        <f>_xlfn.CONCAT(_xlfn.XLOOKUP("[S05_DefaultValues][186][InstallationCategory]",Submission!$O:$O,Submission!$H:$N,""))</f>
        <v>Category C installation</v>
      </c>
      <c r="D388" s="417"/>
      <c r="E388" s="417"/>
      <c r="F388" s="417"/>
      <c r="G388" s="367"/>
      <c r="H388" s="123" t="str">
        <f>_xlfn.CONCAT(_xlfn.XLOOKUP("[S05_DefaultValues][186][FuelMaterialType]",Submission!$O:$O,Submission!$H:$N,""))</f>
        <v>gaz pooksydacyjny z Oksydacji</v>
      </c>
      <c r="I388" s="106" t="str">
        <f>_xlfn.CONCAT(_xlfn.XLOOKUP("[S05_DefaultValues][186][InstallationNumber]",Submission!$O:$O,Submission!$H:$N,""))</f>
        <v>1</v>
      </c>
    </row>
    <row r="389" spans="1:9" ht="15.9" hidden="1" customHeight="1" outlineLevel="1" x14ac:dyDescent="0.3">
      <c r="A389" s="13"/>
      <c r="B389" s="34"/>
      <c r="C389" s="277" t="str">
        <f>_xlfn.CONCAT(_xlfn.XLOOKUP("[S05_DefaultValues][187][InstallationCategory]",Submission!$O:$O,Submission!$H:$N,""))</f>
        <v>Category C installation</v>
      </c>
      <c r="D389" s="417"/>
      <c r="E389" s="417"/>
      <c r="F389" s="417"/>
      <c r="G389" s="367"/>
      <c r="H389" s="123" t="str">
        <f>_xlfn.CONCAT(_xlfn.XLOOKUP("[S05_DefaultValues][187][FuelMaterialType]",Submission!$O:$O,Submission!$H:$N,""))</f>
        <v>Gaz propan - butan</v>
      </c>
      <c r="I389" s="106" t="str">
        <f>_xlfn.CONCAT(_xlfn.XLOOKUP("[S05_DefaultValues][187][InstallationNumber]",Submission!$O:$O,Submission!$H:$N,""))</f>
        <v>3</v>
      </c>
    </row>
    <row r="390" spans="1:9" ht="15.9" hidden="1" customHeight="1" outlineLevel="1" x14ac:dyDescent="0.3">
      <c r="A390" s="13"/>
      <c r="B390" s="34"/>
      <c r="C390" s="277" t="str">
        <f>_xlfn.CONCAT(_xlfn.XLOOKUP("[S05_DefaultValues][188][InstallationCategory]",Submission!$O:$O,Submission!$H:$N,""))</f>
        <v>Category C installation</v>
      </c>
      <c r="D390" s="417"/>
      <c r="E390" s="417"/>
      <c r="F390" s="417"/>
      <c r="G390" s="367"/>
      <c r="H390" s="123" t="str">
        <f>_xlfn.CONCAT(_xlfn.XLOOKUP("[S05_DefaultValues][188][FuelMaterialType]",Submission!$O:$O,Submission!$H:$N,""))</f>
        <v>Gaz resztkowy</v>
      </c>
      <c r="I390" s="106" t="str">
        <f>_xlfn.CONCAT(_xlfn.XLOOKUP("[S05_DefaultValues][188][InstallationNumber]",Submission!$O:$O,Submission!$H:$N,""))</f>
        <v>2</v>
      </c>
    </row>
    <row r="391" spans="1:9" ht="15.9" hidden="1" customHeight="1" outlineLevel="1" x14ac:dyDescent="0.3">
      <c r="A391" s="13"/>
      <c r="B391" s="34"/>
      <c r="C391" s="277" t="str">
        <f>_xlfn.CONCAT(_xlfn.XLOOKUP("[S05_DefaultValues][189][InstallationCategory]",Submission!$O:$O,Submission!$H:$N,""))</f>
        <v>Category C installation</v>
      </c>
      <c r="D391" s="417"/>
      <c r="E391" s="417"/>
      <c r="F391" s="417"/>
      <c r="G391" s="367"/>
      <c r="H391" s="123" t="str">
        <f>_xlfn.CONCAT(_xlfn.XLOOKUP("[S05_DefaultValues][189][FuelMaterialType]",Submission!$O:$O,Submission!$H:$N,""))</f>
        <v>gaz siarkowodorowy</v>
      </c>
      <c r="I391" s="106" t="str">
        <f>_xlfn.CONCAT(_xlfn.XLOOKUP("[S05_DefaultValues][189][InstallationNumber]",Submission!$O:$O,Submission!$H:$N,""))</f>
        <v>1</v>
      </c>
    </row>
    <row r="392" spans="1:9" ht="15.9" hidden="1" customHeight="1" outlineLevel="1" x14ac:dyDescent="0.3">
      <c r="A392" s="13"/>
      <c r="B392" s="34"/>
      <c r="C392" s="277" t="str">
        <f>_xlfn.CONCAT(_xlfn.XLOOKUP("[S05_DefaultValues][190][InstallationCategory]",Submission!$O:$O,Submission!$H:$N,""))</f>
        <v>Category C installation</v>
      </c>
      <c r="D392" s="417"/>
      <c r="E392" s="417"/>
      <c r="F392" s="417"/>
      <c r="G392" s="367"/>
      <c r="H392" s="123" t="str">
        <f>_xlfn.CONCAT(_xlfn.XLOOKUP("[S05_DefaultValues][190][FuelMaterialType]",Submission!$O:$O,Submission!$H:$N,""))</f>
        <v>gaz siarkowodorowy z amoniakiem</v>
      </c>
      <c r="I392" s="106" t="str">
        <f>_xlfn.CONCAT(_xlfn.XLOOKUP("[S05_DefaultValues][190][InstallationNumber]",Submission!$O:$O,Submission!$H:$N,""))</f>
        <v>1</v>
      </c>
    </row>
    <row r="393" spans="1:9" ht="15.9" hidden="1" customHeight="1" outlineLevel="1" x14ac:dyDescent="0.3">
      <c r="A393" s="13"/>
      <c r="B393" s="34"/>
      <c r="C393" s="277" t="str">
        <f>_xlfn.CONCAT(_xlfn.XLOOKUP("[S05_DefaultValues][191][InstallationCategory]",Submission!$O:$O,Submission!$H:$N,""))</f>
        <v>Category C installation</v>
      </c>
      <c r="D393" s="417"/>
      <c r="E393" s="417"/>
      <c r="F393" s="417"/>
      <c r="G393" s="367"/>
      <c r="H393" s="123" t="str">
        <f>_xlfn.CONCAT(_xlfn.XLOOKUP("[S05_DefaultValues][191][FuelMaterialType]",Submission!$O:$O,Submission!$H:$N,""))</f>
        <v>Gaz Specjalny</v>
      </c>
      <c r="I393" s="106" t="str">
        <f>_xlfn.CONCAT(_xlfn.XLOOKUP("[S05_DefaultValues][191][InstallationNumber]",Submission!$O:$O,Submission!$H:$N,""))</f>
        <v>6</v>
      </c>
    </row>
    <row r="394" spans="1:9" ht="15.9" hidden="1" customHeight="1" outlineLevel="1" x14ac:dyDescent="0.3">
      <c r="A394" s="13"/>
      <c r="B394" s="34"/>
      <c r="C394" s="277" t="str">
        <f>_xlfn.CONCAT(_xlfn.XLOOKUP("[S05_DefaultValues][192][InstallationCategory]",Submission!$O:$O,Submission!$H:$N,""))</f>
        <v>Category C installation</v>
      </c>
      <c r="D394" s="417"/>
      <c r="E394" s="417"/>
      <c r="F394" s="417"/>
      <c r="G394" s="367"/>
      <c r="H394" s="123" t="str">
        <f>_xlfn.CONCAT(_xlfn.XLOOKUP("[S05_DefaultValues][192][FuelMaterialType]",Submission!$O:$O,Submission!$H:$N,""))</f>
        <v>gaz własny z Hydrokrakingu</v>
      </c>
      <c r="I394" s="106" t="str">
        <f>_xlfn.CONCAT(_xlfn.XLOOKUP("[S05_DefaultValues][192][InstallationNumber]",Submission!$O:$O,Submission!$H:$N,""))</f>
        <v>1</v>
      </c>
    </row>
    <row r="395" spans="1:9" ht="15.9" hidden="1" customHeight="1" outlineLevel="1" x14ac:dyDescent="0.3">
      <c r="A395" s="13"/>
      <c r="B395" s="34"/>
      <c r="C395" s="277" t="str">
        <f>_xlfn.CONCAT(_xlfn.XLOOKUP("[S05_DefaultValues][193][InstallationCategory]",Submission!$O:$O,Submission!$H:$N,""))</f>
        <v>Category C installation</v>
      </c>
      <c r="D395" s="417"/>
      <c r="E395" s="417"/>
      <c r="F395" s="417"/>
      <c r="G395" s="367"/>
      <c r="H395" s="123" t="str">
        <f>_xlfn.CONCAT(_xlfn.XLOOKUP("[S05_DefaultValues][193][FuelMaterialType]",Submission!$O:$O,Submission!$H:$N,""))</f>
        <v xml:space="preserve">gaz wysokociśnieniowy (mieszanina gazów rafineryjnych i gazu ziemnego) </v>
      </c>
      <c r="I395" s="106" t="str">
        <f>_xlfn.CONCAT(_xlfn.XLOOKUP("[S05_DefaultValues][193][InstallationNumber]",Submission!$O:$O,Submission!$H:$N,""))</f>
        <v>1</v>
      </c>
    </row>
    <row r="396" spans="1:9" ht="15.9" hidden="1" customHeight="1" outlineLevel="1" x14ac:dyDescent="0.3">
      <c r="A396" s="13"/>
      <c r="B396" s="34"/>
      <c r="C396" s="277" t="str">
        <f>_xlfn.CONCAT(_xlfn.XLOOKUP("[S05_DefaultValues][194][InstallationCategory]",Submission!$O:$O,Submission!$H:$N,""))</f>
        <v>Category C installation</v>
      </c>
      <c r="D396" s="417"/>
      <c r="E396" s="417"/>
      <c r="F396" s="417"/>
      <c r="G396" s="367"/>
      <c r="H396" s="123" t="str">
        <f>_xlfn.CONCAT(_xlfn.XLOOKUP("[S05_DefaultValues][194][FuelMaterialType]",Submission!$O:$O,Submission!$H:$N,""))</f>
        <v>gaz ziemny wysokometanowy</v>
      </c>
      <c r="I396" s="106" t="str">
        <f>_xlfn.CONCAT(_xlfn.XLOOKUP("[S05_DefaultValues][194][InstallationNumber]",Submission!$O:$O,Submission!$H:$N,""))</f>
        <v>5</v>
      </c>
    </row>
    <row r="397" spans="1:9" ht="15.9" hidden="1" customHeight="1" outlineLevel="1" x14ac:dyDescent="0.3">
      <c r="A397" s="13"/>
      <c r="B397" s="34"/>
      <c r="C397" s="277" t="str">
        <f>_xlfn.CONCAT(_xlfn.XLOOKUP("[S05_DefaultValues][195][InstallationCategory]",Submission!$O:$O,Submission!$H:$N,""))</f>
        <v>Category C installation</v>
      </c>
      <c r="D397" s="417"/>
      <c r="E397" s="417"/>
      <c r="F397" s="417"/>
      <c r="G397" s="367"/>
      <c r="H397" s="123" t="str">
        <f>_xlfn.CONCAT(_xlfn.XLOOKUP("[S05_DefaultValues][195][FuelMaterialType]",Submission!$O:$O,Submission!$H:$N,""))</f>
        <v>Gazy złowonne</v>
      </c>
      <c r="I397" s="106" t="str">
        <f>_xlfn.CONCAT(_xlfn.XLOOKUP("[S05_DefaultValues][195][InstallationNumber]",Submission!$O:$O,Submission!$H:$N,""))</f>
        <v>1</v>
      </c>
    </row>
    <row r="398" spans="1:9" ht="15.9" hidden="1" customHeight="1" outlineLevel="1" x14ac:dyDescent="0.3">
      <c r="A398" s="13"/>
      <c r="B398" s="34"/>
      <c r="C398" s="277" t="str">
        <f>_xlfn.CONCAT(_xlfn.XLOOKUP("[S05_DefaultValues][196][InstallationCategory]",Submission!$O:$O,Submission!$H:$N,""))</f>
        <v>Category C installation</v>
      </c>
      <c r="D398" s="417"/>
      <c r="E398" s="417"/>
      <c r="F398" s="417"/>
      <c r="G398" s="367"/>
      <c r="H398" s="123" t="str">
        <f>_xlfn.CONCAT(_xlfn.XLOOKUP("[S05_DefaultValues][196][FuelMaterialType]",Submission!$O:$O,Submission!$H:$N,""))</f>
        <v>Kamień wapienny</v>
      </c>
      <c r="I398" s="106" t="str">
        <f>_xlfn.CONCAT(_xlfn.XLOOKUP("[S05_DefaultValues][196][InstallationNumber]",Submission!$O:$O,Submission!$H:$N,""))</f>
        <v>4</v>
      </c>
    </row>
    <row r="399" spans="1:9" ht="15.9" hidden="1" customHeight="1" outlineLevel="1" x14ac:dyDescent="0.3">
      <c r="A399" s="13"/>
      <c r="B399" s="34"/>
      <c r="C399" s="277" t="str">
        <f>_xlfn.CONCAT(_xlfn.XLOOKUP("[S05_DefaultValues][197][InstallationCategory]",Submission!$O:$O,Submission!$H:$N,""))</f>
        <v>Category C installation</v>
      </c>
      <c r="D399" s="417"/>
      <c r="E399" s="417"/>
      <c r="F399" s="417"/>
      <c r="G399" s="367"/>
      <c r="H399" s="123" t="str">
        <f>_xlfn.CONCAT(_xlfn.XLOOKUP("[S05_DefaultValues][197][FuelMaterialType]",Submission!$O:$O,Submission!$H:$N,""))</f>
        <v>Koks</v>
      </c>
      <c r="I399" s="106" t="str">
        <f>_xlfn.CONCAT(_xlfn.XLOOKUP("[S05_DefaultValues][197][InstallationNumber]",Submission!$O:$O,Submission!$H:$N,""))</f>
        <v>6</v>
      </c>
    </row>
    <row r="400" spans="1:9" ht="15.9" hidden="1" customHeight="1" outlineLevel="1" x14ac:dyDescent="0.3">
      <c r="A400" s="13"/>
      <c r="B400" s="34"/>
      <c r="C400" s="277" t="str">
        <f>_xlfn.CONCAT(_xlfn.XLOOKUP("[S05_DefaultValues][198][InstallationCategory]",Submission!$O:$O,Submission!$H:$N,""))</f>
        <v>Category C installation</v>
      </c>
      <c r="D400" s="417"/>
      <c r="E400" s="417"/>
      <c r="F400" s="417"/>
      <c r="G400" s="367"/>
      <c r="H400" s="123" t="str">
        <f>_xlfn.CONCAT(_xlfn.XLOOKUP("[S05_DefaultValues][198][FuelMaterialType]",Submission!$O:$O,Submission!$H:$N,""))</f>
        <v>Mazut</v>
      </c>
      <c r="I400" s="106" t="str">
        <f>_xlfn.CONCAT(_xlfn.XLOOKUP("[S05_DefaultValues][198][InstallationNumber]",Submission!$O:$O,Submission!$H:$N,""))</f>
        <v>9</v>
      </c>
    </row>
    <row r="401" spans="1:9" ht="15.9" hidden="1" customHeight="1" outlineLevel="1" x14ac:dyDescent="0.3">
      <c r="A401" s="13"/>
      <c r="B401" s="34"/>
      <c r="C401" s="277" t="str">
        <f>_xlfn.CONCAT(_xlfn.XLOOKUP("[S05_DefaultValues][199][InstallationCategory]",Submission!$O:$O,Submission!$H:$N,""))</f>
        <v>Category C installation</v>
      </c>
      <c r="D401" s="417"/>
      <c r="E401" s="417"/>
      <c r="F401" s="417"/>
      <c r="G401" s="367"/>
      <c r="H401" s="123" t="str">
        <f>_xlfn.CONCAT(_xlfn.XLOOKUP("[S05_DefaultValues][199][FuelMaterialType]",Submission!$O:$O,Submission!$H:$N,""))</f>
        <v>Mocznik</v>
      </c>
      <c r="I401" s="106" t="str">
        <f>_xlfn.CONCAT(_xlfn.XLOOKUP("[S05_DefaultValues][199][InstallationNumber]",Submission!$O:$O,Submission!$H:$N,""))</f>
        <v>1</v>
      </c>
    </row>
    <row r="402" spans="1:9" ht="15.9" hidden="1" customHeight="1" outlineLevel="1" x14ac:dyDescent="0.3">
      <c r="A402" s="13"/>
      <c r="B402" s="34"/>
      <c r="C402" s="277" t="str">
        <f>_xlfn.CONCAT(_xlfn.XLOOKUP("[S05_DefaultValues][200][InstallationCategory]",Submission!$O:$O,Submission!$H:$N,""))</f>
        <v>Category C installation</v>
      </c>
      <c r="D402" s="417"/>
      <c r="E402" s="417"/>
      <c r="F402" s="417"/>
      <c r="G402" s="367"/>
      <c r="H402" s="123" t="str">
        <f>_xlfn.CONCAT(_xlfn.XLOOKUP("[S05_DefaultValues][200][FuelMaterialType]",Submission!$O:$O,Submission!$H:$N,""))</f>
        <v>odgazy z procesów napełniania zbiorników</v>
      </c>
      <c r="I402" s="106" t="str">
        <f>_xlfn.CONCAT(_xlfn.XLOOKUP("[S05_DefaultValues][200][InstallationNumber]",Submission!$O:$O,Submission!$H:$N,""))</f>
        <v>1</v>
      </c>
    </row>
    <row r="403" spans="1:9" ht="15.9" hidden="1" customHeight="1" outlineLevel="1" x14ac:dyDescent="0.3">
      <c r="A403" s="13"/>
      <c r="B403" s="34"/>
      <c r="C403" s="277" t="str">
        <f>_xlfn.CONCAT(_xlfn.XLOOKUP("[S05_DefaultValues][201][InstallationCategory]",Submission!$O:$O,Submission!$H:$N,""))</f>
        <v>Category C installation</v>
      </c>
      <c r="D403" s="417"/>
      <c r="E403" s="417"/>
      <c r="F403" s="417"/>
      <c r="G403" s="367"/>
      <c r="H403" s="123" t="str">
        <f>_xlfn.CONCAT(_xlfn.XLOOKUP("[S05_DefaultValues][201][FuelMaterialType]",Submission!$O:$O,Submission!$H:$N,""))</f>
        <v>Odpady przemysłowe</v>
      </c>
      <c r="I403" s="106" t="str">
        <f>_xlfn.CONCAT(_xlfn.XLOOKUP("[S05_DefaultValues][201][InstallationNumber]",Submission!$O:$O,Submission!$H:$N,""))</f>
        <v>1</v>
      </c>
    </row>
    <row r="404" spans="1:9" ht="15.9" hidden="1" customHeight="1" outlineLevel="1" x14ac:dyDescent="0.3">
      <c r="A404" s="13"/>
      <c r="B404" s="34"/>
      <c r="C404" s="277" t="str">
        <f>_xlfn.CONCAT(_xlfn.XLOOKUP("[S05_DefaultValues][202][InstallationCategory]",Submission!$O:$O,Submission!$H:$N,""))</f>
        <v>Category C installation</v>
      </c>
      <c r="D404" s="417"/>
      <c r="E404" s="417"/>
      <c r="F404" s="417"/>
      <c r="G404" s="367"/>
      <c r="H404" s="123" t="str">
        <f>_xlfn.CONCAT(_xlfn.XLOOKUP("[S05_DefaultValues][202][FuelMaterialType]",Submission!$O:$O,Submission!$H:$N,""))</f>
        <v>Olej napędowy</v>
      </c>
      <c r="I404" s="106" t="str">
        <f>_xlfn.CONCAT(_xlfn.XLOOKUP("[S05_DefaultValues][202][InstallationNumber]",Submission!$O:$O,Submission!$H:$N,""))</f>
        <v>33</v>
      </c>
    </row>
    <row r="405" spans="1:9" ht="15.9" hidden="1" customHeight="1" outlineLevel="1" x14ac:dyDescent="0.3">
      <c r="A405" s="13"/>
      <c r="B405" s="34"/>
      <c r="C405" s="277" t="str">
        <f>_xlfn.CONCAT(_xlfn.XLOOKUP("[S05_DefaultValues][203][InstallationCategory]",Submission!$O:$O,Submission!$H:$N,""))</f>
        <v>Category C installation</v>
      </c>
      <c r="D405" s="417"/>
      <c r="E405" s="417"/>
      <c r="F405" s="417"/>
      <c r="G405" s="367"/>
      <c r="H405" s="123" t="str">
        <f>_xlfn.CONCAT(_xlfn.XLOOKUP("[S05_DefaultValues][203][FuelMaterialType]",Submission!$O:$O,Submission!$H:$N,""))</f>
        <v>Olej opałowy bardzo lekki</v>
      </c>
      <c r="I405" s="106" t="str">
        <f>_xlfn.CONCAT(_xlfn.XLOOKUP("[S05_DefaultValues][203][InstallationNumber]",Submission!$O:$O,Submission!$H:$N,""))</f>
        <v>5</v>
      </c>
    </row>
    <row r="406" spans="1:9" ht="15.9" hidden="1" customHeight="1" outlineLevel="1" x14ac:dyDescent="0.3">
      <c r="A406" s="13"/>
      <c r="B406" s="34"/>
      <c r="C406" s="277" t="str">
        <f>_xlfn.CONCAT(_xlfn.XLOOKUP("[S05_DefaultValues][204][InstallationCategory]",Submission!$O:$O,Submission!$H:$N,""))</f>
        <v>Category C installation</v>
      </c>
      <c r="D406" s="417"/>
      <c r="E406" s="417"/>
      <c r="F406" s="417"/>
      <c r="G406" s="367"/>
      <c r="H406" s="123" t="str">
        <f>_xlfn.CONCAT(_xlfn.XLOOKUP("[S05_DefaultValues][204][FuelMaterialType]",Submission!$O:$O,Submission!$H:$N,""))</f>
        <v>Olej opałowy ciężki</v>
      </c>
      <c r="I406" s="106" t="str">
        <f>_xlfn.CONCAT(_xlfn.XLOOKUP("[S05_DefaultValues][204][InstallationNumber]",Submission!$O:$O,Submission!$H:$N,""))</f>
        <v>6</v>
      </c>
    </row>
    <row r="407" spans="1:9" ht="15.9" hidden="1" customHeight="1" outlineLevel="1" x14ac:dyDescent="0.3">
      <c r="A407" s="13"/>
      <c r="B407" s="34"/>
      <c r="C407" s="277" t="str">
        <f>_xlfn.CONCAT(_xlfn.XLOOKUP("[S05_DefaultValues][205][InstallationCategory]",Submission!$O:$O,Submission!$H:$N,""))</f>
        <v>Category C installation</v>
      </c>
      <c r="D407" s="417"/>
      <c r="E407" s="417"/>
      <c r="F407" s="417"/>
      <c r="G407" s="367"/>
      <c r="H407" s="123" t="str">
        <f>_xlfn.CONCAT(_xlfn.XLOOKUP("[S05_DefaultValues][205][FuelMaterialType]",Submission!$O:$O,Submission!$H:$N,""))</f>
        <v>Olej opałowy lekki</v>
      </c>
      <c r="I407" s="106" t="str">
        <f>_xlfn.CONCAT(_xlfn.XLOOKUP("[S05_DefaultValues][205][InstallationNumber]",Submission!$O:$O,Submission!$H:$N,""))</f>
        <v>37</v>
      </c>
    </row>
    <row r="408" spans="1:9" ht="15.9" hidden="1" customHeight="1" outlineLevel="1" x14ac:dyDescent="0.3">
      <c r="A408" s="13"/>
      <c r="B408" s="34"/>
      <c r="C408" s="277" t="str">
        <f>_xlfn.CONCAT(_xlfn.XLOOKUP("[S05_DefaultValues][206][InstallationCategory]",Submission!$O:$O,Submission!$H:$N,""))</f>
        <v>Category C installation</v>
      </c>
      <c r="D408" s="417"/>
      <c r="E408" s="417"/>
      <c r="F408" s="417"/>
      <c r="G408" s="367"/>
      <c r="H408" s="123" t="str">
        <f>_xlfn.CONCAT(_xlfn.XLOOKUP("[S05_DefaultValues][206][FuelMaterialType]",Submission!$O:$O,Submission!$H:$N,""))</f>
        <v>Olej opałowy średni</v>
      </c>
      <c r="I408" s="106" t="str">
        <f>_xlfn.CONCAT(_xlfn.XLOOKUP("[S05_DefaultValues][206][InstallationNumber]",Submission!$O:$O,Submission!$H:$N,""))</f>
        <v>1</v>
      </c>
    </row>
    <row r="409" spans="1:9" ht="15.9" hidden="1" customHeight="1" outlineLevel="1" x14ac:dyDescent="0.3">
      <c r="A409" s="13"/>
      <c r="B409" s="34"/>
      <c r="C409" s="277" t="str">
        <f>_xlfn.CONCAT(_xlfn.XLOOKUP("[S05_DefaultValues][207][InstallationCategory]",Submission!$O:$O,Submission!$H:$N,""))</f>
        <v>Category C installation</v>
      </c>
      <c r="D409" s="417"/>
      <c r="E409" s="417"/>
      <c r="F409" s="417"/>
      <c r="G409" s="367"/>
      <c r="H409" s="123" t="str">
        <f>_xlfn.CONCAT(_xlfn.XLOOKUP("[S05_DefaultValues][207][FuelMaterialType]",Submission!$O:$O,Submission!$H:$N,""))</f>
        <v>Paliwa alternatywne</v>
      </c>
      <c r="I409" s="106" t="str">
        <f>_xlfn.CONCAT(_xlfn.XLOOKUP("[S05_DefaultValues][207][InstallationNumber]",Submission!$O:$O,Submission!$H:$N,""))</f>
        <v>3</v>
      </c>
    </row>
    <row r="410" spans="1:9" ht="15.9" hidden="1" customHeight="1" outlineLevel="1" x14ac:dyDescent="0.3">
      <c r="A410" s="13"/>
      <c r="B410" s="34"/>
      <c r="C410" s="277" t="str">
        <f>_xlfn.CONCAT(_xlfn.XLOOKUP("[S05_DefaultValues][208][InstallationCategory]",Submission!$O:$O,Submission!$H:$N,""))</f>
        <v>Category C installation</v>
      </c>
      <c r="D410" s="417"/>
      <c r="E410" s="417"/>
      <c r="F410" s="417"/>
      <c r="G410" s="367"/>
      <c r="H410" s="123" t="str">
        <f>_xlfn.CONCAT(_xlfn.XLOOKUP("[S05_DefaultValues][208][FuelMaterialType]",Submission!$O:$O,Submission!$H:$N,""))</f>
        <v>Propan</v>
      </c>
      <c r="I410" s="106" t="str">
        <f>_xlfn.CONCAT(_xlfn.XLOOKUP("[S05_DefaultValues][208][InstallationNumber]",Submission!$O:$O,Submission!$H:$N,""))</f>
        <v>3</v>
      </c>
    </row>
    <row r="411" spans="1:9" ht="15.9" hidden="1" customHeight="1" outlineLevel="1" x14ac:dyDescent="0.3">
      <c r="A411" s="13"/>
      <c r="B411" s="34"/>
      <c r="C411" s="277" t="str">
        <f>_xlfn.CONCAT(_xlfn.XLOOKUP("[S05_DefaultValues][209][InstallationCategory]",Submission!$O:$O,Submission!$H:$N,""))</f>
        <v>Category C installation</v>
      </c>
      <c r="D411" s="417"/>
      <c r="E411" s="417"/>
      <c r="F411" s="417"/>
      <c r="G411" s="367"/>
      <c r="H411" s="123" t="str">
        <f>_xlfn.CONCAT(_xlfn.XLOOKUP("[S05_DefaultValues][209][FuelMaterialType]",Submission!$O:$O,Submission!$H:$N,""))</f>
        <v>Soda</v>
      </c>
      <c r="I411" s="106" t="str">
        <f>_xlfn.CONCAT(_xlfn.XLOOKUP("[S05_DefaultValues][209][InstallationNumber]",Submission!$O:$O,Submission!$H:$N,""))</f>
        <v>1</v>
      </c>
    </row>
    <row r="412" spans="1:9" ht="15.9" hidden="1" customHeight="1" outlineLevel="1" x14ac:dyDescent="0.3">
      <c r="A412" s="13"/>
      <c r="B412" s="34"/>
      <c r="C412" s="277" t="str">
        <f>_xlfn.CONCAT(_xlfn.XLOOKUP("[S05_DefaultValues][210][InstallationCategory]",Submission!$O:$O,Submission!$H:$N,""))</f>
        <v>Category C installation</v>
      </c>
      <c r="D412" s="417"/>
      <c r="E412" s="417"/>
      <c r="F412" s="417"/>
      <c r="G412" s="367"/>
      <c r="H412" s="123" t="str">
        <f>_xlfn.CONCAT(_xlfn.XLOOKUP("[S05_DefaultValues][210][FuelMaterialType]",Submission!$O:$O,Submission!$H:$N,""))</f>
        <v>Sorbent Wapienny</v>
      </c>
      <c r="I412" s="106" t="str">
        <f>_xlfn.CONCAT(_xlfn.XLOOKUP("[S05_DefaultValues][210][InstallationNumber]",Submission!$O:$O,Submission!$H:$N,""))</f>
        <v>2</v>
      </c>
    </row>
    <row r="413" spans="1:9" ht="15.9" hidden="1" customHeight="1" outlineLevel="1" x14ac:dyDescent="0.3">
      <c r="A413" s="13"/>
      <c r="B413" s="34"/>
      <c r="C413" s="277" t="str">
        <f>_xlfn.CONCAT(_xlfn.XLOOKUP("[S05_DefaultValues][211][InstallationCategory]",Submission!$O:$O,Submission!$H:$N,""))</f>
        <v>Category C installation</v>
      </c>
      <c r="D413" s="417"/>
      <c r="E413" s="417"/>
      <c r="F413" s="417"/>
      <c r="G413" s="367"/>
      <c r="H413" s="123" t="str">
        <f>_xlfn.CONCAT(_xlfn.XLOOKUP("[S05_DefaultValues][211][FuelMaterialType]",Submission!$O:$O,Submission!$H:$N,""))</f>
        <v>Węgiel kamienny</v>
      </c>
      <c r="I413" s="106" t="str">
        <f>_xlfn.CONCAT(_xlfn.XLOOKUP("[S05_DefaultValues][211][InstallationNumber]",Submission!$O:$O,Submission!$H:$N,""))</f>
        <v>3</v>
      </c>
    </row>
    <row r="414" spans="1:9" ht="15.9" hidden="1" customHeight="1" outlineLevel="1" x14ac:dyDescent="0.3">
      <c r="A414" s="13"/>
      <c r="B414" s="34"/>
      <c r="C414" s="277" t="str">
        <f>_xlfn.CONCAT(_xlfn.XLOOKUP("[S05_DefaultValues][212][InstallationCategory]",Submission!$O:$O,Submission!$H:$N,""))</f>
        <v>Category C installation</v>
      </c>
      <c r="D414" s="417"/>
      <c r="E414" s="417"/>
      <c r="F414" s="417"/>
      <c r="G414" s="367"/>
      <c r="H414" s="123" t="str">
        <f>_xlfn.CONCAT(_xlfn.XLOOKUP("[S05_DefaultValues][212][FuelMaterialType]",Submission!$O:$O,Submission!$H:$N,""))</f>
        <v>Węglan Magnezu</v>
      </c>
      <c r="I414" s="106" t="str">
        <f>_xlfn.CONCAT(_xlfn.XLOOKUP("[S05_DefaultValues][212][InstallationNumber]",Submission!$O:$O,Submission!$H:$N,""))</f>
        <v>3</v>
      </c>
    </row>
    <row r="415" spans="1:9" ht="15.9" hidden="1" customHeight="1" outlineLevel="1" x14ac:dyDescent="0.3">
      <c r="A415" s="13"/>
      <c r="B415" s="34"/>
      <c r="C415" s="277" t="str">
        <f>_xlfn.CONCAT(_xlfn.XLOOKUP("[S05_DefaultValues][213][InstallationCategory]",Submission!$O:$O,Submission!$H:$N,""))</f>
        <v>Category C installation</v>
      </c>
      <c r="D415" s="417"/>
      <c r="E415" s="417"/>
      <c r="F415" s="417"/>
      <c r="G415" s="367"/>
      <c r="H415" s="123" t="str">
        <f>_xlfn.CONCAT(_xlfn.XLOOKUP("[S05_DefaultValues][213][FuelMaterialType]",Submission!$O:$O,Submission!$H:$N,""))</f>
        <v>Węglan wapnia</v>
      </c>
      <c r="I415" s="106" t="str">
        <f>_xlfn.CONCAT(_xlfn.XLOOKUP("[S05_DefaultValues][213][InstallationNumber]",Submission!$O:$O,Submission!$H:$N,""))</f>
        <v>3</v>
      </c>
    </row>
    <row r="416" spans="1:9" ht="15.9" hidden="1" customHeight="1" outlineLevel="1" x14ac:dyDescent="0.3">
      <c r="A416" s="13"/>
      <c r="B416" s="34"/>
      <c r="C416" s="277" t="str">
        <f>_xlfn.CONCAT(_xlfn.XLOOKUP("[S05_DefaultValues][214][InstallationCategory]",Submission!$O:$O,Submission!$H:$N,""))</f>
        <v>Category C installation</v>
      </c>
      <c r="D416" s="417"/>
      <c r="E416" s="417"/>
      <c r="F416" s="417"/>
      <c r="G416" s="367"/>
      <c r="H416" s="123" t="str">
        <f>_xlfn.CONCAT(_xlfn.XLOOKUP("[S05_DefaultValues][214][FuelMaterialType]",Submission!$O:$O,Submission!$H:$N,""))</f>
        <v>Zużyte opony</v>
      </c>
      <c r="I416" s="106" t="str">
        <f>_xlfn.CONCAT(_xlfn.XLOOKUP("[S05_DefaultValues][214][InstallationNumber]",Submission!$O:$O,Submission!$H:$N,""))</f>
        <v>6</v>
      </c>
    </row>
    <row r="417" spans="1:9" ht="15.9" hidden="1" customHeight="1" outlineLevel="1" x14ac:dyDescent="0.3">
      <c r="A417" s="13"/>
      <c r="B417" s="34"/>
      <c r="C417" s="277" t="str">
        <f>_xlfn.CONCAT(_xlfn.XLOOKUP("[S05_DefaultValues][215][InstallationCategory]",Submission!$O:$O,Submission!$H:$N,""))</f>
        <v/>
      </c>
      <c r="D417" s="417"/>
      <c r="E417" s="417"/>
      <c r="F417" s="417"/>
      <c r="G417" s="36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7" t="str">
        <f>_xlfn.CONCAT(_xlfn.XLOOKUP("[S05_DefaultValues][216][InstallationCategory]",Submission!$O:$O,Submission!$H:$N,""))</f>
        <v/>
      </c>
      <c r="D418" s="417"/>
      <c r="E418" s="417"/>
      <c r="F418" s="417"/>
      <c r="G418" s="36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7" t="str">
        <f>_xlfn.CONCAT(_xlfn.XLOOKUP("[S05_DefaultValues][217][InstallationCategory]",Submission!$O:$O,Submission!$H:$N,""))</f>
        <v/>
      </c>
      <c r="D419" s="417"/>
      <c r="E419" s="417"/>
      <c r="F419" s="417"/>
      <c r="G419" s="36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7" t="str">
        <f>_xlfn.CONCAT(_xlfn.XLOOKUP("[S05_DefaultValues][218][InstallationCategory]",Submission!$O:$O,Submission!$H:$N,""))</f>
        <v/>
      </c>
      <c r="D420" s="417"/>
      <c r="E420" s="417"/>
      <c r="F420" s="417"/>
      <c r="G420" s="36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7" t="str">
        <f>_xlfn.CONCAT(_xlfn.XLOOKUP("[S05_DefaultValues][219][InstallationCategory]",Submission!$O:$O,Submission!$H:$N,""))</f>
        <v/>
      </c>
      <c r="D421" s="417"/>
      <c r="E421" s="417"/>
      <c r="F421" s="417"/>
      <c r="G421" s="36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7" t="str">
        <f>_xlfn.CONCAT(_xlfn.XLOOKUP("[S05_DefaultValues][220][InstallationCategory]",Submission!$O:$O,Submission!$H:$N,""))</f>
        <v/>
      </c>
      <c r="D422" s="417"/>
      <c r="E422" s="417"/>
      <c r="F422" s="417"/>
      <c r="G422" s="36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7" t="str">
        <f>_xlfn.CONCAT(_xlfn.XLOOKUP("[S05_DefaultValues][221][InstallationCategory]",Submission!$O:$O,Submission!$H:$N,""))</f>
        <v/>
      </c>
      <c r="D423" s="417"/>
      <c r="E423" s="417"/>
      <c r="F423" s="417"/>
      <c r="G423" s="36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7" t="str">
        <f>_xlfn.CONCAT(_xlfn.XLOOKUP("[S05_DefaultValues][222][InstallationCategory]",Submission!$O:$O,Submission!$H:$N,""))</f>
        <v/>
      </c>
      <c r="D424" s="417"/>
      <c r="E424" s="417"/>
      <c r="F424" s="417"/>
      <c r="G424" s="36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7" t="str">
        <f>_xlfn.CONCAT(_xlfn.XLOOKUP("[S05_DefaultValues][223][InstallationCategory]",Submission!$O:$O,Submission!$H:$N,""))</f>
        <v/>
      </c>
      <c r="D425" s="417"/>
      <c r="E425" s="417"/>
      <c r="F425" s="417"/>
      <c r="G425" s="36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7" t="str">
        <f>_xlfn.CONCAT(_xlfn.XLOOKUP("[S05_DefaultValues][224][InstallationCategory]",Submission!$O:$O,Submission!$H:$N,""))</f>
        <v/>
      </c>
      <c r="D426" s="417"/>
      <c r="E426" s="417"/>
      <c r="F426" s="417"/>
      <c r="G426" s="36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7" t="str">
        <f>_xlfn.CONCAT(_xlfn.XLOOKUP("[S05_DefaultValues][225][InstallationCategory]",Submission!$O:$O,Submission!$H:$N,""))</f>
        <v/>
      </c>
      <c r="D427" s="417"/>
      <c r="E427" s="417"/>
      <c r="F427" s="417"/>
      <c r="G427" s="36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7" t="str">
        <f>_xlfn.CONCAT(_xlfn.XLOOKUP("[S05_DefaultValues][226][InstallationCategory]",Submission!$O:$O,Submission!$H:$N,""))</f>
        <v/>
      </c>
      <c r="D428" s="417"/>
      <c r="E428" s="417"/>
      <c r="F428" s="417"/>
      <c r="G428" s="36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7" t="str">
        <f>_xlfn.CONCAT(_xlfn.XLOOKUP("[S05_DefaultValues][227][InstallationCategory]",Submission!$O:$O,Submission!$H:$N,""))</f>
        <v/>
      </c>
      <c r="D429" s="417"/>
      <c r="E429" s="417"/>
      <c r="F429" s="417"/>
      <c r="G429" s="36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7" t="str">
        <f>_xlfn.CONCAT(_xlfn.XLOOKUP("[S05_DefaultValues][228][InstallationCategory]",Submission!$O:$O,Submission!$H:$N,""))</f>
        <v/>
      </c>
      <c r="D430" s="417"/>
      <c r="E430" s="417"/>
      <c r="F430" s="417"/>
      <c r="G430" s="36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7" t="str">
        <f>_xlfn.CONCAT(_xlfn.XLOOKUP("[S05_DefaultValues][229][InstallationCategory]",Submission!$O:$O,Submission!$H:$N,""))</f>
        <v/>
      </c>
      <c r="D431" s="417"/>
      <c r="E431" s="417"/>
      <c r="F431" s="417"/>
      <c r="G431" s="36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7" t="str">
        <f>_xlfn.CONCAT(_xlfn.XLOOKUP("[S05_DefaultValues][230][InstallationCategory]",Submission!$O:$O,Submission!$H:$N,""))</f>
        <v/>
      </c>
      <c r="D432" s="417"/>
      <c r="E432" s="417"/>
      <c r="F432" s="417"/>
      <c r="G432" s="36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7" t="str">
        <f>_xlfn.CONCAT(_xlfn.XLOOKUP("[S05_DefaultValues][231][InstallationCategory]",Submission!$O:$O,Submission!$H:$N,""))</f>
        <v/>
      </c>
      <c r="D433" s="417"/>
      <c r="E433" s="417"/>
      <c r="F433" s="417"/>
      <c r="G433" s="36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7" t="str">
        <f>_xlfn.CONCAT(_xlfn.XLOOKUP("[S05_DefaultValues][232][InstallationCategory]",Submission!$O:$O,Submission!$H:$N,""))</f>
        <v/>
      </c>
      <c r="D434" s="417"/>
      <c r="E434" s="417"/>
      <c r="F434" s="417"/>
      <c r="G434" s="36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7" t="str">
        <f>_xlfn.CONCAT(_xlfn.XLOOKUP("[S05_DefaultValues][233][InstallationCategory]",Submission!$O:$O,Submission!$H:$N,""))</f>
        <v/>
      </c>
      <c r="D435" s="417"/>
      <c r="E435" s="417"/>
      <c r="F435" s="417"/>
      <c r="G435" s="36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7" t="str">
        <f>_xlfn.CONCAT(_xlfn.XLOOKUP("[S05_DefaultValues][234][InstallationCategory]",Submission!$O:$O,Submission!$H:$N,""))</f>
        <v/>
      </c>
      <c r="D436" s="417"/>
      <c r="E436" s="417"/>
      <c r="F436" s="417"/>
      <c r="G436" s="36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7" t="str">
        <f>_xlfn.CONCAT(_xlfn.XLOOKUP("[S05_DefaultValues][235][InstallationCategory]",Submission!$O:$O,Submission!$H:$N,""))</f>
        <v/>
      </c>
      <c r="D437" s="417"/>
      <c r="E437" s="417"/>
      <c r="F437" s="417"/>
      <c r="G437" s="36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7" t="str">
        <f>_xlfn.CONCAT(_xlfn.XLOOKUP("[S05_DefaultValues][236][InstallationCategory]",Submission!$O:$O,Submission!$H:$N,""))</f>
        <v/>
      </c>
      <c r="D438" s="417"/>
      <c r="E438" s="417"/>
      <c r="F438" s="417"/>
      <c r="G438" s="36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7" t="str">
        <f>_xlfn.CONCAT(_xlfn.XLOOKUP("[S05_DefaultValues][237][InstallationCategory]",Submission!$O:$O,Submission!$H:$N,""))</f>
        <v/>
      </c>
      <c r="D439" s="417"/>
      <c r="E439" s="417"/>
      <c r="F439" s="417"/>
      <c r="G439" s="36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7" t="str">
        <f>_xlfn.CONCAT(_xlfn.XLOOKUP("[S05_DefaultValues][238][InstallationCategory]",Submission!$O:$O,Submission!$H:$N,""))</f>
        <v/>
      </c>
      <c r="D440" s="417"/>
      <c r="E440" s="417"/>
      <c r="F440" s="417"/>
      <c r="G440" s="36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7" t="str">
        <f>_xlfn.CONCAT(_xlfn.XLOOKUP("[S05_DefaultValues][239][InstallationCategory]",Submission!$O:$O,Submission!$H:$N,""))</f>
        <v/>
      </c>
      <c r="D441" s="417"/>
      <c r="E441" s="417"/>
      <c r="F441" s="417"/>
      <c r="G441" s="36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7" t="str">
        <f>_xlfn.CONCAT(_xlfn.XLOOKUP("[S05_DefaultValues][240][InstallationCategory]",Submission!$O:$O,Submission!$H:$N,""))</f>
        <v/>
      </c>
      <c r="D442" s="417"/>
      <c r="E442" s="417"/>
      <c r="F442" s="417"/>
      <c r="G442" s="36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7" t="str">
        <f>_xlfn.CONCAT(_xlfn.XLOOKUP("[S05_DefaultValues][241][InstallationCategory]",Submission!$O:$O,Submission!$H:$N,""))</f>
        <v/>
      </c>
      <c r="D443" s="417"/>
      <c r="E443" s="417"/>
      <c r="F443" s="417"/>
      <c r="G443" s="36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7" t="str">
        <f>_xlfn.CONCAT(_xlfn.XLOOKUP("[S05_DefaultValues][242][InstallationCategory]",Submission!$O:$O,Submission!$H:$N,""))</f>
        <v/>
      </c>
      <c r="D444" s="417"/>
      <c r="E444" s="417"/>
      <c r="F444" s="417"/>
      <c r="G444" s="36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7" t="str">
        <f>_xlfn.CONCAT(_xlfn.XLOOKUP("[S05_DefaultValues][243][InstallationCategory]",Submission!$O:$O,Submission!$H:$N,""))</f>
        <v/>
      </c>
      <c r="D445" s="417"/>
      <c r="E445" s="417"/>
      <c r="F445" s="417"/>
      <c r="G445" s="36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7" t="str">
        <f>_xlfn.CONCAT(_xlfn.XLOOKUP("[S05_DefaultValues][244][InstallationCategory]",Submission!$O:$O,Submission!$H:$N,""))</f>
        <v/>
      </c>
      <c r="D446" s="417"/>
      <c r="E446" s="417"/>
      <c r="F446" s="417"/>
      <c r="G446" s="36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7" t="str">
        <f>_xlfn.CONCAT(_xlfn.XLOOKUP("[S05_DefaultValues][245][InstallationCategory]",Submission!$O:$O,Submission!$H:$N,""))</f>
        <v/>
      </c>
      <c r="D447" s="417"/>
      <c r="E447" s="417"/>
      <c r="F447" s="417"/>
      <c r="G447" s="36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7" t="str">
        <f>_xlfn.CONCAT(_xlfn.XLOOKUP("[S05_DefaultValues][246][InstallationCategory]",Submission!$O:$O,Submission!$H:$N,""))</f>
        <v/>
      </c>
      <c r="D448" s="417"/>
      <c r="E448" s="417"/>
      <c r="F448" s="417"/>
      <c r="G448" s="36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7" t="str">
        <f>_xlfn.CONCAT(_xlfn.XLOOKUP("[S05_DefaultValues][247][InstallationCategory]",Submission!$O:$O,Submission!$H:$N,""))</f>
        <v/>
      </c>
      <c r="D449" s="417"/>
      <c r="E449" s="417"/>
      <c r="F449" s="417"/>
      <c r="G449" s="36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7" t="str">
        <f>_xlfn.CONCAT(_xlfn.XLOOKUP("[S05_DefaultValues][248][InstallationCategory]",Submission!$O:$O,Submission!$H:$N,""))</f>
        <v/>
      </c>
      <c r="D450" s="417"/>
      <c r="E450" s="417"/>
      <c r="F450" s="417"/>
      <c r="G450" s="36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7" t="str">
        <f>_xlfn.CONCAT(_xlfn.XLOOKUP("[S05_DefaultValues][249][InstallationCategory]",Submission!$O:$O,Submission!$H:$N,""))</f>
        <v/>
      </c>
      <c r="D451" s="417"/>
      <c r="E451" s="417"/>
      <c r="F451" s="417"/>
      <c r="G451" s="36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7" t="str">
        <f>_xlfn.CONCAT(_xlfn.XLOOKUP("[S05_DefaultValues][250][InstallationCategory]",Submission!$O:$O,Submission!$H:$N,""))</f>
        <v/>
      </c>
      <c r="D452" s="417"/>
      <c r="E452" s="417"/>
      <c r="F452" s="417"/>
      <c r="G452" s="36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7" t="str">
        <f>_xlfn.CONCAT(_xlfn.XLOOKUP("[S05_DefaultValues][251][InstallationCategory]",Submission!$O:$O,Submission!$H:$N,""))</f>
        <v/>
      </c>
      <c r="D453" s="417"/>
      <c r="E453" s="417"/>
      <c r="F453" s="417"/>
      <c r="G453" s="36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7" t="str">
        <f>_xlfn.CONCAT(_xlfn.XLOOKUP("[S05_DefaultValues][252][InstallationCategory]",Submission!$O:$O,Submission!$H:$N,""))</f>
        <v/>
      </c>
      <c r="D454" s="417"/>
      <c r="E454" s="417"/>
      <c r="F454" s="417"/>
      <c r="G454" s="36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7" t="str">
        <f>_xlfn.CONCAT(_xlfn.XLOOKUP("[S05_DefaultValues][253][InstallationCategory]",Submission!$O:$O,Submission!$H:$N,""))</f>
        <v/>
      </c>
      <c r="D455" s="417"/>
      <c r="E455" s="417"/>
      <c r="F455" s="417"/>
      <c r="G455" s="36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7" t="str">
        <f>_xlfn.CONCAT(_xlfn.XLOOKUP("[S05_DefaultValues][254][InstallationCategory]",Submission!$O:$O,Submission!$H:$N,""))</f>
        <v/>
      </c>
      <c r="D456" s="417"/>
      <c r="E456" s="417"/>
      <c r="F456" s="417"/>
      <c r="G456" s="36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7" t="str">
        <f>_xlfn.CONCAT(_xlfn.XLOOKUP("[S05_DefaultValues][255][InstallationCategory]",Submission!$O:$O,Submission!$H:$N,""))</f>
        <v/>
      </c>
      <c r="D457" s="417"/>
      <c r="E457" s="417"/>
      <c r="F457" s="417"/>
      <c r="G457" s="36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7" t="str">
        <f>_xlfn.CONCAT(_xlfn.XLOOKUP("[S05_DefaultValues][256][InstallationCategory]",Submission!$O:$O,Submission!$H:$N,""))</f>
        <v/>
      </c>
      <c r="D458" s="417"/>
      <c r="E458" s="417"/>
      <c r="F458" s="417"/>
      <c r="G458" s="36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7" t="str">
        <f>_xlfn.CONCAT(_xlfn.XLOOKUP("[S05_DefaultValues][257][InstallationCategory]",Submission!$O:$O,Submission!$H:$N,""))</f>
        <v/>
      </c>
      <c r="D459" s="417"/>
      <c r="E459" s="417"/>
      <c r="F459" s="417"/>
      <c r="G459" s="36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7" t="str">
        <f>_xlfn.CONCAT(_xlfn.XLOOKUP("[S05_DefaultValues][258][InstallationCategory]",Submission!$O:$O,Submission!$H:$N,""))</f>
        <v/>
      </c>
      <c r="D460" s="417"/>
      <c r="E460" s="417"/>
      <c r="F460" s="417"/>
      <c r="G460" s="36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7" t="str">
        <f>_xlfn.CONCAT(_xlfn.XLOOKUP("[S05_DefaultValues][259][InstallationCategory]",Submission!$O:$O,Submission!$H:$N,""))</f>
        <v/>
      </c>
      <c r="D461" s="417"/>
      <c r="E461" s="417"/>
      <c r="F461" s="417"/>
      <c r="G461" s="36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7" t="str">
        <f>_xlfn.CONCAT(_xlfn.XLOOKUP("[S05_DefaultValues][260][InstallationCategory]",Submission!$O:$O,Submission!$H:$N,""))</f>
        <v/>
      </c>
      <c r="D462" s="417"/>
      <c r="E462" s="417"/>
      <c r="F462" s="417"/>
      <c r="G462" s="36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7" t="str">
        <f>_xlfn.CONCAT(_xlfn.XLOOKUP("[S05_DefaultValues][261][InstallationCategory]",Submission!$O:$O,Submission!$H:$N,""))</f>
        <v/>
      </c>
      <c r="D463" s="417"/>
      <c r="E463" s="417"/>
      <c r="F463" s="417"/>
      <c r="G463" s="36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7" t="str">
        <f>_xlfn.CONCAT(_xlfn.XLOOKUP("[S05_DefaultValues][262][InstallationCategory]",Submission!$O:$O,Submission!$H:$N,""))</f>
        <v/>
      </c>
      <c r="D464" s="417"/>
      <c r="E464" s="417"/>
      <c r="F464" s="417"/>
      <c r="G464" s="36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7" t="str">
        <f>_xlfn.CONCAT(_xlfn.XLOOKUP("[S05_DefaultValues][263][InstallationCategory]",Submission!$O:$O,Submission!$H:$N,""))</f>
        <v/>
      </c>
      <c r="D465" s="417"/>
      <c r="E465" s="417"/>
      <c r="F465" s="417"/>
      <c r="G465" s="36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7" t="str">
        <f>_xlfn.CONCAT(_xlfn.XLOOKUP("[S05_DefaultValues][264][InstallationCategory]",Submission!$O:$O,Submission!$H:$N,""))</f>
        <v/>
      </c>
      <c r="D466" s="417"/>
      <c r="E466" s="417"/>
      <c r="F466" s="417"/>
      <c r="G466" s="36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7" t="str">
        <f>_xlfn.CONCAT(_xlfn.XLOOKUP("[S05_DefaultValues][265][InstallationCategory]",Submission!$O:$O,Submission!$H:$N,""))</f>
        <v/>
      </c>
      <c r="D467" s="417"/>
      <c r="E467" s="417"/>
      <c r="F467" s="417"/>
      <c r="G467" s="36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7" t="str">
        <f>_xlfn.CONCAT(_xlfn.XLOOKUP("[S05_DefaultValues][266][InstallationCategory]",Submission!$O:$O,Submission!$H:$N,""))</f>
        <v/>
      </c>
      <c r="D468" s="417"/>
      <c r="E468" s="417"/>
      <c r="F468" s="417"/>
      <c r="G468" s="36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7" t="str">
        <f>_xlfn.CONCAT(_xlfn.XLOOKUP("[S05_DefaultValues][267][InstallationCategory]",Submission!$O:$O,Submission!$H:$N,""))</f>
        <v/>
      </c>
      <c r="D469" s="417"/>
      <c r="E469" s="417"/>
      <c r="F469" s="417"/>
      <c r="G469" s="36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7" t="str">
        <f>_xlfn.CONCAT(_xlfn.XLOOKUP("[S05_DefaultValues][268][InstallationCategory]",Submission!$O:$O,Submission!$H:$N,""))</f>
        <v/>
      </c>
      <c r="D470" s="417"/>
      <c r="E470" s="417"/>
      <c r="F470" s="417"/>
      <c r="G470" s="36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7" t="str">
        <f>_xlfn.CONCAT(_xlfn.XLOOKUP("[S05_DefaultValues][269][InstallationCategory]",Submission!$O:$O,Submission!$H:$N,""))</f>
        <v/>
      </c>
      <c r="D471" s="417"/>
      <c r="E471" s="417"/>
      <c r="F471" s="417"/>
      <c r="G471" s="36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7" t="str">
        <f>_xlfn.CONCAT(_xlfn.XLOOKUP("[S05_DefaultValues][270][InstallationCategory]",Submission!$O:$O,Submission!$H:$N,""))</f>
        <v/>
      </c>
      <c r="D472" s="417"/>
      <c r="E472" s="417"/>
      <c r="F472" s="417"/>
      <c r="G472" s="36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7" t="str">
        <f>_xlfn.CONCAT(_xlfn.XLOOKUP("[S05_DefaultValues][271][InstallationCategory]",Submission!$O:$O,Submission!$H:$N,""))</f>
        <v/>
      </c>
      <c r="D473" s="417"/>
      <c r="E473" s="417"/>
      <c r="F473" s="417"/>
      <c r="G473" s="36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7" t="str">
        <f>_xlfn.CONCAT(_xlfn.XLOOKUP("[S05_DefaultValues][272][InstallationCategory]",Submission!$O:$O,Submission!$H:$N,""))</f>
        <v/>
      </c>
      <c r="D474" s="417"/>
      <c r="E474" s="417"/>
      <c r="F474" s="417"/>
      <c r="G474" s="36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7" t="str">
        <f>_xlfn.CONCAT(_xlfn.XLOOKUP("[S05_DefaultValues][273][InstallationCategory]",Submission!$O:$O,Submission!$H:$N,""))</f>
        <v/>
      </c>
      <c r="D475" s="417"/>
      <c r="E475" s="417"/>
      <c r="F475" s="417"/>
      <c r="G475" s="36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7" t="str">
        <f>_xlfn.CONCAT(_xlfn.XLOOKUP("[S05_DefaultValues][274][InstallationCategory]",Submission!$O:$O,Submission!$H:$N,""))</f>
        <v/>
      </c>
      <c r="D476" s="417"/>
      <c r="E476" s="417"/>
      <c r="F476" s="417"/>
      <c r="G476" s="36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7" t="str">
        <f>_xlfn.CONCAT(_xlfn.XLOOKUP("[S05_DefaultValues][275][InstallationCategory]",Submission!$O:$O,Submission!$H:$N,""))</f>
        <v/>
      </c>
      <c r="D477" s="417"/>
      <c r="E477" s="417"/>
      <c r="F477" s="417"/>
      <c r="G477" s="36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7" t="str">
        <f>_xlfn.CONCAT(_xlfn.XLOOKUP("[S05_DefaultValues][276][InstallationCategory]",Submission!$O:$O,Submission!$H:$N,""))</f>
        <v/>
      </c>
      <c r="D478" s="417"/>
      <c r="E478" s="417"/>
      <c r="F478" s="417"/>
      <c r="G478" s="36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7" t="str">
        <f>_xlfn.CONCAT(_xlfn.XLOOKUP("[S05_DefaultValues][277][InstallationCategory]",Submission!$O:$O,Submission!$H:$N,""))</f>
        <v/>
      </c>
      <c r="D479" s="417"/>
      <c r="E479" s="417"/>
      <c r="F479" s="417"/>
      <c r="G479" s="36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7" t="str">
        <f>_xlfn.CONCAT(_xlfn.XLOOKUP("[S05_DefaultValues][278][InstallationCategory]",Submission!$O:$O,Submission!$H:$N,""))</f>
        <v/>
      </c>
      <c r="D480" s="417"/>
      <c r="E480" s="417"/>
      <c r="F480" s="417"/>
      <c r="G480" s="36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7" t="str">
        <f>_xlfn.CONCAT(_xlfn.XLOOKUP("[S05_DefaultValues][279][InstallationCategory]",Submission!$O:$O,Submission!$H:$N,""))</f>
        <v/>
      </c>
      <c r="D481" s="417"/>
      <c r="E481" s="417"/>
      <c r="F481" s="417"/>
      <c r="G481" s="36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7" t="str">
        <f>_xlfn.CONCAT(_xlfn.XLOOKUP("[S05_DefaultValues][280][InstallationCategory]",Submission!$O:$O,Submission!$H:$N,""))</f>
        <v/>
      </c>
      <c r="D482" s="417"/>
      <c r="E482" s="417"/>
      <c r="F482" s="417"/>
      <c r="G482" s="36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7" t="str">
        <f>_xlfn.CONCAT(_xlfn.XLOOKUP("[S05_DefaultValues][281][InstallationCategory]",Submission!$O:$O,Submission!$H:$N,""))</f>
        <v/>
      </c>
      <c r="D483" s="417"/>
      <c r="E483" s="417"/>
      <c r="F483" s="417"/>
      <c r="G483" s="36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7" t="str">
        <f>_xlfn.CONCAT(_xlfn.XLOOKUP("[S05_DefaultValues][282][InstallationCategory]",Submission!$O:$O,Submission!$H:$N,""))</f>
        <v/>
      </c>
      <c r="D484" s="417"/>
      <c r="E484" s="417"/>
      <c r="F484" s="417"/>
      <c r="G484" s="36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7" t="str">
        <f>_xlfn.CONCAT(_xlfn.XLOOKUP("[S05_DefaultValues][283][InstallationCategory]",Submission!$O:$O,Submission!$H:$N,""))</f>
        <v/>
      </c>
      <c r="D485" s="417"/>
      <c r="E485" s="417"/>
      <c r="F485" s="417"/>
      <c r="G485" s="36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7" t="str">
        <f>_xlfn.CONCAT(_xlfn.XLOOKUP("[S05_DefaultValues][284][InstallationCategory]",Submission!$O:$O,Submission!$H:$N,""))</f>
        <v/>
      </c>
      <c r="D486" s="417"/>
      <c r="E486" s="417"/>
      <c r="F486" s="417"/>
      <c r="G486" s="36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7" t="str">
        <f>_xlfn.CONCAT(_xlfn.XLOOKUP("[S05_DefaultValues][285][InstallationCategory]",Submission!$O:$O,Submission!$H:$N,""))</f>
        <v/>
      </c>
      <c r="D487" s="417"/>
      <c r="E487" s="417"/>
      <c r="F487" s="417"/>
      <c r="G487" s="36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7" t="str">
        <f>_xlfn.CONCAT(_xlfn.XLOOKUP("[S05_DefaultValues][286][InstallationCategory]",Submission!$O:$O,Submission!$H:$N,""))</f>
        <v/>
      </c>
      <c r="D488" s="417"/>
      <c r="E488" s="417"/>
      <c r="F488" s="417"/>
      <c r="G488" s="36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7" t="str">
        <f>_xlfn.CONCAT(_xlfn.XLOOKUP("[S05_DefaultValues][287][InstallationCategory]",Submission!$O:$O,Submission!$H:$N,""))</f>
        <v/>
      </c>
      <c r="D489" s="417"/>
      <c r="E489" s="417"/>
      <c r="F489" s="417"/>
      <c r="G489" s="36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7" t="str">
        <f>_xlfn.CONCAT(_xlfn.XLOOKUP("[S05_DefaultValues][288][InstallationCategory]",Submission!$O:$O,Submission!$H:$N,""))</f>
        <v/>
      </c>
      <c r="D490" s="417"/>
      <c r="E490" s="417"/>
      <c r="F490" s="417"/>
      <c r="G490" s="36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7" t="str">
        <f>_xlfn.CONCAT(_xlfn.XLOOKUP("[S05_DefaultValues][289][InstallationCategory]",Submission!$O:$O,Submission!$H:$N,""))</f>
        <v/>
      </c>
      <c r="D491" s="417"/>
      <c r="E491" s="417"/>
      <c r="F491" s="417"/>
      <c r="G491" s="36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7" t="str">
        <f>_xlfn.CONCAT(_xlfn.XLOOKUP("[S05_DefaultValues][290][InstallationCategory]",Submission!$O:$O,Submission!$H:$N,""))</f>
        <v/>
      </c>
      <c r="D492" s="417"/>
      <c r="E492" s="417"/>
      <c r="F492" s="417"/>
      <c r="G492" s="36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7" t="str">
        <f>_xlfn.CONCAT(_xlfn.XLOOKUP("[S05_DefaultValues][291][InstallationCategory]",Submission!$O:$O,Submission!$H:$N,""))</f>
        <v/>
      </c>
      <c r="D493" s="417"/>
      <c r="E493" s="417"/>
      <c r="F493" s="417"/>
      <c r="G493" s="36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7" t="str">
        <f>_xlfn.CONCAT(_xlfn.XLOOKUP("[S05_DefaultValues][292][InstallationCategory]",Submission!$O:$O,Submission!$H:$N,""))</f>
        <v/>
      </c>
      <c r="D494" s="417"/>
      <c r="E494" s="417"/>
      <c r="F494" s="417"/>
      <c r="G494" s="36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7" t="str">
        <f>_xlfn.CONCAT(_xlfn.XLOOKUP("[S05_DefaultValues][293][InstallationCategory]",Submission!$O:$O,Submission!$H:$N,""))</f>
        <v/>
      </c>
      <c r="D495" s="417"/>
      <c r="E495" s="417"/>
      <c r="F495" s="417"/>
      <c r="G495" s="36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7" t="str">
        <f>_xlfn.CONCAT(_xlfn.XLOOKUP("[S05_DefaultValues][294][InstallationCategory]",Submission!$O:$O,Submission!$H:$N,""))</f>
        <v/>
      </c>
      <c r="D496" s="417"/>
      <c r="E496" s="417"/>
      <c r="F496" s="417"/>
      <c r="G496" s="36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7" t="str">
        <f>_xlfn.CONCAT(_xlfn.XLOOKUP("[S05_DefaultValues][295][InstallationCategory]",Submission!$O:$O,Submission!$H:$N,""))</f>
        <v/>
      </c>
      <c r="D497" s="417"/>
      <c r="E497" s="417"/>
      <c r="F497" s="417"/>
      <c r="G497" s="36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7" t="str">
        <f>_xlfn.CONCAT(_xlfn.XLOOKUP("[S05_DefaultValues][296][InstallationCategory]",Submission!$O:$O,Submission!$H:$N,""))</f>
        <v/>
      </c>
      <c r="D498" s="417"/>
      <c r="E498" s="417"/>
      <c r="F498" s="417"/>
      <c r="G498" s="36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7" t="str">
        <f>_xlfn.CONCAT(_xlfn.XLOOKUP("[S05_DefaultValues][297][InstallationCategory]",Submission!$O:$O,Submission!$H:$N,""))</f>
        <v/>
      </c>
      <c r="D499" s="417"/>
      <c r="E499" s="417"/>
      <c r="F499" s="417"/>
      <c r="G499" s="36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7" t="str">
        <f>_xlfn.CONCAT(_xlfn.XLOOKUP("[S05_DefaultValues][298][InstallationCategory]",Submission!$O:$O,Submission!$H:$N,""))</f>
        <v/>
      </c>
      <c r="D500" s="417"/>
      <c r="E500" s="417"/>
      <c r="F500" s="417"/>
      <c r="G500" s="36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7" t="str">
        <f>_xlfn.CONCAT(_xlfn.XLOOKUP("[S05_DefaultValues][299][InstallationCategory]",Submission!$O:$O,Submission!$H:$N,""))</f>
        <v/>
      </c>
      <c r="D501" s="417"/>
      <c r="E501" s="417"/>
      <c r="F501" s="417"/>
      <c r="G501" s="36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7" t="str">
        <f>_xlfn.CONCAT(_xlfn.XLOOKUP("[S05_DefaultValues][300][InstallationCategory]",Submission!$O:$O,Submission!$H:$N,""))</f>
        <v/>
      </c>
      <c r="D502" s="417"/>
      <c r="E502" s="417"/>
      <c r="F502" s="417"/>
      <c r="G502" s="36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7" t="str">
        <f>_xlfn.CONCAT(_xlfn.XLOOKUP("[S05_DefaultValues][301][InstallationCategory]",Submission!$O:$O,Submission!$H:$N,""))</f>
        <v/>
      </c>
      <c r="D503" s="417"/>
      <c r="E503" s="417"/>
      <c r="F503" s="417"/>
      <c r="G503" s="36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7" t="str">
        <f>_xlfn.CONCAT(_xlfn.XLOOKUP("[S05_DefaultValues][302][InstallationCategory]",Submission!$O:$O,Submission!$H:$N,""))</f>
        <v/>
      </c>
      <c r="D504" s="417"/>
      <c r="E504" s="417"/>
      <c r="F504" s="417"/>
      <c r="G504" s="36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7" t="str">
        <f>_xlfn.CONCAT(_xlfn.XLOOKUP("[S05_DefaultValues][303][InstallationCategory]",Submission!$O:$O,Submission!$H:$N,""))</f>
        <v/>
      </c>
      <c r="D505" s="417"/>
      <c r="E505" s="417"/>
      <c r="F505" s="417"/>
      <c r="G505" s="36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7" t="str">
        <f>_xlfn.CONCAT(_xlfn.XLOOKUP("[S05_DefaultValues][304][InstallationCategory]",Submission!$O:$O,Submission!$H:$N,""))</f>
        <v/>
      </c>
      <c r="D506" s="417"/>
      <c r="E506" s="417"/>
      <c r="F506" s="417"/>
      <c r="G506" s="36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7" t="str">
        <f>_xlfn.CONCAT(_xlfn.XLOOKUP("[S05_DefaultValues][305][InstallationCategory]",Submission!$O:$O,Submission!$H:$N,""))</f>
        <v/>
      </c>
      <c r="D507" s="417"/>
      <c r="E507" s="417"/>
      <c r="F507" s="417"/>
      <c r="G507" s="36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7" t="str">
        <f>_xlfn.CONCAT(_xlfn.XLOOKUP("[S05_DefaultValues][306][InstallationCategory]",Submission!$O:$O,Submission!$H:$N,""))</f>
        <v/>
      </c>
      <c r="D508" s="417"/>
      <c r="E508" s="417"/>
      <c r="F508" s="417"/>
      <c r="G508" s="36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7" t="str">
        <f>_xlfn.CONCAT(_xlfn.XLOOKUP("[S05_DefaultValues][307][InstallationCategory]",Submission!$O:$O,Submission!$H:$N,""))</f>
        <v/>
      </c>
      <c r="D509" s="417"/>
      <c r="E509" s="417"/>
      <c r="F509" s="417"/>
      <c r="G509" s="36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7" t="str">
        <f>_xlfn.CONCAT(_xlfn.XLOOKUP("[S05_DefaultValues][308][InstallationCategory]",Submission!$O:$O,Submission!$H:$N,""))</f>
        <v/>
      </c>
      <c r="D510" s="417"/>
      <c r="E510" s="417"/>
      <c r="F510" s="417"/>
      <c r="G510" s="36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7" t="str">
        <f>_xlfn.CONCAT(_xlfn.XLOOKUP("[S05_DefaultValues][309][InstallationCategory]",Submission!$O:$O,Submission!$H:$N,""))</f>
        <v/>
      </c>
      <c r="D511" s="417"/>
      <c r="E511" s="417"/>
      <c r="F511" s="417"/>
      <c r="G511" s="36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7" t="str">
        <f>_xlfn.CONCAT(_xlfn.XLOOKUP("[S05_DefaultValues][310][InstallationCategory]",Submission!$O:$O,Submission!$H:$N,""))</f>
        <v/>
      </c>
      <c r="D512" s="417"/>
      <c r="E512" s="417"/>
      <c r="F512" s="417"/>
      <c r="G512" s="36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7" t="str">
        <f>_xlfn.CONCAT(_xlfn.XLOOKUP("[S05_DefaultValues][311][InstallationCategory]",Submission!$O:$O,Submission!$H:$N,""))</f>
        <v/>
      </c>
      <c r="D513" s="417"/>
      <c r="E513" s="417"/>
      <c r="F513" s="417"/>
      <c r="G513" s="36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7" t="str">
        <f>_xlfn.CONCAT(_xlfn.XLOOKUP("[S05_DefaultValues][312][InstallationCategory]",Submission!$O:$O,Submission!$H:$N,""))</f>
        <v/>
      </c>
      <c r="D514" s="417"/>
      <c r="E514" s="417"/>
      <c r="F514" s="417"/>
      <c r="G514" s="36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7" t="str">
        <f>_xlfn.CONCAT(_xlfn.XLOOKUP("[S05_DefaultValues][313][InstallationCategory]",Submission!$O:$O,Submission!$H:$N,""))</f>
        <v/>
      </c>
      <c r="D515" s="417"/>
      <c r="E515" s="417"/>
      <c r="F515" s="417"/>
      <c r="G515" s="36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7" t="str">
        <f>_xlfn.CONCAT(_xlfn.XLOOKUP("[S05_DefaultValues][314][InstallationCategory]",Submission!$O:$O,Submission!$H:$N,""))</f>
        <v/>
      </c>
      <c r="D516" s="417"/>
      <c r="E516" s="417"/>
      <c r="F516" s="417"/>
      <c r="G516" s="36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7" t="str">
        <f>_xlfn.CONCAT(_xlfn.XLOOKUP("[S05_DefaultValues][315][InstallationCategory]",Submission!$O:$O,Submission!$H:$N,""))</f>
        <v/>
      </c>
      <c r="D517" s="417"/>
      <c r="E517" s="417"/>
      <c r="F517" s="417"/>
      <c r="G517" s="36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7" t="str">
        <f>_xlfn.CONCAT(_xlfn.XLOOKUP("[S05_DefaultValues][316][InstallationCategory]",Submission!$O:$O,Submission!$H:$N,""))</f>
        <v/>
      </c>
      <c r="D518" s="417"/>
      <c r="E518" s="417"/>
      <c r="F518" s="417"/>
      <c r="G518" s="36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7" t="str">
        <f>_xlfn.CONCAT(_xlfn.XLOOKUP("[S05_DefaultValues][317][InstallationCategory]",Submission!$O:$O,Submission!$H:$N,""))</f>
        <v/>
      </c>
      <c r="D519" s="417"/>
      <c r="E519" s="417"/>
      <c r="F519" s="417"/>
      <c r="G519" s="36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7" t="str">
        <f>_xlfn.CONCAT(_xlfn.XLOOKUP("[S05_DefaultValues][318][InstallationCategory]",Submission!$O:$O,Submission!$H:$N,""))</f>
        <v/>
      </c>
      <c r="D520" s="417"/>
      <c r="E520" s="417"/>
      <c r="F520" s="417"/>
      <c r="G520" s="36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7" t="str">
        <f>_xlfn.CONCAT(_xlfn.XLOOKUP("[S05_DefaultValues][319][InstallationCategory]",Submission!$O:$O,Submission!$H:$N,""))</f>
        <v/>
      </c>
      <c r="D521" s="417"/>
      <c r="E521" s="417"/>
      <c r="F521" s="417"/>
      <c r="G521" s="36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7" t="str">
        <f>_xlfn.CONCAT(_xlfn.XLOOKUP("[S05_DefaultValues][320][InstallationCategory]",Submission!$O:$O,Submission!$H:$N,""))</f>
        <v/>
      </c>
      <c r="D522" s="417"/>
      <c r="E522" s="417"/>
      <c r="F522" s="417"/>
      <c r="G522" s="36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7" t="str">
        <f>_xlfn.CONCAT(_xlfn.XLOOKUP("[S05_DefaultValues][321][InstallationCategory]",Submission!$O:$O,Submission!$H:$N,""))</f>
        <v/>
      </c>
      <c r="D523" s="417"/>
      <c r="E523" s="417"/>
      <c r="F523" s="417"/>
      <c r="G523" s="36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7" t="str">
        <f>_xlfn.CONCAT(_xlfn.XLOOKUP("[S05_DefaultValues][322][InstallationCategory]",Submission!$O:$O,Submission!$H:$N,""))</f>
        <v/>
      </c>
      <c r="D524" s="417"/>
      <c r="E524" s="417"/>
      <c r="F524" s="417"/>
      <c r="G524" s="36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7" t="str">
        <f>_xlfn.CONCAT(_xlfn.XLOOKUP("[S05_DefaultValues][323][InstallationCategory]",Submission!$O:$O,Submission!$H:$N,""))</f>
        <v/>
      </c>
      <c r="D525" s="417"/>
      <c r="E525" s="417"/>
      <c r="F525" s="417"/>
      <c r="G525" s="36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7" t="str">
        <f>_xlfn.CONCAT(_xlfn.XLOOKUP("[S05_DefaultValues][324][InstallationCategory]",Submission!$O:$O,Submission!$H:$N,""))</f>
        <v/>
      </c>
      <c r="D526" s="417"/>
      <c r="E526" s="417"/>
      <c r="F526" s="417"/>
      <c r="G526" s="36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7" t="str">
        <f>_xlfn.CONCAT(_xlfn.XLOOKUP("[S05_DefaultValues][325][InstallationCategory]",Submission!$O:$O,Submission!$H:$N,""))</f>
        <v/>
      </c>
      <c r="D527" s="417"/>
      <c r="E527" s="417"/>
      <c r="F527" s="417"/>
      <c r="G527" s="36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7" t="str">
        <f>_xlfn.CONCAT(_xlfn.XLOOKUP("[S05_DefaultValues][326][InstallationCategory]",Submission!$O:$O,Submission!$H:$N,""))</f>
        <v/>
      </c>
      <c r="D528" s="417"/>
      <c r="E528" s="417"/>
      <c r="F528" s="417"/>
      <c r="G528" s="36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7" t="str">
        <f>_xlfn.CONCAT(_xlfn.XLOOKUP("[S05_DefaultValues][327][InstallationCategory]",Submission!$O:$O,Submission!$H:$N,""))</f>
        <v/>
      </c>
      <c r="D529" s="417"/>
      <c r="E529" s="417"/>
      <c r="F529" s="417"/>
      <c r="G529" s="36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7" t="str">
        <f>_xlfn.CONCAT(_xlfn.XLOOKUP("[S05_DefaultValues][328][InstallationCategory]",Submission!$O:$O,Submission!$H:$N,""))</f>
        <v/>
      </c>
      <c r="D530" s="417"/>
      <c r="E530" s="417"/>
      <c r="F530" s="417"/>
      <c r="G530" s="36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7" t="str">
        <f>_xlfn.CONCAT(_xlfn.XLOOKUP("[S05_DefaultValues][329][InstallationCategory]",Submission!$O:$O,Submission!$H:$N,""))</f>
        <v/>
      </c>
      <c r="D531" s="417"/>
      <c r="E531" s="417"/>
      <c r="F531" s="417"/>
      <c r="G531" s="36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7" t="str">
        <f>_xlfn.CONCAT(_xlfn.XLOOKUP("[S05_DefaultValues][330][InstallationCategory]",Submission!$O:$O,Submission!$H:$N,""))</f>
        <v/>
      </c>
      <c r="D532" s="417"/>
      <c r="E532" s="417"/>
      <c r="F532" s="417"/>
      <c r="G532" s="36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7" t="str">
        <f>_xlfn.CONCAT(_xlfn.XLOOKUP("[S05_DefaultValues][331][InstallationCategory]",Submission!$O:$O,Submission!$H:$N,""))</f>
        <v/>
      </c>
      <c r="D533" s="417"/>
      <c r="E533" s="417"/>
      <c r="F533" s="417"/>
      <c r="G533" s="36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7" t="str">
        <f>_xlfn.CONCAT(_xlfn.XLOOKUP("[S05_DefaultValues][332][InstallationCategory]",Submission!$O:$O,Submission!$H:$N,""))</f>
        <v/>
      </c>
      <c r="D534" s="417"/>
      <c r="E534" s="417"/>
      <c r="F534" s="417"/>
      <c r="G534" s="36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7" t="str">
        <f>_xlfn.CONCAT(_xlfn.XLOOKUP("[S05_DefaultValues][333][InstallationCategory]",Submission!$O:$O,Submission!$H:$N,""))</f>
        <v/>
      </c>
      <c r="D535" s="417"/>
      <c r="E535" s="417"/>
      <c r="F535" s="417"/>
      <c r="G535" s="36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7" t="str">
        <f>_xlfn.CONCAT(_xlfn.XLOOKUP("[S05_DefaultValues][334][InstallationCategory]",Submission!$O:$O,Submission!$H:$N,""))</f>
        <v/>
      </c>
      <c r="D536" s="417"/>
      <c r="E536" s="417"/>
      <c r="F536" s="417"/>
      <c r="G536" s="36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7" t="str">
        <f>_xlfn.CONCAT(_xlfn.XLOOKUP("[S05_DefaultValues][335][InstallationCategory]",Submission!$O:$O,Submission!$H:$N,""))</f>
        <v/>
      </c>
      <c r="D537" s="417"/>
      <c r="E537" s="417"/>
      <c r="F537" s="417"/>
      <c r="G537" s="36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7" t="str">
        <f>_xlfn.CONCAT(_xlfn.XLOOKUP("[S05_DefaultValues][336][InstallationCategory]",Submission!$O:$O,Submission!$H:$N,""))</f>
        <v/>
      </c>
      <c r="D538" s="417"/>
      <c r="E538" s="417"/>
      <c r="F538" s="417"/>
      <c r="G538" s="36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7" t="str">
        <f>_xlfn.CONCAT(_xlfn.XLOOKUP("[S05_DefaultValues][337][InstallationCategory]",Submission!$O:$O,Submission!$H:$N,""))</f>
        <v/>
      </c>
      <c r="D539" s="417"/>
      <c r="E539" s="417"/>
      <c r="F539" s="417"/>
      <c r="G539" s="36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7" t="str">
        <f>_xlfn.CONCAT(_xlfn.XLOOKUP("[S05_DefaultValues][338][InstallationCategory]",Submission!$O:$O,Submission!$H:$N,""))</f>
        <v/>
      </c>
      <c r="D540" s="417"/>
      <c r="E540" s="417"/>
      <c r="F540" s="417"/>
      <c r="G540" s="36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7" t="str">
        <f>_xlfn.CONCAT(_xlfn.XLOOKUP("[S05_DefaultValues][339][InstallationCategory]",Submission!$O:$O,Submission!$H:$N,""))</f>
        <v/>
      </c>
      <c r="D541" s="417"/>
      <c r="E541" s="417"/>
      <c r="F541" s="417"/>
      <c r="G541" s="36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7" t="str">
        <f>_xlfn.CONCAT(_xlfn.XLOOKUP("[S05_DefaultValues][340][InstallationCategory]",Submission!$O:$O,Submission!$H:$N,""))</f>
        <v/>
      </c>
      <c r="D542" s="417"/>
      <c r="E542" s="417"/>
      <c r="F542" s="417"/>
      <c r="G542" s="36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7" t="str">
        <f>_xlfn.CONCAT(_xlfn.XLOOKUP("[S05_DefaultValues][341][InstallationCategory]",Submission!$O:$O,Submission!$H:$N,""))</f>
        <v/>
      </c>
      <c r="D543" s="417"/>
      <c r="E543" s="417"/>
      <c r="F543" s="417"/>
      <c r="G543" s="36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7" t="str">
        <f>_xlfn.CONCAT(_xlfn.XLOOKUP("[S05_DefaultValues][342][InstallationCategory]",Submission!$O:$O,Submission!$H:$N,""))</f>
        <v/>
      </c>
      <c r="D544" s="417"/>
      <c r="E544" s="417"/>
      <c r="F544" s="417"/>
      <c r="G544" s="36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7" t="str">
        <f>_xlfn.CONCAT(_xlfn.XLOOKUP("[S05_DefaultValues][343][InstallationCategory]",Submission!$O:$O,Submission!$H:$N,""))</f>
        <v/>
      </c>
      <c r="D545" s="417"/>
      <c r="E545" s="417"/>
      <c r="F545" s="417"/>
      <c r="G545" s="36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7" t="str">
        <f>_xlfn.CONCAT(_xlfn.XLOOKUP("[S05_DefaultValues][344][InstallationCategory]",Submission!$O:$O,Submission!$H:$N,""))</f>
        <v/>
      </c>
      <c r="D546" s="417"/>
      <c r="E546" s="417"/>
      <c r="F546" s="417"/>
      <c r="G546" s="36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7" t="str">
        <f>_xlfn.CONCAT(_xlfn.XLOOKUP("[S05_DefaultValues][345][InstallationCategory]",Submission!$O:$O,Submission!$H:$N,""))</f>
        <v/>
      </c>
      <c r="D547" s="417"/>
      <c r="E547" s="417"/>
      <c r="F547" s="417"/>
      <c r="G547" s="36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7" t="str">
        <f>_xlfn.CONCAT(_xlfn.XLOOKUP("[S05_DefaultValues][346][InstallationCategory]",Submission!$O:$O,Submission!$H:$N,""))</f>
        <v/>
      </c>
      <c r="D548" s="417"/>
      <c r="E548" s="417"/>
      <c r="F548" s="417"/>
      <c r="G548" s="36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7" t="str">
        <f>_xlfn.CONCAT(_xlfn.XLOOKUP("[S05_DefaultValues][347][InstallationCategory]",Submission!$O:$O,Submission!$H:$N,""))</f>
        <v/>
      </c>
      <c r="D549" s="417"/>
      <c r="E549" s="417"/>
      <c r="F549" s="417"/>
      <c r="G549" s="36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7" t="str">
        <f>_xlfn.CONCAT(_xlfn.XLOOKUP("[S05_DefaultValues][348][InstallationCategory]",Submission!$O:$O,Submission!$H:$N,""))</f>
        <v/>
      </c>
      <c r="D550" s="417"/>
      <c r="E550" s="417"/>
      <c r="F550" s="417"/>
      <c r="G550" s="36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7" t="str">
        <f>_xlfn.CONCAT(_xlfn.XLOOKUP("[S05_DefaultValues][349][InstallationCategory]",Submission!$O:$O,Submission!$H:$N,""))</f>
        <v/>
      </c>
      <c r="D551" s="417"/>
      <c r="E551" s="417"/>
      <c r="F551" s="417"/>
      <c r="G551" s="36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7" t="str">
        <f>_xlfn.CONCAT(_xlfn.XLOOKUP("[S05_DefaultValues][350][InstallationCategory]",Submission!$O:$O,Submission!$H:$N,""))</f>
        <v/>
      </c>
      <c r="D552" s="417"/>
      <c r="E552" s="417"/>
      <c r="F552" s="417"/>
      <c r="G552" s="36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7" t="str">
        <f>_xlfn.CONCAT(_xlfn.XLOOKUP("[S05_DefaultValues][351][InstallationCategory]",Submission!$O:$O,Submission!$H:$N,""))</f>
        <v/>
      </c>
      <c r="D553" s="417"/>
      <c r="E553" s="417"/>
      <c r="F553" s="417"/>
      <c r="G553" s="36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7" t="str">
        <f>_xlfn.CONCAT(_xlfn.XLOOKUP("[S05_DefaultValues][352][InstallationCategory]",Submission!$O:$O,Submission!$H:$N,""))</f>
        <v/>
      </c>
      <c r="D554" s="417"/>
      <c r="E554" s="417"/>
      <c r="F554" s="417"/>
      <c r="G554" s="36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7" t="str">
        <f>_xlfn.CONCAT(_xlfn.XLOOKUP("[S05_DefaultValues][353][InstallationCategory]",Submission!$O:$O,Submission!$H:$N,""))</f>
        <v/>
      </c>
      <c r="D555" s="417"/>
      <c r="E555" s="417"/>
      <c r="F555" s="417"/>
      <c r="G555" s="36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7" t="str">
        <f>_xlfn.CONCAT(_xlfn.XLOOKUP("[S05_DefaultValues][354][InstallationCategory]",Submission!$O:$O,Submission!$H:$N,""))</f>
        <v/>
      </c>
      <c r="D556" s="417"/>
      <c r="E556" s="417"/>
      <c r="F556" s="417"/>
      <c r="G556" s="36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7" t="str">
        <f>_xlfn.CONCAT(_xlfn.XLOOKUP("[S05_DefaultValues][355][InstallationCategory]",Submission!$O:$O,Submission!$H:$N,""))</f>
        <v/>
      </c>
      <c r="D557" s="417"/>
      <c r="E557" s="417"/>
      <c r="F557" s="417"/>
      <c r="G557" s="36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7" t="str">
        <f>_xlfn.CONCAT(_xlfn.XLOOKUP("[S05_DefaultValues][356][InstallationCategory]",Submission!$O:$O,Submission!$H:$N,""))</f>
        <v/>
      </c>
      <c r="D558" s="417"/>
      <c r="E558" s="417"/>
      <c r="F558" s="417"/>
      <c r="G558" s="36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7" t="str">
        <f>_xlfn.CONCAT(_xlfn.XLOOKUP("[S05_DefaultValues][357][InstallationCategory]",Submission!$O:$O,Submission!$H:$N,""))</f>
        <v/>
      </c>
      <c r="D559" s="417"/>
      <c r="E559" s="417"/>
      <c r="F559" s="417"/>
      <c r="G559" s="36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7" t="str">
        <f>_xlfn.CONCAT(_xlfn.XLOOKUP("[S05_DefaultValues][358][InstallationCategory]",Submission!$O:$O,Submission!$H:$N,""))</f>
        <v/>
      </c>
      <c r="D560" s="417"/>
      <c r="E560" s="417"/>
      <c r="F560" s="417"/>
      <c r="G560" s="36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7" t="str">
        <f>_xlfn.CONCAT(_xlfn.XLOOKUP("[S05_DefaultValues][359][InstallationCategory]",Submission!$O:$O,Submission!$H:$N,""))</f>
        <v/>
      </c>
      <c r="D561" s="417"/>
      <c r="E561" s="417"/>
      <c r="F561" s="417"/>
      <c r="G561" s="36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7" t="str">
        <f>_xlfn.CONCAT(_xlfn.XLOOKUP("[S05_DefaultValues][360][InstallationCategory]",Submission!$O:$O,Submission!$H:$N,""))</f>
        <v/>
      </c>
      <c r="D562" s="417"/>
      <c r="E562" s="417"/>
      <c r="F562" s="417"/>
      <c r="G562" s="36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7" t="str">
        <f>_xlfn.CONCAT(_xlfn.XLOOKUP("[S05_DefaultValues][361][InstallationCategory]",Submission!$O:$O,Submission!$H:$N,""))</f>
        <v/>
      </c>
      <c r="D563" s="417"/>
      <c r="E563" s="417"/>
      <c r="F563" s="417"/>
      <c r="G563" s="36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7" t="str">
        <f>_xlfn.CONCAT(_xlfn.XLOOKUP("[S05_DefaultValues][362][InstallationCategory]",Submission!$O:$O,Submission!$H:$N,""))</f>
        <v/>
      </c>
      <c r="D564" s="417"/>
      <c r="E564" s="417"/>
      <c r="F564" s="417"/>
      <c r="G564" s="36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7" t="str">
        <f>_xlfn.CONCAT(_xlfn.XLOOKUP("[S05_DefaultValues][363][InstallationCategory]",Submission!$O:$O,Submission!$H:$N,""))</f>
        <v/>
      </c>
      <c r="D565" s="417"/>
      <c r="E565" s="417"/>
      <c r="F565" s="417"/>
      <c r="G565" s="36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7" t="str">
        <f>_xlfn.CONCAT(_xlfn.XLOOKUP("[S05_DefaultValues][364][InstallationCategory]",Submission!$O:$O,Submission!$H:$N,""))</f>
        <v/>
      </c>
      <c r="D566" s="417"/>
      <c r="E566" s="417"/>
      <c r="F566" s="417"/>
      <c r="G566" s="36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7" t="str">
        <f>_xlfn.CONCAT(_xlfn.XLOOKUP("[S05_DefaultValues][365][InstallationCategory]",Submission!$O:$O,Submission!$H:$N,""))</f>
        <v/>
      </c>
      <c r="D567" s="417"/>
      <c r="E567" s="417"/>
      <c r="F567" s="417"/>
      <c r="G567" s="36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7" t="str">
        <f>_xlfn.CONCAT(_xlfn.XLOOKUP("[S05_DefaultValues][366][InstallationCategory]",Submission!$O:$O,Submission!$H:$N,""))</f>
        <v/>
      </c>
      <c r="D568" s="417"/>
      <c r="E568" s="417"/>
      <c r="F568" s="417"/>
      <c r="G568" s="36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7" t="str">
        <f>_xlfn.CONCAT(_xlfn.XLOOKUP("[S05_DefaultValues][367][InstallationCategory]",Submission!$O:$O,Submission!$H:$N,""))</f>
        <v/>
      </c>
      <c r="D569" s="417"/>
      <c r="E569" s="417"/>
      <c r="F569" s="417"/>
      <c r="G569" s="36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7" t="str">
        <f>_xlfn.CONCAT(_xlfn.XLOOKUP("[S05_DefaultValues][368][InstallationCategory]",Submission!$O:$O,Submission!$H:$N,""))</f>
        <v/>
      </c>
      <c r="D570" s="417"/>
      <c r="E570" s="417"/>
      <c r="F570" s="417"/>
      <c r="G570" s="36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7" t="str">
        <f>_xlfn.CONCAT(_xlfn.XLOOKUP("[S05_DefaultValues][369][InstallationCategory]",Submission!$O:$O,Submission!$H:$N,""))</f>
        <v/>
      </c>
      <c r="D571" s="417"/>
      <c r="E571" s="417"/>
      <c r="F571" s="417"/>
      <c r="G571" s="36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7" t="str">
        <f>_xlfn.CONCAT(_xlfn.XLOOKUP("[S05_DefaultValues][370][InstallationCategory]",Submission!$O:$O,Submission!$H:$N,""))</f>
        <v/>
      </c>
      <c r="D572" s="417"/>
      <c r="E572" s="417"/>
      <c r="F572" s="417"/>
      <c r="G572" s="36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7" t="str">
        <f>_xlfn.CONCAT(_xlfn.XLOOKUP("[S05_DefaultValues][371][InstallationCategory]",Submission!$O:$O,Submission!$H:$N,""))</f>
        <v/>
      </c>
      <c r="D573" s="417"/>
      <c r="E573" s="417"/>
      <c r="F573" s="417"/>
      <c r="G573" s="36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7" t="str">
        <f>_xlfn.CONCAT(_xlfn.XLOOKUP("[S05_DefaultValues][372][InstallationCategory]",Submission!$O:$O,Submission!$H:$N,""))</f>
        <v/>
      </c>
      <c r="D574" s="417"/>
      <c r="E574" s="417"/>
      <c r="F574" s="417"/>
      <c r="G574" s="36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7" t="str">
        <f>_xlfn.CONCAT(_xlfn.XLOOKUP("[S05_DefaultValues][373][InstallationCategory]",Submission!$O:$O,Submission!$H:$N,""))</f>
        <v/>
      </c>
      <c r="D575" s="417"/>
      <c r="E575" s="417"/>
      <c r="F575" s="417"/>
      <c r="G575" s="36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7" t="str">
        <f>_xlfn.CONCAT(_xlfn.XLOOKUP("[S05_DefaultValues][374][InstallationCategory]",Submission!$O:$O,Submission!$H:$N,""))</f>
        <v/>
      </c>
      <c r="D576" s="417"/>
      <c r="E576" s="417"/>
      <c r="F576" s="417"/>
      <c r="G576" s="36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7" t="str">
        <f>_xlfn.CONCAT(_xlfn.XLOOKUP("[S05_DefaultValues][375][InstallationCategory]",Submission!$O:$O,Submission!$H:$N,""))</f>
        <v/>
      </c>
      <c r="D577" s="417"/>
      <c r="E577" s="417"/>
      <c r="F577" s="417"/>
      <c r="G577" s="36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7" t="str">
        <f>_xlfn.CONCAT(_xlfn.XLOOKUP("[S05_DefaultValues][376][InstallationCategory]",Submission!$O:$O,Submission!$H:$N,""))</f>
        <v/>
      </c>
      <c r="D578" s="417"/>
      <c r="E578" s="417"/>
      <c r="F578" s="417"/>
      <c r="G578" s="36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7" t="str">
        <f>_xlfn.CONCAT(_xlfn.XLOOKUP("[S05_DefaultValues][377][InstallationCategory]",Submission!$O:$O,Submission!$H:$N,""))</f>
        <v/>
      </c>
      <c r="D579" s="417"/>
      <c r="E579" s="417"/>
      <c r="F579" s="417"/>
      <c r="G579" s="36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7" t="str">
        <f>_xlfn.CONCAT(_xlfn.XLOOKUP("[S05_DefaultValues][378][InstallationCategory]",Submission!$O:$O,Submission!$H:$N,""))</f>
        <v/>
      </c>
      <c r="D580" s="417"/>
      <c r="E580" s="417"/>
      <c r="F580" s="417"/>
      <c r="G580" s="36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7" t="str">
        <f>_xlfn.CONCAT(_xlfn.XLOOKUP("[S05_DefaultValues][379][InstallationCategory]",Submission!$O:$O,Submission!$H:$N,""))</f>
        <v/>
      </c>
      <c r="D581" s="417"/>
      <c r="E581" s="417"/>
      <c r="F581" s="417"/>
      <c r="G581" s="36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7" t="str">
        <f>_xlfn.CONCAT(_xlfn.XLOOKUP("[S05_DefaultValues][380][InstallationCategory]",Submission!$O:$O,Submission!$H:$N,""))</f>
        <v/>
      </c>
      <c r="D582" s="417"/>
      <c r="E582" s="417"/>
      <c r="F582" s="417"/>
      <c r="G582" s="36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7" t="str">
        <f>_xlfn.CONCAT(_xlfn.XLOOKUP("[S05_DefaultValues][381][InstallationCategory]",Submission!$O:$O,Submission!$H:$N,""))</f>
        <v/>
      </c>
      <c r="D583" s="417"/>
      <c r="E583" s="417"/>
      <c r="F583" s="417"/>
      <c r="G583" s="36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7" t="str">
        <f>_xlfn.CONCAT(_xlfn.XLOOKUP("[S05_DefaultValues][382][InstallationCategory]",Submission!$O:$O,Submission!$H:$N,""))</f>
        <v/>
      </c>
      <c r="D584" s="417"/>
      <c r="E584" s="417"/>
      <c r="F584" s="417"/>
      <c r="G584" s="36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7" t="str">
        <f>_xlfn.CONCAT(_xlfn.XLOOKUP("[S05_DefaultValues][383][InstallationCategory]",Submission!$O:$O,Submission!$H:$N,""))</f>
        <v/>
      </c>
      <c r="D585" s="417"/>
      <c r="E585" s="417"/>
      <c r="F585" s="417"/>
      <c r="G585" s="36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7" t="str">
        <f>_xlfn.CONCAT(_xlfn.XLOOKUP("[S05_DefaultValues][384][InstallationCategory]",Submission!$O:$O,Submission!$H:$N,""))</f>
        <v/>
      </c>
      <c r="D586" s="417"/>
      <c r="E586" s="417"/>
      <c r="F586" s="417"/>
      <c r="G586" s="36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7" t="str">
        <f>_xlfn.CONCAT(_xlfn.XLOOKUP("[S05_DefaultValues][385][InstallationCategory]",Submission!$O:$O,Submission!$H:$N,""))</f>
        <v/>
      </c>
      <c r="D587" s="417"/>
      <c r="E587" s="417"/>
      <c r="F587" s="417"/>
      <c r="G587" s="36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7" t="str">
        <f>_xlfn.CONCAT(_xlfn.XLOOKUP("[S05_DefaultValues][386][InstallationCategory]",Submission!$O:$O,Submission!$H:$N,""))</f>
        <v/>
      </c>
      <c r="D588" s="417"/>
      <c r="E588" s="417"/>
      <c r="F588" s="417"/>
      <c r="G588" s="36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7" t="str">
        <f>_xlfn.CONCAT(_xlfn.XLOOKUP("[S05_DefaultValues][387][InstallationCategory]",Submission!$O:$O,Submission!$H:$N,""))</f>
        <v/>
      </c>
      <c r="D589" s="417"/>
      <c r="E589" s="417"/>
      <c r="F589" s="417"/>
      <c r="G589" s="36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7" t="str">
        <f>_xlfn.CONCAT(_xlfn.XLOOKUP("[S05_DefaultValues][388][InstallationCategory]",Submission!$O:$O,Submission!$H:$N,""))</f>
        <v/>
      </c>
      <c r="D590" s="417"/>
      <c r="E590" s="417"/>
      <c r="F590" s="417"/>
      <c r="G590" s="36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7" t="str">
        <f>_xlfn.CONCAT(_xlfn.XLOOKUP("[S05_DefaultValues][389][InstallationCategory]",Submission!$O:$O,Submission!$H:$N,""))</f>
        <v/>
      </c>
      <c r="D591" s="417"/>
      <c r="E591" s="417"/>
      <c r="F591" s="417"/>
      <c r="G591" s="36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7" t="str">
        <f>_xlfn.CONCAT(_xlfn.XLOOKUP("[S05_DefaultValues][390][InstallationCategory]",Submission!$O:$O,Submission!$H:$N,""))</f>
        <v/>
      </c>
      <c r="D592" s="417"/>
      <c r="E592" s="417"/>
      <c r="F592" s="417"/>
      <c r="G592" s="36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7" t="str">
        <f>_xlfn.CONCAT(_xlfn.XLOOKUP("[S05_DefaultValues][391][InstallationCategory]",Submission!$O:$O,Submission!$H:$N,""))</f>
        <v/>
      </c>
      <c r="D593" s="417"/>
      <c r="E593" s="417"/>
      <c r="F593" s="417"/>
      <c r="G593" s="36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7" t="str">
        <f>_xlfn.CONCAT(_xlfn.XLOOKUP("[S05_DefaultValues][392][InstallationCategory]",Submission!$O:$O,Submission!$H:$N,""))</f>
        <v/>
      </c>
      <c r="D594" s="417"/>
      <c r="E594" s="417"/>
      <c r="F594" s="417"/>
      <c r="G594" s="36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7" t="str">
        <f>_xlfn.CONCAT(_xlfn.XLOOKUP("[S05_DefaultValues][393][InstallationCategory]",Submission!$O:$O,Submission!$H:$N,""))</f>
        <v/>
      </c>
      <c r="D595" s="417"/>
      <c r="E595" s="417"/>
      <c r="F595" s="417"/>
      <c r="G595" s="36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7" t="str">
        <f>_xlfn.CONCAT(_xlfn.XLOOKUP("[S05_DefaultValues][394][InstallationCategory]",Submission!$O:$O,Submission!$H:$N,""))</f>
        <v/>
      </c>
      <c r="D596" s="417"/>
      <c r="E596" s="417"/>
      <c r="F596" s="417"/>
      <c r="G596" s="36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7" t="str">
        <f>_xlfn.CONCAT(_xlfn.XLOOKUP("[S05_DefaultValues][395][InstallationCategory]",Submission!$O:$O,Submission!$H:$N,""))</f>
        <v/>
      </c>
      <c r="D597" s="417"/>
      <c r="E597" s="417"/>
      <c r="F597" s="417"/>
      <c r="G597" s="36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7" t="str">
        <f>_xlfn.CONCAT(_xlfn.XLOOKUP("[S05_DefaultValues][396][InstallationCategory]",Submission!$O:$O,Submission!$H:$N,""))</f>
        <v/>
      </c>
      <c r="D598" s="417"/>
      <c r="E598" s="417"/>
      <c r="F598" s="417"/>
      <c r="G598" s="36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7" t="str">
        <f>_xlfn.CONCAT(_xlfn.XLOOKUP("[S05_DefaultValues][397][InstallationCategory]",Submission!$O:$O,Submission!$H:$N,""))</f>
        <v/>
      </c>
      <c r="D599" s="417"/>
      <c r="E599" s="417"/>
      <c r="F599" s="417"/>
      <c r="G599" s="36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7" t="str">
        <f>_xlfn.CONCAT(_xlfn.XLOOKUP("[S05_DefaultValues][398][InstallationCategory]",Submission!$O:$O,Submission!$H:$N,""))</f>
        <v/>
      </c>
      <c r="D600" s="417"/>
      <c r="E600" s="417"/>
      <c r="F600" s="417"/>
      <c r="G600" s="36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7" t="str">
        <f>_xlfn.CONCAT(_xlfn.XLOOKUP("[S05_DefaultValues][399][InstallationCategory]",Submission!$O:$O,Submission!$H:$N,""))</f>
        <v/>
      </c>
      <c r="D601" s="417"/>
      <c r="E601" s="417"/>
      <c r="F601" s="417"/>
      <c r="G601" s="36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7" t="str">
        <f>_xlfn.CONCAT(_xlfn.XLOOKUP("[S05_DefaultValues][400][InstallationCategory]",Submission!$O:$O,Submission!$H:$N,""))</f>
        <v/>
      </c>
      <c r="D602" s="417"/>
      <c r="E602" s="417"/>
      <c r="F602" s="417"/>
      <c r="G602" s="36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7" t="str">
        <f>_xlfn.CONCAT(_xlfn.XLOOKUP("[S05_DefaultValues][401][InstallationCategory]",Submission!$O:$O,Submission!$H:$N,""))</f>
        <v/>
      </c>
      <c r="D603" s="417"/>
      <c r="E603" s="417"/>
      <c r="F603" s="417"/>
      <c r="G603" s="36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7" t="str">
        <f>_xlfn.CONCAT(_xlfn.XLOOKUP("[S05_DefaultValues][402][InstallationCategory]",Submission!$O:$O,Submission!$H:$N,""))</f>
        <v/>
      </c>
      <c r="D604" s="417"/>
      <c r="E604" s="417"/>
      <c r="F604" s="417"/>
      <c r="G604" s="36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7" t="str">
        <f>_xlfn.CONCAT(_xlfn.XLOOKUP("[S05_DefaultValues][403][InstallationCategory]",Submission!$O:$O,Submission!$H:$N,""))</f>
        <v/>
      </c>
      <c r="D605" s="417"/>
      <c r="E605" s="417"/>
      <c r="F605" s="417"/>
      <c r="G605" s="36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7" t="str">
        <f>_xlfn.CONCAT(_xlfn.XLOOKUP("[S05_DefaultValues][404][InstallationCategory]",Submission!$O:$O,Submission!$H:$N,""))</f>
        <v/>
      </c>
      <c r="D606" s="417"/>
      <c r="E606" s="417"/>
      <c r="F606" s="417"/>
      <c r="G606" s="36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7" t="str">
        <f>_xlfn.CONCAT(_xlfn.XLOOKUP("[S05_DefaultValues][405][InstallationCategory]",Submission!$O:$O,Submission!$H:$N,""))</f>
        <v/>
      </c>
      <c r="D607" s="417"/>
      <c r="E607" s="417"/>
      <c r="F607" s="417"/>
      <c r="G607" s="36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7" t="str">
        <f>_xlfn.CONCAT(_xlfn.XLOOKUP("[S05_DefaultValues][406][InstallationCategory]",Submission!$O:$O,Submission!$H:$N,""))</f>
        <v/>
      </c>
      <c r="D608" s="417"/>
      <c r="E608" s="417"/>
      <c r="F608" s="417"/>
      <c r="G608" s="36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7" t="str">
        <f>_xlfn.CONCAT(_xlfn.XLOOKUP("[S05_DefaultValues][407][InstallationCategory]",Submission!$O:$O,Submission!$H:$N,""))</f>
        <v/>
      </c>
      <c r="D609" s="417"/>
      <c r="E609" s="417"/>
      <c r="F609" s="417"/>
      <c r="G609" s="36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7" t="str">
        <f>_xlfn.CONCAT(_xlfn.XLOOKUP("[S05_DefaultValues][408][InstallationCategory]",Submission!$O:$O,Submission!$H:$N,""))</f>
        <v/>
      </c>
      <c r="D610" s="417"/>
      <c r="E610" s="417"/>
      <c r="F610" s="417"/>
      <c r="G610" s="36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7" t="str">
        <f>_xlfn.CONCAT(_xlfn.XLOOKUP("[S05_DefaultValues][409][InstallationCategory]",Submission!$O:$O,Submission!$H:$N,""))</f>
        <v/>
      </c>
      <c r="D611" s="417"/>
      <c r="E611" s="417"/>
      <c r="F611" s="417"/>
      <c r="G611" s="36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7" t="str">
        <f>_xlfn.CONCAT(_xlfn.XLOOKUP("[S05_DefaultValues][410][InstallationCategory]",Submission!$O:$O,Submission!$H:$N,""))</f>
        <v/>
      </c>
      <c r="D612" s="417"/>
      <c r="E612" s="417"/>
      <c r="F612" s="417"/>
      <c r="G612" s="36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7" t="str">
        <f>_xlfn.CONCAT(_xlfn.XLOOKUP("[S05_DefaultValues][411][InstallationCategory]",Submission!$O:$O,Submission!$H:$N,""))</f>
        <v/>
      </c>
      <c r="D613" s="417"/>
      <c r="E613" s="417"/>
      <c r="F613" s="417"/>
      <c r="G613" s="36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7" t="str">
        <f>_xlfn.CONCAT(_xlfn.XLOOKUP("[S05_DefaultValues][412][InstallationCategory]",Submission!$O:$O,Submission!$H:$N,""))</f>
        <v/>
      </c>
      <c r="D614" s="417"/>
      <c r="E614" s="417"/>
      <c r="F614" s="417"/>
      <c r="G614" s="36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7" t="str">
        <f>_xlfn.CONCAT(_xlfn.XLOOKUP("[S05_DefaultValues][413][InstallationCategory]",Submission!$O:$O,Submission!$H:$N,""))</f>
        <v/>
      </c>
      <c r="D615" s="417"/>
      <c r="E615" s="417"/>
      <c r="F615" s="417"/>
      <c r="G615" s="36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7" t="str">
        <f>_xlfn.CONCAT(_xlfn.XLOOKUP("[S05_DefaultValues][414][InstallationCategory]",Submission!$O:$O,Submission!$H:$N,""))</f>
        <v/>
      </c>
      <c r="D616" s="417"/>
      <c r="E616" s="417"/>
      <c r="F616" s="417"/>
      <c r="G616" s="36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7" t="str">
        <f>_xlfn.CONCAT(_xlfn.XLOOKUP("[S05_DefaultValues][415][InstallationCategory]",Submission!$O:$O,Submission!$H:$N,""))</f>
        <v/>
      </c>
      <c r="D617" s="417"/>
      <c r="E617" s="417"/>
      <c r="F617" s="417"/>
      <c r="G617" s="36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7" t="str">
        <f>_xlfn.CONCAT(_xlfn.XLOOKUP("[S05_DefaultValues][416][InstallationCategory]",Submission!$O:$O,Submission!$H:$N,""))</f>
        <v/>
      </c>
      <c r="D618" s="417"/>
      <c r="E618" s="417"/>
      <c r="F618" s="417"/>
      <c r="G618" s="36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7" t="str">
        <f>_xlfn.CONCAT(_xlfn.XLOOKUP("[S05_DefaultValues][417][InstallationCategory]",Submission!$O:$O,Submission!$H:$N,""))</f>
        <v/>
      </c>
      <c r="D619" s="417"/>
      <c r="E619" s="417"/>
      <c r="F619" s="417"/>
      <c r="G619" s="36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7" t="str">
        <f>_xlfn.CONCAT(_xlfn.XLOOKUP("[S05_DefaultValues][418][InstallationCategory]",Submission!$O:$O,Submission!$H:$N,""))</f>
        <v/>
      </c>
      <c r="D620" s="417"/>
      <c r="E620" s="417"/>
      <c r="F620" s="417"/>
      <c r="G620" s="36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7" t="str">
        <f>_xlfn.CONCAT(_xlfn.XLOOKUP("[S05_DefaultValues][419][InstallationCategory]",Submission!$O:$O,Submission!$H:$N,""))</f>
        <v/>
      </c>
      <c r="D621" s="417"/>
      <c r="E621" s="417"/>
      <c r="F621" s="417"/>
      <c r="G621" s="36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7" t="str">
        <f>_xlfn.CONCAT(_xlfn.XLOOKUP("[S05_DefaultValues][420][InstallationCategory]",Submission!$O:$O,Submission!$H:$N,""))</f>
        <v/>
      </c>
      <c r="D622" s="417"/>
      <c r="E622" s="417"/>
      <c r="F622" s="417"/>
      <c r="G622" s="36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7" t="str">
        <f>_xlfn.CONCAT(_xlfn.XLOOKUP("[S05_DefaultValues][421][InstallationCategory]",Submission!$O:$O,Submission!$H:$N,""))</f>
        <v/>
      </c>
      <c r="D623" s="417"/>
      <c r="E623" s="417"/>
      <c r="F623" s="417"/>
      <c r="G623" s="36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7" t="str">
        <f>_xlfn.CONCAT(_xlfn.XLOOKUP("[S05_DefaultValues][422][InstallationCategory]",Submission!$O:$O,Submission!$H:$N,""))</f>
        <v/>
      </c>
      <c r="D624" s="417"/>
      <c r="E624" s="417"/>
      <c r="F624" s="417"/>
      <c r="G624" s="36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7" t="str">
        <f>_xlfn.CONCAT(_xlfn.XLOOKUP("[S05_DefaultValues][423][InstallationCategory]",Submission!$O:$O,Submission!$H:$N,""))</f>
        <v/>
      </c>
      <c r="D625" s="417"/>
      <c r="E625" s="417"/>
      <c r="F625" s="417"/>
      <c r="G625" s="36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7" t="str">
        <f>_xlfn.CONCAT(_xlfn.XLOOKUP("[S05_DefaultValues][424][InstallationCategory]",Submission!$O:$O,Submission!$H:$N,""))</f>
        <v/>
      </c>
      <c r="D626" s="417"/>
      <c r="E626" s="417"/>
      <c r="F626" s="417"/>
      <c r="G626" s="36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7" t="str">
        <f>_xlfn.CONCAT(_xlfn.XLOOKUP("[S05_DefaultValues][425][InstallationCategory]",Submission!$O:$O,Submission!$H:$N,""))</f>
        <v/>
      </c>
      <c r="D627" s="417"/>
      <c r="E627" s="417"/>
      <c r="F627" s="417"/>
      <c r="G627" s="36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7" t="str">
        <f>_xlfn.CONCAT(_xlfn.XLOOKUP("[S05_DefaultValues][426][InstallationCategory]",Submission!$O:$O,Submission!$H:$N,""))</f>
        <v/>
      </c>
      <c r="D628" s="417"/>
      <c r="E628" s="417"/>
      <c r="F628" s="417"/>
      <c r="G628" s="36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7" t="str">
        <f>_xlfn.CONCAT(_xlfn.XLOOKUP("[S05_DefaultValues][427][InstallationCategory]",Submission!$O:$O,Submission!$H:$N,""))</f>
        <v/>
      </c>
      <c r="D629" s="417"/>
      <c r="E629" s="417"/>
      <c r="F629" s="417"/>
      <c r="G629" s="36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7" t="str">
        <f>_xlfn.CONCAT(_xlfn.XLOOKUP("[S05_DefaultValues][428][InstallationCategory]",Submission!$O:$O,Submission!$H:$N,""))</f>
        <v/>
      </c>
      <c r="D630" s="417"/>
      <c r="E630" s="417"/>
      <c r="F630" s="417"/>
      <c r="G630" s="36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7" t="str">
        <f>_xlfn.CONCAT(_xlfn.XLOOKUP("[S05_DefaultValues][429][InstallationCategory]",Submission!$O:$O,Submission!$H:$N,""))</f>
        <v/>
      </c>
      <c r="D631" s="417"/>
      <c r="E631" s="417"/>
      <c r="F631" s="417"/>
      <c r="G631" s="36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7" t="str">
        <f>_xlfn.CONCAT(_xlfn.XLOOKUP("[S05_DefaultValues][430][InstallationCategory]",Submission!$O:$O,Submission!$H:$N,""))</f>
        <v/>
      </c>
      <c r="D632" s="417"/>
      <c r="E632" s="417"/>
      <c r="F632" s="417"/>
      <c r="G632" s="36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7" t="str">
        <f>_xlfn.CONCAT(_xlfn.XLOOKUP("[S05_DefaultValues][431][InstallationCategory]",Submission!$O:$O,Submission!$H:$N,""))</f>
        <v/>
      </c>
      <c r="D633" s="417"/>
      <c r="E633" s="417"/>
      <c r="F633" s="417"/>
      <c r="G633" s="36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7" t="str">
        <f>_xlfn.CONCAT(_xlfn.XLOOKUP("[S05_DefaultValues][432][InstallationCategory]",Submission!$O:$O,Submission!$H:$N,""))</f>
        <v/>
      </c>
      <c r="D634" s="417"/>
      <c r="E634" s="417"/>
      <c r="F634" s="417"/>
      <c r="G634" s="36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7" t="str">
        <f>_xlfn.CONCAT(_xlfn.XLOOKUP("[S05_DefaultValues][433][InstallationCategory]",Submission!$O:$O,Submission!$H:$N,""))</f>
        <v/>
      </c>
      <c r="D635" s="417"/>
      <c r="E635" s="417"/>
      <c r="F635" s="417"/>
      <c r="G635" s="36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7" t="str">
        <f>_xlfn.CONCAT(_xlfn.XLOOKUP("[S05_DefaultValues][434][InstallationCategory]",Submission!$O:$O,Submission!$H:$N,""))</f>
        <v/>
      </c>
      <c r="D636" s="417"/>
      <c r="E636" s="417"/>
      <c r="F636" s="417"/>
      <c r="G636" s="36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7" t="str">
        <f>_xlfn.CONCAT(_xlfn.XLOOKUP("[S05_DefaultValues][435][InstallationCategory]",Submission!$O:$O,Submission!$H:$N,""))</f>
        <v/>
      </c>
      <c r="D637" s="417"/>
      <c r="E637" s="417"/>
      <c r="F637" s="417"/>
      <c r="G637" s="36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7" t="str">
        <f>_xlfn.CONCAT(_xlfn.XLOOKUP("[S05_DefaultValues][436][InstallationCategory]",Submission!$O:$O,Submission!$H:$N,""))</f>
        <v/>
      </c>
      <c r="D638" s="417"/>
      <c r="E638" s="417"/>
      <c r="F638" s="417"/>
      <c r="G638" s="36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7" t="str">
        <f>_xlfn.CONCAT(_xlfn.XLOOKUP("[S05_DefaultValues][437][InstallationCategory]",Submission!$O:$O,Submission!$H:$N,""))</f>
        <v/>
      </c>
      <c r="D639" s="417"/>
      <c r="E639" s="417"/>
      <c r="F639" s="417"/>
      <c r="G639" s="36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7" t="str">
        <f>_xlfn.CONCAT(_xlfn.XLOOKUP("[S05_DefaultValues][438][InstallationCategory]",Submission!$O:$O,Submission!$H:$N,""))</f>
        <v/>
      </c>
      <c r="D640" s="417"/>
      <c r="E640" s="417"/>
      <c r="F640" s="417"/>
      <c r="G640" s="36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7" t="str">
        <f>_xlfn.CONCAT(_xlfn.XLOOKUP("[S05_DefaultValues][439][InstallationCategory]",Submission!$O:$O,Submission!$H:$N,""))</f>
        <v/>
      </c>
      <c r="D641" s="417"/>
      <c r="E641" s="417"/>
      <c r="F641" s="417"/>
      <c r="G641" s="36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7" t="str">
        <f>_xlfn.CONCAT(_xlfn.XLOOKUP("[S05_DefaultValues][440][InstallationCategory]",Submission!$O:$O,Submission!$H:$N,""))</f>
        <v/>
      </c>
      <c r="D642" s="417"/>
      <c r="E642" s="417"/>
      <c r="F642" s="417"/>
      <c r="G642" s="36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7" t="str">
        <f>_xlfn.CONCAT(_xlfn.XLOOKUP("[S05_DefaultValues][441][InstallationCategory]",Submission!$O:$O,Submission!$H:$N,""))</f>
        <v/>
      </c>
      <c r="D643" s="417"/>
      <c r="E643" s="417"/>
      <c r="F643" s="417"/>
      <c r="G643" s="36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7" t="str">
        <f>_xlfn.CONCAT(_xlfn.XLOOKUP("[S05_DefaultValues][442][InstallationCategory]",Submission!$O:$O,Submission!$H:$N,""))</f>
        <v/>
      </c>
      <c r="D644" s="417"/>
      <c r="E644" s="417"/>
      <c r="F644" s="417"/>
      <c r="G644" s="36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7" t="str">
        <f>_xlfn.CONCAT(_xlfn.XLOOKUP("[S05_DefaultValues][443][InstallationCategory]",Submission!$O:$O,Submission!$H:$N,""))</f>
        <v/>
      </c>
      <c r="D645" s="417"/>
      <c r="E645" s="417"/>
      <c r="F645" s="417"/>
      <c r="G645" s="36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7" t="str">
        <f>_xlfn.CONCAT(_xlfn.XLOOKUP("[S05_DefaultValues][444][InstallationCategory]",Submission!$O:$O,Submission!$H:$N,""))</f>
        <v/>
      </c>
      <c r="D646" s="417"/>
      <c r="E646" s="417"/>
      <c r="F646" s="417"/>
      <c r="G646" s="36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7" t="str">
        <f>_xlfn.CONCAT(_xlfn.XLOOKUP("[S05_DefaultValues][445][InstallationCategory]",Submission!$O:$O,Submission!$H:$N,""))</f>
        <v/>
      </c>
      <c r="D647" s="417"/>
      <c r="E647" s="417"/>
      <c r="F647" s="417"/>
      <c r="G647" s="36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7" t="str">
        <f>_xlfn.CONCAT(_xlfn.XLOOKUP("[S05_DefaultValues][446][InstallationCategory]",Submission!$O:$O,Submission!$H:$N,""))</f>
        <v/>
      </c>
      <c r="D648" s="417"/>
      <c r="E648" s="417"/>
      <c r="F648" s="417"/>
      <c r="G648" s="36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7" t="str">
        <f>_xlfn.CONCAT(_xlfn.XLOOKUP("[S05_DefaultValues][447][InstallationCategory]",Submission!$O:$O,Submission!$H:$N,""))</f>
        <v/>
      </c>
      <c r="D649" s="417"/>
      <c r="E649" s="417"/>
      <c r="F649" s="417"/>
      <c r="G649" s="36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7" t="str">
        <f>_xlfn.CONCAT(_xlfn.XLOOKUP("[S05_DefaultValues][448][InstallationCategory]",Submission!$O:$O,Submission!$H:$N,""))</f>
        <v/>
      </c>
      <c r="D650" s="417"/>
      <c r="E650" s="417"/>
      <c r="F650" s="417"/>
      <c r="G650" s="36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7" t="str">
        <f>_xlfn.CONCAT(_xlfn.XLOOKUP("[S05_DefaultValues][449][InstallationCategory]",Submission!$O:$O,Submission!$H:$N,""))</f>
        <v/>
      </c>
      <c r="D651" s="417"/>
      <c r="E651" s="417"/>
      <c r="F651" s="417"/>
      <c r="G651" s="36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7" t="str">
        <f>_xlfn.CONCAT(_xlfn.XLOOKUP("[S05_DefaultValues][450][InstallationCategory]",Submission!$O:$O,Submission!$H:$N,""))</f>
        <v/>
      </c>
      <c r="D652" s="417"/>
      <c r="E652" s="417"/>
      <c r="F652" s="417"/>
      <c r="G652" s="36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7" t="str">
        <f>_xlfn.CONCAT(_xlfn.XLOOKUP("[S05_DefaultValues][451][InstallationCategory]",Submission!$O:$O,Submission!$H:$N,""))</f>
        <v/>
      </c>
      <c r="D653" s="417"/>
      <c r="E653" s="417"/>
      <c r="F653" s="417"/>
      <c r="G653" s="36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7" t="str">
        <f>_xlfn.CONCAT(_xlfn.XLOOKUP("[S05_DefaultValues][452][InstallationCategory]",Submission!$O:$O,Submission!$H:$N,""))</f>
        <v/>
      </c>
      <c r="D654" s="417"/>
      <c r="E654" s="417"/>
      <c r="F654" s="417"/>
      <c r="G654" s="36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7" t="str">
        <f>_xlfn.CONCAT(_xlfn.XLOOKUP("[S05_DefaultValues][453][InstallationCategory]",Submission!$O:$O,Submission!$H:$N,""))</f>
        <v/>
      </c>
      <c r="D655" s="417"/>
      <c r="E655" s="417"/>
      <c r="F655" s="417"/>
      <c r="G655" s="36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7" t="str">
        <f>_xlfn.CONCAT(_xlfn.XLOOKUP("[S05_DefaultValues][454][InstallationCategory]",Submission!$O:$O,Submission!$H:$N,""))</f>
        <v/>
      </c>
      <c r="D656" s="417"/>
      <c r="E656" s="417"/>
      <c r="F656" s="417"/>
      <c r="G656" s="36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7" t="str">
        <f>_xlfn.CONCAT(_xlfn.XLOOKUP("[S05_DefaultValues][455][InstallationCategory]",Submission!$O:$O,Submission!$H:$N,""))</f>
        <v/>
      </c>
      <c r="D657" s="417"/>
      <c r="E657" s="417"/>
      <c r="F657" s="417"/>
      <c r="G657" s="36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7" t="str">
        <f>_xlfn.CONCAT(_xlfn.XLOOKUP("[S05_DefaultValues][456][InstallationCategory]",Submission!$O:$O,Submission!$H:$N,""))</f>
        <v/>
      </c>
      <c r="D658" s="417"/>
      <c r="E658" s="417"/>
      <c r="F658" s="417"/>
      <c r="G658" s="36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7" t="str">
        <f>_xlfn.CONCAT(_xlfn.XLOOKUP("[S05_DefaultValues][457][InstallationCategory]",Submission!$O:$O,Submission!$H:$N,""))</f>
        <v/>
      </c>
      <c r="D659" s="417"/>
      <c r="E659" s="417"/>
      <c r="F659" s="417"/>
      <c r="G659" s="36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7" t="str">
        <f>_xlfn.CONCAT(_xlfn.XLOOKUP("[S05_DefaultValues][458][InstallationCategory]",Submission!$O:$O,Submission!$H:$N,""))</f>
        <v/>
      </c>
      <c r="D660" s="417"/>
      <c r="E660" s="417"/>
      <c r="F660" s="417"/>
      <c r="G660" s="36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7" t="str">
        <f>_xlfn.CONCAT(_xlfn.XLOOKUP("[S05_DefaultValues][459][InstallationCategory]",Submission!$O:$O,Submission!$H:$N,""))</f>
        <v/>
      </c>
      <c r="D661" s="417"/>
      <c r="E661" s="417"/>
      <c r="F661" s="417"/>
      <c r="G661" s="36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7" t="str">
        <f>_xlfn.CONCAT(_xlfn.XLOOKUP("[S05_DefaultValues][460][InstallationCategory]",Submission!$O:$O,Submission!$H:$N,""))</f>
        <v/>
      </c>
      <c r="D662" s="417"/>
      <c r="E662" s="417"/>
      <c r="F662" s="417"/>
      <c r="G662" s="36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7" t="str">
        <f>_xlfn.CONCAT(_xlfn.XLOOKUP("[S05_DefaultValues][461][InstallationCategory]",Submission!$O:$O,Submission!$H:$N,""))</f>
        <v/>
      </c>
      <c r="D663" s="417"/>
      <c r="E663" s="417"/>
      <c r="F663" s="417"/>
      <c r="G663" s="36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7" t="str">
        <f>_xlfn.CONCAT(_xlfn.XLOOKUP("[S05_DefaultValues][462][InstallationCategory]",Submission!$O:$O,Submission!$H:$N,""))</f>
        <v/>
      </c>
      <c r="D664" s="417"/>
      <c r="E664" s="417"/>
      <c r="F664" s="417"/>
      <c r="G664" s="36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7" t="str">
        <f>_xlfn.CONCAT(_xlfn.XLOOKUP("[S05_DefaultValues][463][InstallationCategory]",Submission!$O:$O,Submission!$H:$N,""))</f>
        <v/>
      </c>
      <c r="D665" s="417"/>
      <c r="E665" s="417"/>
      <c r="F665" s="417"/>
      <c r="G665" s="36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7" t="str">
        <f>_xlfn.CONCAT(_xlfn.XLOOKUP("[S05_DefaultValues][464][InstallationCategory]",Submission!$O:$O,Submission!$H:$N,""))</f>
        <v/>
      </c>
      <c r="D666" s="417"/>
      <c r="E666" s="417"/>
      <c r="F666" s="417"/>
      <c r="G666" s="36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7" t="str">
        <f>_xlfn.CONCAT(_xlfn.XLOOKUP("[S05_DefaultValues][465][InstallationCategory]",Submission!$O:$O,Submission!$H:$N,""))</f>
        <v/>
      </c>
      <c r="D667" s="417"/>
      <c r="E667" s="417"/>
      <c r="F667" s="417"/>
      <c r="G667" s="36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7" t="str">
        <f>_xlfn.CONCAT(_xlfn.XLOOKUP("[S05_DefaultValues][466][InstallationCategory]",Submission!$O:$O,Submission!$H:$N,""))</f>
        <v/>
      </c>
      <c r="D668" s="417"/>
      <c r="E668" s="417"/>
      <c r="F668" s="417"/>
      <c r="G668" s="36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7" t="str">
        <f>_xlfn.CONCAT(_xlfn.XLOOKUP("[S05_DefaultValues][467][InstallationCategory]",Submission!$O:$O,Submission!$H:$N,""))</f>
        <v/>
      </c>
      <c r="D669" s="417"/>
      <c r="E669" s="417"/>
      <c r="F669" s="417"/>
      <c r="G669" s="36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7" t="str">
        <f>_xlfn.CONCAT(_xlfn.XLOOKUP("[S05_DefaultValues][468][InstallationCategory]",Submission!$O:$O,Submission!$H:$N,""))</f>
        <v/>
      </c>
      <c r="D670" s="417"/>
      <c r="E670" s="417"/>
      <c r="F670" s="417"/>
      <c r="G670" s="36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7" t="str">
        <f>_xlfn.CONCAT(_xlfn.XLOOKUP("[S05_DefaultValues][469][InstallationCategory]",Submission!$O:$O,Submission!$H:$N,""))</f>
        <v/>
      </c>
      <c r="D671" s="417"/>
      <c r="E671" s="417"/>
      <c r="F671" s="417"/>
      <c r="G671" s="36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7" t="str">
        <f>_xlfn.CONCAT(_xlfn.XLOOKUP("[S05_DefaultValues][470][InstallationCategory]",Submission!$O:$O,Submission!$H:$N,""))</f>
        <v/>
      </c>
      <c r="D672" s="417"/>
      <c r="E672" s="417"/>
      <c r="F672" s="417"/>
      <c r="G672" s="36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7" t="str">
        <f>_xlfn.CONCAT(_xlfn.XLOOKUP("[S05_DefaultValues][471][InstallationCategory]",Submission!$O:$O,Submission!$H:$N,""))</f>
        <v/>
      </c>
      <c r="D673" s="417"/>
      <c r="E673" s="417"/>
      <c r="F673" s="417"/>
      <c r="G673" s="36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7" t="str">
        <f>_xlfn.CONCAT(_xlfn.XLOOKUP("[S05_DefaultValues][472][InstallationCategory]",Submission!$O:$O,Submission!$H:$N,""))</f>
        <v/>
      </c>
      <c r="D674" s="417"/>
      <c r="E674" s="417"/>
      <c r="F674" s="417"/>
      <c r="G674" s="36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7" t="str">
        <f>_xlfn.CONCAT(_xlfn.XLOOKUP("[S05_DefaultValues][473][InstallationCategory]",Submission!$O:$O,Submission!$H:$N,""))</f>
        <v/>
      </c>
      <c r="D675" s="417"/>
      <c r="E675" s="417"/>
      <c r="F675" s="417"/>
      <c r="G675" s="36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7" t="str">
        <f>_xlfn.CONCAT(_xlfn.XLOOKUP("[S05_DefaultValues][474][InstallationCategory]",Submission!$O:$O,Submission!$H:$N,""))</f>
        <v/>
      </c>
      <c r="D676" s="417"/>
      <c r="E676" s="417"/>
      <c r="F676" s="417"/>
      <c r="G676" s="36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7" t="str">
        <f>_xlfn.CONCAT(_xlfn.XLOOKUP("[S05_DefaultValues][475][InstallationCategory]",Submission!$O:$O,Submission!$H:$N,""))</f>
        <v/>
      </c>
      <c r="D677" s="417"/>
      <c r="E677" s="417"/>
      <c r="F677" s="417"/>
      <c r="G677" s="36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7" t="str">
        <f>_xlfn.CONCAT(_xlfn.XLOOKUP("[S05_DefaultValues][476][InstallationCategory]",Submission!$O:$O,Submission!$H:$N,""))</f>
        <v/>
      </c>
      <c r="D678" s="417"/>
      <c r="E678" s="417"/>
      <c r="F678" s="417"/>
      <c r="G678" s="36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7" t="str">
        <f>_xlfn.CONCAT(_xlfn.XLOOKUP("[S05_DefaultValues][477][InstallationCategory]",Submission!$O:$O,Submission!$H:$N,""))</f>
        <v/>
      </c>
      <c r="D679" s="417"/>
      <c r="E679" s="417"/>
      <c r="F679" s="417"/>
      <c r="G679" s="36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7" t="str">
        <f>_xlfn.CONCAT(_xlfn.XLOOKUP("[S05_DefaultValues][478][InstallationCategory]",Submission!$O:$O,Submission!$H:$N,""))</f>
        <v/>
      </c>
      <c r="D680" s="417"/>
      <c r="E680" s="417"/>
      <c r="F680" s="417"/>
      <c r="G680" s="36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7" t="str">
        <f>_xlfn.CONCAT(_xlfn.XLOOKUP("[S05_DefaultValues][479][InstallationCategory]",Submission!$O:$O,Submission!$H:$N,""))</f>
        <v/>
      </c>
      <c r="D681" s="417"/>
      <c r="E681" s="417"/>
      <c r="F681" s="417"/>
      <c r="G681" s="36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7" t="str">
        <f>_xlfn.CONCAT(_xlfn.XLOOKUP("[S05_DefaultValues][480][InstallationCategory]",Submission!$O:$O,Submission!$H:$N,""))</f>
        <v/>
      </c>
      <c r="D682" s="417"/>
      <c r="E682" s="417"/>
      <c r="F682" s="417"/>
      <c r="G682" s="36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7" t="str">
        <f>_xlfn.CONCAT(_xlfn.XLOOKUP("[S05_DefaultValues][481][InstallationCategory]",Submission!$O:$O,Submission!$H:$N,""))</f>
        <v/>
      </c>
      <c r="D683" s="417"/>
      <c r="E683" s="417"/>
      <c r="F683" s="417"/>
      <c r="G683" s="36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7" t="str">
        <f>_xlfn.CONCAT(_xlfn.XLOOKUP("[S05_DefaultValues][482][InstallationCategory]",Submission!$O:$O,Submission!$H:$N,""))</f>
        <v/>
      </c>
      <c r="D684" s="417"/>
      <c r="E684" s="417"/>
      <c r="F684" s="417"/>
      <c r="G684" s="36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7" t="str">
        <f>_xlfn.CONCAT(_xlfn.XLOOKUP("[S05_DefaultValues][483][InstallationCategory]",Submission!$O:$O,Submission!$H:$N,""))</f>
        <v/>
      </c>
      <c r="D685" s="417"/>
      <c r="E685" s="417"/>
      <c r="F685" s="417"/>
      <c r="G685" s="36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7" t="str">
        <f>_xlfn.CONCAT(_xlfn.XLOOKUP("[S05_DefaultValues][484][InstallationCategory]",Submission!$O:$O,Submission!$H:$N,""))</f>
        <v/>
      </c>
      <c r="D686" s="417"/>
      <c r="E686" s="417"/>
      <c r="F686" s="417"/>
      <c r="G686" s="36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7" t="str">
        <f>_xlfn.CONCAT(_xlfn.XLOOKUP("[S05_DefaultValues][485][InstallationCategory]",Submission!$O:$O,Submission!$H:$N,""))</f>
        <v/>
      </c>
      <c r="D687" s="417"/>
      <c r="E687" s="417"/>
      <c r="F687" s="417"/>
      <c r="G687" s="36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7" t="str">
        <f>_xlfn.CONCAT(_xlfn.XLOOKUP("[S05_DefaultValues][486][InstallationCategory]",Submission!$O:$O,Submission!$H:$N,""))</f>
        <v/>
      </c>
      <c r="D688" s="417"/>
      <c r="E688" s="417"/>
      <c r="F688" s="417"/>
      <c r="G688" s="36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7" t="str">
        <f>_xlfn.CONCAT(_xlfn.XLOOKUP("[S05_DefaultValues][487][InstallationCategory]",Submission!$O:$O,Submission!$H:$N,""))</f>
        <v/>
      </c>
      <c r="D689" s="417"/>
      <c r="E689" s="417"/>
      <c r="F689" s="417"/>
      <c r="G689" s="36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7" t="str">
        <f>_xlfn.CONCAT(_xlfn.XLOOKUP("[S05_DefaultValues][488][InstallationCategory]",Submission!$O:$O,Submission!$H:$N,""))</f>
        <v/>
      </c>
      <c r="D690" s="417"/>
      <c r="E690" s="417"/>
      <c r="F690" s="417"/>
      <c r="G690" s="36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7" t="str">
        <f>_xlfn.CONCAT(_xlfn.XLOOKUP("[S05_DefaultValues][489][InstallationCategory]",Submission!$O:$O,Submission!$H:$N,""))</f>
        <v/>
      </c>
      <c r="D691" s="417"/>
      <c r="E691" s="417"/>
      <c r="F691" s="417"/>
      <c r="G691" s="36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7" t="str">
        <f>_xlfn.CONCAT(_xlfn.XLOOKUP("[S05_DefaultValues][490][InstallationCategory]",Submission!$O:$O,Submission!$H:$N,""))</f>
        <v/>
      </c>
      <c r="D692" s="417"/>
      <c r="E692" s="417"/>
      <c r="F692" s="417"/>
      <c r="G692" s="36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7" t="str">
        <f>_xlfn.CONCAT(_xlfn.XLOOKUP("[S05_DefaultValues][491][InstallationCategory]",Submission!$O:$O,Submission!$H:$N,""))</f>
        <v/>
      </c>
      <c r="D693" s="417"/>
      <c r="E693" s="417"/>
      <c r="F693" s="417"/>
      <c r="G693" s="36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7" t="str">
        <f>_xlfn.CONCAT(_xlfn.XLOOKUP("[S05_DefaultValues][492][InstallationCategory]",Submission!$O:$O,Submission!$H:$N,""))</f>
        <v/>
      </c>
      <c r="D694" s="417"/>
      <c r="E694" s="417"/>
      <c r="F694" s="417"/>
      <c r="G694" s="36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7" t="str">
        <f>_xlfn.CONCAT(_xlfn.XLOOKUP("[S05_DefaultValues][493][InstallationCategory]",Submission!$O:$O,Submission!$H:$N,""))</f>
        <v/>
      </c>
      <c r="D695" s="417"/>
      <c r="E695" s="417"/>
      <c r="F695" s="417"/>
      <c r="G695" s="36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7" t="str">
        <f>_xlfn.CONCAT(_xlfn.XLOOKUP("[S05_DefaultValues][494][InstallationCategory]",Submission!$O:$O,Submission!$H:$N,""))</f>
        <v/>
      </c>
      <c r="D696" s="417"/>
      <c r="E696" s="417"/>
      <c r="F696" s="417"/>
      <c r="G696" s="36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7" t="str">
        <f>_xlfn.CONCAT(_xlfn.XLOOKUP("[S05_DefaultValues][495][InstallationCategory]",Submission!$O:$O,Submission!$H:$N,""))</f>
        <v/>
      </c>
      <c r="D697" s="417"/>
      <c r="E697" s="417"/>
      <c r="F697" s="417"/>
      <c r="G697" s="36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7" t="str">
        <f>_xlfn.CONCAT(_xlfn.XLOOKUP("[S05_DefaultValues][496][InstallationCategory]",Submission!$O:$O,Submission!$H:$N,""))</f>
        <v/>
      </c>
      <c r="D698" s="417"/>
      <c r="E698" s="417"/>
      <c r="F698" s="417"/>
      <c r="G698" s="36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7" t="str">
        <f>_xlfn.CONCAT(_xlfn.XLOOKUP("[S05_DefaultValues][497][InstallationCategory]",Submission!$O:$O,Submission!$H:$N,""))</f>
        <v/>
      </c>
      <c r="D699" s="417"/>
      <c r="E699" s="417"/>
      <c r="F699" s="417"/>
      <c r="G699" s="36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7" t="str">
        <f>_xlfn.CONCAT(_xlfn.XLOOKUP("[S05_DefaultValues][498][InstallationCategory]",Submission!$O:$O,Submission!$H:$N,""))</f>
        <v/>
      </c>
      <c r="D700" s="417"/>
      <c r="E700" s="417"/>
      <c r="F700" s="417"/>
      <c r="G700" s="36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7" t="str">
        <f>_xlfn.CONCAT(_xlfn.XLOOKUP("[S05_DefaultValues][499][InstallationCategory]",Submission!$O:$O,Submission!$H:$N,""))</f>
        <v/>
      </c>
      <c r="D701" s="417"/>
      <c r="E701" s="417"/>
      <c r="F701" s="417"/>
      <c r="G701" s="36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7" t="str">
        <f>_xlfn.CONCAT(_xlfn.XLOOKUP("[S05_DefaultValues][500][InstallationCategory]",Submission!$O:$O,Submission!$H:$N,""))</f>
        <v/>
      </c>
      <c r="D702" s="417"/>
      <c r="E702" s="417"/>
      <c r="F702" s="417"/>
      <c r="G702" s="36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7" t="str">
        <f>_xlfn.CONCAT(_xlfn.XLOOKUP("[S05_DefaultValues][501][InstallationCategory]",Submission!$O:$O,Submission!$H:$N,""))</f>
        <v/>
      </c>
      <c r="D703" s="417"/>
      <c r="E703" s="417"/>
      <c r="F703" s="417"/>
      <c r="G703" s="36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7" t="str">
        <f>_xlfn.CONCAT(_xlfn.XLOOKUP("[S05_DefaultValues][502][InstallationCategory]",Submission!$O:$O,Submission!$H:$N,""))</f>
        <v/>
      </c>
      <c r="D704" s="417"/>
      <c r="E704" s="417"/>
      <c r="F704" s="417"/>
      <c r="G704" s="36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7" t="str">
        <f>_xlfn.CONCAT(_xlfn.XLOOKUP("[S05_DefaultValues][503][InstallationCategory]",Submission!$O:$O,Submission!$H:$N,""))</f>
        <v/>
      </c>
      <c r="D705" s="417"/>
      <c r="E705" s="417"/>
      <c r="F705" s="417"/>
      <c r="G705" s="36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7" t="str">
        <f>_xlfn.CONCAT(_xlfn.XLOOKUP("[S05_DefaultValues][504][InstallationCategory]",Submission!$O:$O,Submission!$H:$N,""))</f>
        <v/>
      </c>
      <c r="D706" s="417"/>
      <c r="E706" s="417"/>
      <c r="F706" s="417"/>
      <c r="G706" s="36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7" t="str">
        <f>_xlfn.CONCAT(_xlfn.XLOOKUP("[S05_DefaultValues][505][InstallationCategory]",Submission!$O:$O,Submission!$H:$N,""))</f>
        <v/>
      </c>
      <c r="D707" s="417"/>
      <c r="E707" s="417"/>
      <c r="F707" s="417"/>
      <c r="G707" s="36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7" t="str">
        <f>_xlfn.CONCAT(_xlfn.XLOOKUP("[S05_DefaultValues][506][InstallationCategory]",Submission!$O:$O,Submission!$H:$N,""))</f>
        <v/>
      </c>
      <c r="D708" s="417"/>
      <c r="E708" s="417"/>
      <c r="F708" s="417"/>
      <c r="G708" s="36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7" t="str">
        <f>_xlfn.CONCAT(_xlfn.XLOOKUP("[S05_DefaultValues][507][InstallationCategory]",Submission!$O:$O,Submission!$H:$N,""))</f>
        <v/>
      </c>
      <c r="D709" s="417"/>
      <c r="E709" s="417"/>
      <c r="F709" s="417"/>
      <c r="G709" s="36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7" t="str">
        <f>_xlfn.CONCAT(_xlfn.XLOOKUP("[S05_DefaultValues][508][InstallationCategory]",Submission!$O:$O,Submission!$H:$N,""))</f>
        <v/>
      </c>
      <c r="D710" s="417"/>
      <c r="E710" s="417"/>
      <c r="F710" s="417"/>
      <c r="G710" s="36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7" t="str">
        <f>_xlfn.CONCAT(_xlfn.XLOOKUP("[S05_DefaultValues][509][InstallationCategory]",Submission!$O:$O,Submission!$H:$N,""))</f>
        <v/>
      </c>
      <c r="D711" s="417"/>
      <c r="E711" s="417"/>
      <c r="F711" s="417"/>
      <c r="G711" s="36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7" t="str">
        <f>_xlfn.CONCAT(_xlfn.XLOOKUP("[S05_DefaultValues][510][InstallationCategory]",Submission!$O:$O,Submission!$H:$N,""))</f>
        <v/>
      </c>
      <c r="D712" s="417"/>
      <c r="E712" s="417"/>
      <c r="F712" s="417"/>
      <c r="G712" s="36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7" t="str">
        <f>_xlfn.CONCAT(_xlfn.XLOOKUP("[S05_DefaultValues][511][InstallationCategory]",Submission!$O:$O,Submission!$H:$N,""))</f>
        <v/>
      </c>
      <c r="D713" s="417"/>
      <c r="E713" s="417"/>
      <c r="F713" s="417"/>
      <c r="G713" s="36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7" t="str">
        <f>_xlfn.CONCAT(_xlfn.XLOOKUP("[S05_DefaultValues][512][InstallationCategory]",Submission!$O:$O,Submission!$H:$N,""))</f>
        <v/>
      </c>
      <c r="D714" s="417"/>
      <c r="E714" s="417"/>
      <c r="F714" s="417"/>
      <c r="G714" s="36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7" t="str">
        <f>_xlfn.CONCAT(_xlfn.XLOOKUP("[S05_DefaultValues][513][InstallationCategory]",Submission!$O:$O,Submission!$H:$N,""))</f>
        <v/>
      </c>
      <c r="D715" s="417"/>
      <c r="E715" s="417"/>
      <c r="F715" s="417"/>
      <c r="G715" s="36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7" t="str">
        <f>_xlfn.CONCAT(_xlfn.XLOOKUP("[S05_DefaultValues][514][InstallationCategory]",Submission!$O:$O,Submission!$H:$N,""))</f>
        <v/>
      </c>
      <c r="D716" s="417"/>
      <c r="E716" s="417"/>
      <c r="F716" s="417"/>
      <c r="G716" s="36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7" t="str">
        <f>_xlfn.CONCAT(_xlfn.XLOOKUP("[S05_DefaultValues][515][InstallationCategory]",Submission!$O:$O,Submission!$H:$N,""))</f>
        <v/>
      </c>
      <c r="D717" s="417"/>
      <c r="E717" s="417"/>
      <c r="F717" s="417"/>
      <c r="G717" s="36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7" t="str">
        <f>_xlfn.CONCAT(_xlfn.XLOOKUP("[S05_DefaultValues][516][InstallationCategory]",Submission!$O:$O,Submission!$H:$N,""))</f>
        <v/>
      </c>
      <c r="D718" s="417"/>
      <c r="E718" s="417"/>
      <c r="F718" s="417"/>
      <c r="G718" s="36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7" t="str">
        <f>_xlfn.CONCAT(_xlfn.XLOOKUP("[S05_DefaultValues][517][InstallationCategory]",Submission!$O:$O,Submission!$H:$N,""))</f>
        <v/>
      </c>
      <c r="D719" s="417"/>
      <c r="E719" s="417"/>
      <c r="F719" s="417"/>
      <c r="G719" s="36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7" t="str">
        <f>_xlfn.CONCAT(_xlfn.XLOOKUP("[S05_DefaultValues][518][InstallationCategory]",Submission!$O:$O,Submission!$H:$N,""))</f>
        <v/>
      </c>
      <c r="D720" s="417"/>
      <c r="E720" s="417"/>
      <c r="F720" s="417"/>
      <c r="G720" s="36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7" t="str">
        <f>_xlfn.CONCAT(_xlfn.XLOOKUP("[S05_DefaultValues][519][InstallationCategory]",Submission!$O:$O,Submission!$H:$N,""))</f>
        <v/>
      </c>
      <c r="D721" s="417"/>
      <c r="E721" s="417"/>
      <c r="F721" s="417"/>
      <c r="G721" s="36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7" t="str">
        <f>_xlfn.CONCAT(_xlfn.XLOOKUP("[S05_DefaultValues][520][InstallationCategory]",Submission!$O:$O,Submission!$H:$N,""))</f>
        <v/>
      </c>
      <c r="D722" s="417"/>
      <c r="E722" s="417"/>
      <c r="F722" s="417"/>
      <c r="G722" s="36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7" t="str">
        <f>_xlfn.CONCAT(_xlfn.XLOOKUP("[S05_DefaultValues][521][InstallationCategory]",Submission!$O:$O,Submission!$H:$N,""))</f>
        <v/>
      </c>
      <c r="D723" s="417"/>
      <c r="E723" s="417"/>
      <c r="F723" s="417"/>
      <c r="G723" s="36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7" t="str">
        <f>_xlfn.CONCAT(_xlfn.XLOOKUP("[S05_DefaultValues][522][InstallationCategory]",Submission!$O:$O,Submission!$H:$N,""))</f>
        <v/>
      </c>
      <c r="D724" s="417"/>
      <c r="E724" s="417"/>
      <c r="F724" s="417"/>
      <c r="G724" s="36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7" t="str">
        <f>_xlfn.CONCAT(_xlfn.XLOOKUP("[S05_DefaultValues][523][InstallationCategory]",Submission!$O:$O,Submission!$H:$N,""))</f>
        <v/>
      </c>
      <c r="D725" s="417"/>
      <c r="E725" s="417"/>
      <c r="F725" s="417"/>
      <c r="G725" s="36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7" t="str">
        <f>_xlfn.CONCAT(_xlfn.XLOOKUP("[S05_DefaultValues][524][InstallationCategory]",Submission!$O:$O,Submission!$H:$N,""))</f>
        <v/>
      </c>
      <c r="D726" s="417"/>
      <c r="E726" s="417"/>
      <c r="F726" s="417"/>
      <c r="G726" s="36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7" t="str">
        <f>_xlfn.CONCAT(_xlfn.XLOOKUP("[S05_DefaultValues][525][InstallationCategory]",Submission!$O:$O,Submission!$H:$N,""))</f>
        <v/>
      </c>
      <c r="D727" s="417"/>
      <c r="E727" s="417"/>
      <c r="F727" s="417"/>
      <c r="G727" s="36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7" t="str">
        <f>_xlfn.CONCAT(_xlfn.XLOOKUP("[S05_DefaultValues][526][InstallationCategory]",Submission!$O:$O,Submission!$H:$N,""))</f>
        <v/>
      </c>
      <c r="D728" s="417"/>
      <c r="E728" s="417"/>
      <c r="F728" s="417"/>
      <c r="G728" s="36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7" t="str">
        <f>_xlfn.CONCAT(_xlfn.XLOOKUP("[S05_DefaultValues][527][InstallationCategory]",Submission!$O:$O,Submission!$H:$N,""))</f>
        <v/>
      </c>
      <c r="D729" s="417"/>
      <c r="E729" s="417"/>
      <c r="F729" s="417"/>
      <c r="G729" s="36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7" t="str">
        <f>_xlfn.CONCAT(_xlfn.XLOOKUP("[S05_DefaultValues][528][InstallationCategory]",Submission!$O:$O,Submission!$H:$N,""))</f>
        <v/>
      </c>
      <c r="D730" s="417"/>
      <c r="E730" s="417"/>
      <c r="F730" s="417"/>
      <c r="G730" s="36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7" t="str">
        <f>_xlfn.CONCAT(_xlfn.XLOOKUP("[S05_DefaultValues][529][InstallationCategory]",Submission!$O:$O,Submission!$H:$N,""))</f>
        <v/>
      </c>
      <c r="D731" s="417"/>
      <c r="E731" s="417"/>
      <c r="F731" s="417"/>
      <c r="G731" s="36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7" t="str">
        <f>_xlfn.CONCAT(_xlfn.XLOOKUP("[S05_DefaultValues][530][InstallationCategory]",Submission!$O:$O,Submission!$H:$N,""))</f>
        <v/>
      </c>
      <c r="D732" s="417"/>
      <c r="E732" s="417"/>
      <c r="F732" s="417"/>
      <c r="G732" s="36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7" t="str">
        <f>_xlfn.CONCAT(_xlfn.XLOOKUP("[S05_DefaultValues][531][InstallationCategory]",Submission!$O:$O,Submission!$H:$N,""))</f>
        <v/>
      </c>
      <c r="D733" s="417"/>
      <c r="E733" s="417"/>
      <c r="F733" s="417"/>
      <c r="G733" s="36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7" t="str">
        <f>_xlfn.CONCAT(_xlfn.XLOOKUP("[S05_DefaultValues][532][InstallationCategory]",Submission!$O:$O,Submission!$H:$N,""))</f>
        <v/>
      </c>
      <c r="D734" s="417"/>
      <c r="E734" s="417"/>
      <c r="F734" s="417"/>
      <c r="G734" s="36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7" t="str">
        <f>_xlfn.CONCAT(_xlfn.XLOOKUP("[S05_DefaultValues][533][InstallationCategory]",Submission!$O:$O,Submission!$H:$N,""))</f>
        <v/>
      </c>
      <c r="D735" s="417"/>
      <c r="E735" s="417"/>
      <c r="F735" s="417"/>
      <c r="G735" s="36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7" t="str">
        <f>_xlfn.CONCAT(_xlfn.XLOOKUP("[S05_DefaultValues][534][InstallationCategory]",Submission!$O:$O,Submission!$H:$N,""))</f>
        <v/>
      </c>
      <c r="D736" s="417"/>
      <c r="E736" s="417"/>
      <c r="F736" s="417"/>
      <c r="G736" s="36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7" t="str">
        <f>_xlfn.CONCAT(_xlfn.XLOOKUP("[S05_DefaultValues][535][InstallationCategory]",Submission!$O:$O,Submission!$H:$N,""))</f>
        <v/>
      </c>
      <c r="D737" s="417"/>
      <c r="E737" s="417"/>
      <c r="F737" s="417"/>
      <c r="G737" s="36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7" t="str">
        <f>_xlfn.CONCAT(_xlfn.XLOOKUP("[S05_DefaultValues][536][InstallationCategory]",Submission!$O:$O,Submission!$H:$N,""))</f>
        <v/>
      </c>
      <c r="D738" s="417"/>
      <c r="E738" s="417"/>
      <c r="F738" s="417"/>
      <c r="G738" s="36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7" t="str">
        <f>_xlfn.CONCAT(_xlfn.XLOOKUP("[S05_DefaultValues][537][InstallationCategory]",Submission!$O:$O,Submission!$H:$N,""))</f>
        <v/>
      </c>
      <c r="D739" s="417"/>
      <c r="E739" s="417"/>
      <c r="F739" s="417"/>
      <c r="G739" s="36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7" t="str">
        <f>_xlfn.CONCAT(_xlfn.XLOOKUP("[S05_DefaultValues][538][InstallationCategory]",Submission!$O:$O,Submission!$H:$N,""))</f>
        <v/>
      </c>
      <c r="D740" s="417"/>
      <c r="E740" s="417"/>
      <c r="F740" s="417"/>
      <c r="G740" s="36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7" t="str">
        <f>_xlfn.CONCAT(_xlfn.XLOOKUP("[S05_DefaultValues][539][InstallationCategory]",Submission!$O:$O,Submission!$H:$N,""))</f>
        <v/>
      </c>
      <c r="D741" s="417"/>
      <c r="E741" s="417"/>
      <c r="F741" s="417"/>
      <c r="G741" s="36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7" t="str">
        <f>_xlfn.CONCAT(_xlfn.XLOOKUP("[S05_DefaultValues][540][InstallationCategory]",Submission!$O:$O,Submission!$H:$N,""))</f>
        <v/>
      </c>
      <c r="D742" s="417"/>
      <c r="E742" s="417"/>
      <c r="F742" s="417"/>
      <c r="G742" s="36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7" t="str">
        <f>_xlfn.CONCAT(_xlfn.XLOOKUP("[S05_DefaultValues][541][InstallationCategory]",Submission!$O:$O,Submission!$H:$N,""))</f>
        <v/>
      </c>
      <c r="D743" s="417"/>
      <c r="E743" s="417"/>
      <c r="F743" s="417"/>
      <c r="G743" s="36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7" t="str">
        <f>_xlfn.CONCAT(_xlfn.XLOOKUP("[S05_DefaultValues][542][InstallationCategory]",Submission!$O:$O,Submission!$H:$N,""))</f>
        <v/>
      </c>
      <c r="D744" s="417"/>
      <c r="E744" s="417"/>
      <c r="F744" s="417"/>
      <c r="G744" s="36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7" t="str">
        <f>_xlfn.CONCAT(_xlfn.XLOOKUP("[S05_DefaultValues][543][InstallationCategory]",Submission!$O:$O,Submission!$H:$N,""))</f>
        <v/>
      </c>
      <c r="D745" s="417"/>
      <c r="E745" s="417"/>
      <c r="F745" s="417"/>
      <c r="G745" s="36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7" t="str">
        <f>_xlfn.CONCAT(_xlfn.XLOOKUP("[S05_DefaultValues][544][InstallationCategory]",Submission!$O:$O,Submission!$H:$N,""))</f>
        <v/>
      </c>
      <c r="D746" s="417"/>
      <c r="E746" s="417"/>
      <c r="F746" s="417"/>
      <c r="G746" s="36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7" t="str">
        <f>_xlfn.CONCAT(_xlfn.XLOOKUP("[S05_DefaultValues][545][InstallationCategory]",Submission!$O:$O,Submission!$H:$N,""))</f>
        <v/>
      </c>
      <c r="D747" s="417"/>
      <c r="E747" s="417"/>
      <c r="F747" s="417"/>
      <c r="G747" s="36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7" t="str">
        <f>_xlfn.CONCAT(_xlfn.XLOOKUP("[S05_DefaultValues][546][InstallationCategory]",Submission!$O:$O,Submission!$H:$N,""))</f>
        <v/>
      </c>
      <c r="D748" s="417"/>
      <c r="E748" s="417"/>
      <c r="F748" s="417"/>
      <c r="G748" s="36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7" t="str">
        <f>_xlfn.CONCAT(_xlfn.XLOOKUP("[S05_DefaultValues][547][InstallationCategory]",Submission!$O:$O,Submission!$H:$N,""))</f>
        <v/>
      </c>
      <c r="D749" s="417"/>
      <c r="E749" s="417"/>
      <c r="F749" s="417"/>
      <c r="G749" s="36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7" t="str">
        <f>_xlfn.CONCAT(_xlfn.XLOOKUP("[S05_DefaultValues][548][InstallationCategory]",Submission!$O:$O,Submission!$H:$N,""))</f>
        <v/>
      </c>
      <c r="D750" s="417"/>
      <c r="E750" s="417"/>
      <c r="F750" s="417"/>
      <c r="G750" s="36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7" t="str">
        <f>_xlfn.CONCAT(_xlfn.XLOOKUP("[S05_DefaultValues][549][InstallationCategory]",Submission!$O:$O,Submission!$H:$N,""))</f>
        <v/>
      </c>
      <c r="D751" s="417"/>
      <c r="E751" s="417"/>
      <c r="F751" s="417"/>
      <c r="G751" s="36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7" t="str">
        <f>_xlfn.CONCAT(_xlfn.XLOOKUP("[S05_DefaultValues][550][InstallationCategory]",Submission!$O:$O,Submission!$H:$N,""))</f>
        <v/>
      </c>
      <c r="D752" s="417"/>
      <c r="E752" s="417"/>
      <c r="F752" s="417"/>
      <c r="G752" s="36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7" t="str">
        <f>_xlfn.CONCAT(_xlfn.XLOOKUP("[S05_DefaultValues][551][InstallationCategory]",Submission!$O:$O,Submission!$H:$N,""))</f>
        <v/>
      </c>
      <c r="D753" s="417"/>
      <c r="E753" s="417"/>
      <c r="F753" s="417"/>
      <c r="G753" s="36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7" t="str">
        <f>_xlfn.CONCAT(_xlfn.XLOOKUP("[S05_DefaultValues][552][InstallationCategory]",Submission!$O:$O,Submission!$H:$N,""))</f>
        <v/>
      </c>
      <c r="D754" s="417"/>
      <c r="E754" s="417"/>
      <c r="F754" s="417"/>
      <c r="G754" s="36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7" t="str">
        <f>_xlfn.CONCAT(_xlfn.XLOOKUP("[S05_DefaultValues][553][InstallationCategory]",Submission!$O:$O,Submission!$H:$N,""))</f>
        <v/>
      </c>
      <c r="D755" s="417"/>
      <c r="E755" s="417"/>
      <c r="F755" s="417"/>
      <c r="G755" s="36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7" t="str">
        <f>_xlfn.CONCAT(_xlfn.XLOOKUP("[S05_DefaultValues][554][InstallationCategory]",Submission!$O:$O,Submission!$H:$N,""))</f>
        <v/>
      </c>
      <c r="D756" s="417"/>
      <c r="E756" s="417"/>
      <c r="F756" s="417"/>
      <c r="G756" s="36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7" t="str">
        <f>_xlfn.CONCAT(_xlfn.XLOOKUP("[S05_DefaultValues][555][InstallationCategory]",Submission!$O:$O,Submission!$H:$N,""))</f>
        <v/>
      </c>
      <c r="D757" s="417"/>
      <c r="E757" s="417"/>
      <c r="F757" s="417"/>
      <c r="G757" s="36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7" t="str">
        <f>_xlfn.CONCAT(_xlfn.XLOOKUP("[S05_DefaultValues][556][InstallationCategory]",Submission!$O:$O,Submission!$H:$N,""))</f>
        <v/>
      </c>
      <c r="D758" s="417"/>
      <c r="E758" s="417"/>
      <c r="F758" s="417"/>
      <c r="G758" s="36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7" t="str">
        <f>_xlfn.CONCAT(_xlfn.XLOOKUP("[S05_DefaultValues][557][InstallationCategory]",Submission!$O:$O,Submission!$H:$N,""))</f>
        <v/>
      </c>
      <c r="D759" s="417"/>
      <c r="E759" s="417"/>
      <c r="F759" s="417"/>
      <c r="G759" s="36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7" t="str">
        <f>_xlfn.CONCAT(_xlfn.XLOOKUP("[S05_DefaultValues][558][InstallationCategory]",Submission!$O:$O,Submission!$H:$N,""))</f>
        <v/>
      </c>
      <c r="D760" s="417"/>
      <c r="E760" s="417"/>
      <c r="F760" s="417"/>
      <c r="G760" s="36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7" t="str">
        <f>_xlfn.CONCAT(_xlfn.XLOOKUP("[S05_DefaultValues][559][InstallationCategory]",Submission!$O:$O,Submission!$H:$N,""))</f>
        <v/>
      </c>
      <c r="D761" s="417"/>
      <c r="E761" s="417"/>
      <c r="F761" s="417"/>
      <c r="G761" s="36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7" t="str">
        <f>_xlfn.CONCAT(_xlfn.XLOOKUP("[S05_DefaultValues][560][InstallationCategory]",Submission!$O:$O,Submission!$H:$N,""))</f>
        <v/>
      </c>
      <c r="D762" s="417"/>
      <c r="E762" s="417"/>
      <c r="F762" s="417"/>
      <c r="G762" s="36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7" t="str">
        <f>_xlfn.CONCAT(_xlfn.XLOOKUP("[S05_DefaultValues][561][InstallationCategory]",Submission!$O:$O,Submission!$H:$N,""))</f>
        <v/>
      </c>
      <c r="D763" s="417"/>
      <c r="E763" s="417"/>
      <c r="F763" s="417"/>
      <c r="G763" s="36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7" t="str">
        <f>_xlfn.CONCAT(_xlfn.XLOOKUP("[S05_DefaultValues][562][InstallationCategory]",Submission!$O:$O,Submission!$H:$N,""))</f>
        <v/>
      </c>
      <c r="D764" s="417"/>
      <c r="E764" s="417"/>
      <c r="F764" s="417"/>
      <c r="G764" s="36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7" t="str">
        <f>_xlfn.CONCAT(_xlfn.XLOOKUP("[S05_DefaultValues][563][InstallationCategory]",Submission!$O:$O,Submission!$H:$N,""))</f>
        <v/>
      </c>
      <c r="D765" s="417"/>
      <c r="E765" s="417"/>
      <c r="F765" s="417"/>
      <c r="G765" s="36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7" t="str">
        <f>_xlfn.CONCAT(_xlfn.XLOOKUP("[S05_DefaultValues][564][InstallationCategory]",Submission!$O:$O,Submission!$H:$N,""))</f>
        <v/>
      </c>
      <c r="D766" s="417"/>
      <c r="E766" s="417"/>
      <c r="F766" s="417"/>
      <c r="G766" s="36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7" t="str">
        <f>_xlfn.CONCAT(_xlfn.XLOOKUP("[S05_DefaultValues][565][InstallationCategory]",Submission!$O:$O,Submission!$H:$N,""))</f>
        <v/>
      </c>
      <c r="D767" s="417"/>
      <c r="E767" s="417"/>
      <c r="F767" s="417"/>
      <c r="G767" s="36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7" t="str">
        <f>_xlfn.CONCAT(_xlfn.XLOOKUP("[S05_DefaultValues][566][InstallationCategory]",Submission!$O:$O,Submission!$H:$N,""))</f>
        <v/>
      </c>
      <c r="D768" s="417"/>
      <c r="E768" s="417"/>
      <c r="F768" s="417"/>
      <c r="G768" s="36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7" t="str">
        <f>_xlfn.CONCAT(_xlfn.XLOOKUP("[S05_DefaultValues][567][InstallationCategory]",Submission!$O:$O,Submission!$H:$N,""))</f>
        <v/>
      </c>
      <c r="D769" s="417"/>
      <c r="E769" s="417"/>
      <c r="F769" s="417"/>
      <c r="G769" s="36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7" t="str">
        <f>_xlfn.CONCAT(_xlfn.XLOOKUP("[S05_DefaultValues][568][InstallationCategory]",Submission!$O:$O,Submission!$H:$N,""))</f>
        <v/>
      </c>
      <c r="D770" s="417"/>
      <c r="E770" s="417"/>
      <c r="F770" s="417"/>
      <c r="G770" s="36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7" t="str">
        <f>_xlfn.CONCAT(_xlfn.XLOOKUP("[S05_DefaultValues][569][InstallationCategory]",Submission!$O:$O,Submission!$H:$N,""))</f>
        <v/>
      </c>
      <c r="D771" s="417"/>
      <c r="E771" s="417"/>
      <c r="F771" s="417"/>
      <c r="G771" s="36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7" t="str">
        <f>_xlfn.CONCAT(_xlfn.XLOOKUP("[S05_DefaultValues][570][InstallationCategory]",Submission!$O:$O,Submission!$H:$N,""))</f>
        <v/>
      </c>
      <c r="D772" s="417"/>
      <c r="E772" s="417"/>
      <c r="F772" s="417"/>
      <c r="G772" s="36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7" t="str">
        <f>_xlfn.CONCAT(_xlfn.XLOOKUP("[S05_DefaultValues][571][InstallationCategory]",Submission!$O:$O,Submission!$H:$N,""))</f>
        <v/>
      </c>
      <c r="D773" s="417"/>
      <c r="E773" s="417"/>
      <c r="F773" s="417"/>
      <c r="G773" s="36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7" t="str">
        <f>_xlfn.CONCAT(_xlfn.XLOOKUP("[S05_DefaultValues][572][InstallationCategory]",Submission!$O:$O,Submission!$H:$N,""))</f>
        <v/>
      </c>
      <c r="D774" s="417"/>
      <c r="E774" s="417"/>
      <c r="F774" s="417"/>
      <c r="G774" s="36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7" t="str">
        <f>_xlfn.CONCAT(_xlfn.XLOOKUP("[S05_DefaultValues][573][InstallationCategory]",Submission!$O:$O,Submission!$H:$N,""))</f>
        <v/>
      </c>
      <c r="D775" s="417"/>
      <c r="E775" s="417"/>
      <c r="F775" s="417"/>
      <c r="G775" s="36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7" t="str">
        <f>_xlfn.CONCAT(_xlfn.XLOOKUP("[S05_DefaultValues][574][InstallationCategory]",Submission!$O:$O,Submission!$H:$N,""))</f>
        <v/>
      </c>
      <c r="D776" s="417"/>
      <c r="E776" s="417"/>
      <c r="F776" s="417"/>
      <c r="G776" s="36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7" t="str">
        <f>_xlfn.CONCAT(_xlfn.XLOOKUP("[S05_DefaultValues][575][InstallationCategory]",Submission!$O:$O,Submission!$H:$N,""))</f>
        <v/>
      </c>
      <c r="D777" s="417"/>
      <c r="E777" s="417"/>
      <c r="F777" s="417"/>
      <c r="G777" s="36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7" t="str">
        <f>_xlfn.CONCAT(_xlfn.XLOOKUP("[S05_DefaultValues][576][InstallationCategory]",Submission!$O:$O,Submission!$H:$N,""))</f>
        <v/>
      </c>
      <c r="D778" s="417"/>
      <c r="E778" s="417"/>
      <c r="F778" s="417"/>
      <c r="G778" s="36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7" t="str">
        <f>_xlfn.CONCAT(_xlfn.XLOOKUP("[S05_DefaultValues][577][InstallationCategory]",Submission!$O:$O,Submission!$H:$N,""))</f>
        <v/>
      </c>
      <c r="D779" s="417"/>
      <c r="E779" s="417"/>
      <c r="F779" s="417"/>
      <c r="G779" s="36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7" t="str">
        <f>_xlfn.CONCAT(_xlfn.XLOOKUP("[S05_DefaultValues][578][InstallationCategory]",Submission!$O:$O,Submission!$H:$N,""))</f>
        <v/>
      </c>
      <c r="D780" s="417"/>
      <c r="E780" s="417"/>
      <c r="F780" s="417"/>
      <c r="G780" s="36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7" t="str">
        <f>_xlfn.CONCAT(_xlfn.XLOOKUP("[S05_DefaultValues][579][InstallationCategory]",Submission!$O:$O,Submission!$H:$N,""))</f>
        <v/>
      </c>
      <c r="D781" s="417"/>
      <c r="E781" s="417"/>
      <c r="F781" s="417"/>
      <c r="G781" s="36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7" t="str">
        <f>_xlfn.CONCAT(_xlfn.XLOOKUP("[S05_DefaultValues][580][InstallationCategory]",Submission!$O:$O,Submission!$H:$N,""))</f>
        <v/>
      </c>
      <c r="D782" s="417"/>
      <c r="E782" s="417"/>
      <c r="F782" s="417"/>
      <c r="G782" s="36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7" t="str">
        <f>_xlfn.CONCAT(_xlfn.XLOOKUP("[S05_DefaultValues][581][InstallationCategory]",Submission!$O:$O,Submission!$H:$N,""))</f>
        <v/>
      </c>
      <c r="D783" s="417"/>
      <c r="E783" s="417"/>
      <c r="F783" s="417"/>
      <c r="G783" s="36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7" t="str">
        <f>_xlfn.CONCAT(_xlfn.XLOOKUP("[S05_DefaultValues][582][InstallationCategory]",Submission!$O:$O,Submission!$H:$N,""))</f>
        <v/>
      </c>
      <c r="D784" s="417"/>
      <c r="E784" s="417"/>
      <c r="F784" s="417"/>
      <c r="G784" s="36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7" t="str">
        <f>_xlfn.CONCAT(_xlfn.XLOOKUP("[S05_DefaultValues][583][InstallationCategory]",Submission!$O:$O,Submission!$H:$N,""))</f>
        <v/>
      </c>
      <c r="D785" s="417"/>
      <c r="E785" s="417"/>
      <c r="F785" s="417"/>
      <c r="G785" s="36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7" t="str">
        <f>_xlfn.CONCAT(_xlfn.XLOOKUP("[S05_DefaultValues][584][InstallationCategory]",Submission!$O:$O,Submission!$H:$N,""))</f>
        <v/>
      </c>
      <c r="D786" s="417"/>
      <c r="E786" s="417"/>
      <c r="F786" s="417"/>
      <c r="G786" s="36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7" t="str">
        <f>_xlfn.CONCAT(_xlfn.XLOOKUP("[S05_DefaultValues][585][InstallationCategory]",Submission!$O:$O,Submission!$H:$N,""))</f>
        <v/>
      </c>
      <c r="D787" s="417"/>
      <c r="E787" s="417"/>
      <c r="F787" s="417"/>
      <c r="G787" s="36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7" t="str">
        <f>_xlfn.CONCAT(_xlfn.XLOOKUP("[S05_DefaultValues][586][InstallationCategory]",Submission!$O:$O,Submission!$H:$N,""))</f>
        <v/>
      </c>
      <c r="D788" s="417"/>
      <c r="E788" s="417"/>
      <c r="F788" s="417"/>
      <c r="G788" s="36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7" t="str">
        <f>_xlfn.CONCAT(_xlfn.XLOOKUP("[S05_DefaultValues][587][InstallationCategory]",Submission!$O:$O,Submission!$H:$N,""))</f>
        <v/>
      </c>
      <c r="D789" s="417"/>
      <c r="E789" s="417"/>
      <c r="F789" s="417"/>
      <c r="G789" s="36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7" t="str">
        <f>_xlfn.CONCAT(_xlfn.XLOOKUP("[S05_DefaultValues][588][InstallationCategory]",Submission!$O:$O,Submission!$H:$N,""))</f>
        <v/>
      </c>
      <c r="D790" s="417"/>
      <c r="E790" s="417"/>
      <c r="F790" s="417"/>
      <c r="G790" s="36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7" t="str">
        <f>_xlfn.CONCAT(_xlfn.XLOOKUP("[S05_DefaultValues][589][InstallationCategory]",Submission!$O:$O,Submission!$H:$N,""))</f>
        <v/>
      </c>
      <c r="D791" s="417"/>
      <c r="E791" s="417"/>
      <c r="F791" s="417"/>
      <c r="G791" s="36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7" t="str">
        <f>_xlfn.CONCAT(_xlfn.XLOOKUP("[S05_DefaultValues][590][InstallationCategory]",Submission!$O:$O,Submission!$H:$N,""))</f>
        <v/>
      </c>
      <c r="D792" s="417"/>
      <c r="E792" s="417"/>
      <c r="F792" s="417"/>
      <c r="G792" s="36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7" t="str">
        <f>_xlfn.CONCAT(_xlfn.XLOOKUP("[S05_DefaultValues][591][InstallationCategory]",Submission!$O:$O,Submission!$H:$N,""))</f>
        <v/>
      </c>
      <c r="D793" s="417"/>
      <c r="E793" s="417"/>
      <c r="F793" s="417"/>
      <c r="G793" s="36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7" t="str">
        <f>_xlfn.CONCAT(_xlfn.XLOOKUP("[S05_DefaultValues][592][InstallationCategory]",Submission!$O:$O,Submission!$H:$N,""))</f>
        <v/>
      </c>
      <c r="D794" s="417"/>
      <c r="E794" s="417"/>
      <c r="F794" s="417"/>
      <c r="G794" s="36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7" t="str">
        <f>_xlfn.CONCAT(_xlfn.XLOOKUP("[S05_DefaultValues][593][InstallationCategory]",Submission!$O:$O,Submission!$H:$N,""))</f>
        <v/>
      </c>
      <c r="D795" s="417"/>
      <c r="E795" s="417"/>
      <c r="F795" s="417"/>
      <c r="G795" s="36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7" t="str">
        <f>_xlfn.CONCAT(_xlfn.XLOOKUP("[S05_DefaultValues][594][InstallationCategory]",Submission!$O:$O,Submission!$H:$N,""))</f>
        <v/>
      </c>
      <c r="D796" s="417"/>
      <c r="E796" s="417"/>
      <c r="F796" s="417"/>
      <c r="G796" s="36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7" t="str">
        <f>_xlfn.CONCAT(_xlfn.XLOOKUP("[S05_DefaultValues][595][InstallationCategory]",Submission!$O:$O,Submission!$H:$N,""))</f>
        <v/>
      </c>
      <c r="D797" s="417"/>
      <c r="E797" s="417"/>
      <c r="F797" s="417"/>
      <c r="G797" s="36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7" t="str">
        <f>_xlfn.CONCAT(_xlfn.XLOOKUP("[S05_DefaultValues][596][InstallationCategory]",Submission!$O:$O,Submission!$H:$N,""))</f>
        <v/>
      </c>
      <c r="D798" s="417"/>
      <c r="E798" s="417"/>
      <c r="F798" s="417"/>
      <c r="G798" s="36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7" t="str">
        <f>_xlfn.CONCAT(_xlfn.XLOOKUP("[S05_DefaultValues][597][InstallationCategory]",Submission!$O:$O,Submission!$H:$N,""))</f>
        <v/>
      </c>
      <c r="D799" s="417"/>
      <c r="E799" s="417"/>
      <c r="F799" s="417"/>
      <c r="G799" s="36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7" t="str">
        <f>_xlfn.CONCAT(_xlfn.XLOOKUP("[S05_DefaultValues][598][InstallationCategory]",Submission!$O:$O,Submission!$H:$N,""))</f>
        <v/>
      </c>
      <c r="D800" s="417"/>
      <c r="E800" s="417"/>
      <c r="F800" s="417"/>
      <c r="G800" s="36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7" t="str">
        <f>_xlfn.CONCAT(_xlfn.XLOOKUP("[S05_DefaultValues][599][InstallationCategory]",Submission!$O:$O,Submission!$H:$N,""))</f>
        <v/>
      </c>
      <c r="D801" s="417"/>
      <c r="E801" s="417"/>
      <c r="F801" s="417"/>
      <c r="G801" s="36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7" t="str">
        <f>_xlfn.CONCAT(_xlfn.XLOOKUP("[S05_DefaultValues][600][InstallationCategory]",Submission!$O:$O,Submission!$H:$N,""))</f>
        <v/>
      </c>
      <c r="D802" s="417"/>
      <c r="E802" s="417"/>
      <c r="F802" s="417"/>
      <c r="G802" s="36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7" t="str">
        <f>_xlfn.CONCAT(_xlfn.XLOOKUP("[S05_DefaultValues][601][InstallationCategory]",Submission!$O:$O,Submission!$H:$N,""))</f>
        <v/>
      </c>
      <c r="D803" s="417"/>
      <c r="E803" s="417"/>
      <c r="F803" s="417"/>
      <c r="G803" s="36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7" t="str">
        <f>_xlfn.CONCAT(_xlfn.XLOOKUP("[S05_DefaultValues][602][InstallationCategory]",Submission!$O:$O,Submission!$H:$N,""))</f>
        <v/>
      </c>
      <c r="D804" s="417"/>
      <c r="E804" s="417"/>
      <c r="F804" s="417"/>
      <c r="G804" s="36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7" t="str">
        <f>_xlfn.CONCAT(_xlfn.XLOOKUP("[S05_DefaultValues][603][InstallationCategory]",Submission!$O:$O,Submission!$H:$N,""))</f>
        <v/>
      </c>
      <c r="D805" s="417"/>
      <c r="E805" s="417"/>
      <c r="F805" s="417"/>
      <c r="G805" s="36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7" t="str">
        <f>_xlfn.CONCAT(_xlfn.XLOOKUP("[S05_DefaultValues][604][InstallationCategory]",Submission!$O:$O,Submission!$H:$N,""))</f>
        <v/>
      </c>
      <c r="D806" s="417"/>
      <c r="E806" s="417"/>
      <c r="F806" s="417"/>
      <c r="G806" s="36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7" t="str">
        <f>_xlfn.CONCAT(_xlfn.XLOOKUP("[S05_DefaultValues][605][InstallationCategory]",Submission!$O:$O,Submission!$H:$N,""))</f>
        <v/>
      </c>
      <c r="D807" s="417"/>
      <c r="E807" s="417"/>
      <c r="F807" s="417"/>
      <c r="G807" s="36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7" t="str">
        <f>_xlfn.CONCAT(_xlfn.XLOOKUP("[S05_DefaultValues][606][InstallationCategory]",Submission!$O:$O,Submission!$H:$N,""))</f>
        <v/>
      </c>
      <c r="D808" s="417"/>
      <c r="E808" s="417"/>
      <c r="F808" s="417"/>
      <c r="G808" s="36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7" t="str">
        <f>_xlfn.CONCAT(_xlfn.XLOOKUP("[S05_DefaultValues][607][InstallationCategory]",Submission!$O:$O,Submission!$H:$N,""))</f>
        <v/>
      </c>
      <c r="D809" s="417"/>
      <c r="E809" s="417"/>
      <c r="F809" s="417"/>
      <c r="G809" s="36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7" t="str">
        <f>_xlfn.CONCAT(_xlfn.XLOOKUP("[S05_DefaultValues][608][InstallationCategory]",Submission!$O:$O,Submission!$H:$N,""))</f>
        <v/>
      </c>
      <c r="D810" s="417"/>
      <c r="E810" s="417"/>
      <c r="F810" s="417"/>
      <c r="G810" s="36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7" t="str">
        <f>_xlfn.CONCAT(_xlfn.XLOOKUP("[S05_DefaultValues][609][InstallationCategory]",Submission!$O:$O,Submission!$H:$N,""))</f>
        <v/>
      </c>
      <c r="D811" s="417"/>
      <c r="E811" s="417"/>
      <c r="F811" s="417"/>
      <c r="G811" s="36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7" t="str">
        <f>_xlfn.CONCAT(_xlfn.XLOOKUP("[S05_DefaultValues][610][InstallationCategory]",Submission!$O:$O,Submission!$H:$N,""))</f>
        <v/>
      </c>
      <c r="D812" s="417"/>
      <c r="E812" s="417"/>
      <c r="F812" s="417"/>
      <c r="G812" s="36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7" t="str">
        <f>_xlfn.CONCAT(_xlfn.XLOOKUP("[S05_DefaultValues][611][InstallationCategory]",Submission!$O:$O,Submission!$H:$N,""))</f>
        <v/>
      </c>
      <c r="D813" s="417"/>
      <c r="E813" s="417"/>
      <c r="F813" s="417"/>
      <c r="G813" s="36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7" t="str">
        <f>_xlfn.CONCAT(_xlfn.XLOOKUP("[S05_DefaultValues][612][InstallationCategory]",Submission!$O:$O,Submission!$H:$N,""))</f>
        <v/>
      </c>
      <c r="D814" s="417"/>
      <c r="E814" s="417"/>
      <c r="F814" s="417"/>
      <c r="G814" s="36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7" t="str">
        <f>_xlfn.CONCAT(_xlfn.XLOOKUP("[S05_DefaultValues][613][InstallationCategory]",Submission!$O:$O,Submission!$H:$N,""))</f>
        <v/>
      </c>
      <c r="D815" s="417"/>
      <c r="E815" s="417"/>
      <c r="F815" s="417"/>
      <c r="G815" s="36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7" t="str">
        <f>_xlfn.CONCAT(_xlfn.XLOOKUP("[S05_DefaultValues][614][InstallationCategory]",Submission!$O:$O,Submission!$H:$N,""))</f>
        <v/>
      </c>
      <c r="D816" s="417"/>
      <c r="E816" s="417"/>
      <c r="F816" s="417"/>
      <c r="G816" s="36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7" t="str">
        <f>_xlfn.CONCAT(_xlfn.XLOOKUP("[S05_DefaultValues][615][InstallationCategory]",Submission!$O:$O,Submission!$H:$N,""))</f>
        <v/>
      </c>
      <c r="D817" s="417"/>
      <c r="E817" s="417"/>
      <c r="F817" s="417"/>
      <c r="G817" s="36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7" t="str">
        <f>_xlfn.CONCAT(_xlfn.XLOOKUP("[S05_DefaultValues][616][InstallationCategory]",Submission!$O:$O,Submission!$H:$N,""))</f>
        <v/>
      </c>
      <c r="D818" s="417"/>
      <c r="E818" s="417"/>
      <c r="F818" s="417"/>
      <c r="G818" s="36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7" t="str">
        <f>_xlfn.CONCAT(_xlfn.XLOOKUP("[S05_DefaultValues][617][InstallationCategory]",Submission!$O:$O,Submission!$H:$N,""))</f>
        <v/>
      </c>
      <c r="D819" s="417"/>
      <c r="E819" s="417"/>
      <c r="F819" s="417"/>
      <c r="G819" s="36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7" t="str">
        <f>_xlfn.CONCAT(_xlfn.XLOOKUP("[S05_DefaultValues][618][InstallationCategory]",Submission!$O:$O,Submission!$H:$N,""))</f>
        <v/>
      </c>
      <c r="D820" s="417"/>
      <c r="E820" s="417"/>
      <c r="F820" s="417"/>
      <c r="G820" s="36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7" t="str">
        <f>_xlfn.CONCAT(_xlfn.XLOOKUP("[S05_DefaultValues][619][InstallationCategory]",Submission!$O:$O,Submission!$H:$N,""))</f>
        <v/>
      </c>
      <c r="D821" s="417"/>
      <c r="E821" s="417"/>
      <c r="F821" s="417"/>
      <c r="G821" s="36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7" t="str">
        <f>_xlfn.CONCAT(_xlfn.XLOOKUP("[S05_DefaultValues][620][InstallationCategory]",Submission!$O:$O,Submission!$H:$N,""))</f>
        <v/>
      </c>
      <c r="D822" s="417"/>
      <c r="E822" s="417"/>
      <c r="F822" s="417"/>
      <c r="G822" s="36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7" t="str">
        <f>_xlfn.CONCAT(_xlfn.XLOOKUP("[S05_DefaultValues][621][InstallationCategory]",Submission!$O:$O,Submission!$H:$N,""))</f>
        <v/>
      </c>
      <c r="D823" s="417"/>
      <c r="E823" s="417"/>
      <c r="F823" s="417"/>
      <c r="G823" s="36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7" t="str">
        <f>_xlfn.CONCAT(_xlfn.XLOOKUP("[S05_DefaultValues][622][InstallationCategory]",Submission!$O:$O,Submission!$H:$N,""))</f>
        <v/>
      </c>
      <c r="D824" s="417"/>
      <c r="E824" s="417"/>
      <c r="F824" s="417"/>
      <c r="G824" s="36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7" t="str">
        <f>_xlfn.CONCAT(_xlfn.XLOOKUP("[S05_DefaultValues][623][InstallationCategory]",Submission!$O:$O,Submission!$H:$N,""))</f>
        <v/>
      </c>
      <c r="D825" s="417"/>
      <c r="E825" s="417"/>
      <c r="F825" s="417"/>
      <c r="G825" s="36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7" t="str">
        <f>_xlfn.CONCAT(_xlfn.XLOOKUP("[S05_DefaultValues][624][InstallationCategory]",Submission!$O:$O,Submission!$H:$N,""))</f>
        <v/>
      </c>
      <c r="D826" s="417"/>
      <c r="E826" s="417"/>
      <c r="F826" s="417"/>
      <c r="G826" s="36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7" t="str">
        <f>_xlfn.CONCAT(_xlfn.XLOOKUP("[S05_DefaultValues][625][InstallationCategory]",Submission!$O:$O,Submission!$H:$N,""))</f>
        <v/>
      </c>
      <c r="D827" s="417"/>
      <c r="E827" s="417"/>
      <c r="F827" s="417"/>
      <c r="G827" s="36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7" t="str">
        <f>_xlfn.CONCAT(_xlfn.XLOOKUP("[S05_DefaultValues][626][InstallationCategory]",Submission!$O:$O,Submission!$H:$N,""))</f>
        <v/>
      </c>
      <c r="D828" s="417"/>
      <c r="E828" s="417"/>
      <c r="F828" s="417"/>
      <c r="G828" s="36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7" t="str">
        <f>_xlfn.CONCAT(_xlfn.XLOOKUP("[S05_DefaultValues][627][InstallationCategory]",Submission!$O:$O,Submission!$H:$N,""))</f>
        <v/>
      </c>
      <c r="D829" s="417"/>
      <c r="E829" s="417"/>
      <c r="F829" s="417"/>
      <c r="G829" s="36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7" t="str">
        <f>_xlfn.CONCAT(_xlfn.XLOOKUP("[S05_DefaultValues][628][InstallationCategory]",Submission!$O:$O,Submission!$H:$N,""))</f>
        <v/>
      </c>
      <c r="D830" s="417"/>
      <c r="E830" s="417"/>
      <c r="F830" s="417"/>
      <c r="G830" s="36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7" t="str">
        <f>_xlfn.CONCAT(_xlfn.XLOOKUP("[S05_DefaultValues][629][InstallationCategory]",Submission!$O:$O,Submission!$H:$N,""))</f>
        <v/>
      </c>
      <c r="D831" s="417"/>
      <c r="E831" s="417"/>
      <c r="F831" s="417"/>
      <c r="G831" s="36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7" t="str">
        <f>_xlfn.CONCAT(_xlfn.XLOOKUP("[S05_DefaultValues][630][InstallationCategory]",Submission!$O:$O,Submission!$H:$N,""))</f>
        <v/>
      </c>
      <c r="D832" s="417"/>
      <c r="E832" s="417"/>
      <c r="F832" s="417"/>
      <c r="G832" s="36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7" t="str">
        <f>_xlfn.CONCAT(_xlfn.XLOOKUP("[S05_DefaultValues][631][InstallationCategory]",Submission!$O:$O,Submission!$H:$N,""))</f>
        <v/>
      </c>
      <c r="D833" s="417"/>
      <c r="E833" s="417"/>
      <c r="F833" s="417"/>
      <c r="G833" s="36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7" t="str">
        <f>_xlfn.CONCAT(_xlfn.XLOOKUP("[S05_DefaultValues][632][InstallationCategory]",Submission!$O:$O,Submission!$H:$N,""))</f>
        <v/>
      </c>
      <c r="D834" s="417"/>
      <c r="E834" s="417"/>
      <c r="F834" s="417"/>
      <c r="G834" s="36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7" t="str">
        <f>_xlfn.CONCAT(_xlfn.XLOOKUP("[S05_DefaultValues][633][InstallationCategory]",Submission!$O:$O,Submission!$H:$N,""))</f>
        <v/>
      </c>
      <c r="D835" s="417"/>
      <c r="E835" s="417"/>
      <c r="F835" s="417"/>
      <c r="G835" s="36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7" t="str">
        <f>_xlfn.CONCAT(_xlfn.XLOOKUP("[S05_DefaultValues][634][InstallationCategory]",Submission!$O:$O,Submission!$H:$N,""))</f>
        <v/>
      </c>
      <c r="D836" s="417"/>
      <c r="E836" s="417"/>
      <c r="F836" s="417"/>
      <c r="G836" s="36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7" t="str">
        <f>_xlfn.CONCAT(_xlfn.XLOOKUP("[S05_DefaultValues][635][InstallationCategory]",Submission!$O:$O,Submission!$H:$N,""))</f>
        <v/>
      </c>
      <c r="D837" s="417"/>
      <c r="E837" s="417"/>
      <c r="F837" s="417"/>
      <c r="G837" s="36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7" t="str">
        <f>_xlfn.CONCAT(_xlfn.XLOOKUP("[S05_DefaultValues][636][InstallationCategory]",Submission!$O:$O,Submission!$H:$N,""))</f>
        <v/>
      </c>
      <c r="D838" s="417"/>
      <c r="E838" s="417"/>
      <c r="F838" s="417"/>
      <c r="G838" s="36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7" t="str">
        <f>_xlfn.CONCAT(_xlfn.XLOOKUP("[S05_DefaultValues][637][InstallationCategory]",Submission!$O:$O,Submission!$H:$N,""))</f>
        <v/>
      </c>
      <c r="D839" s="417"/>
      <c r="E839" s="417"/>
      <c r="F839" s="417"/>
      <c r="G839" s="36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7" t="str">
        <f>_xlfn.CONCAT(_xlfn.XLOOKUP("[S05_DefaultValues][638][InstallationCategory]",Submission!$O:$O,Submission!$H:$N,""))</f>
        <v/>
      </c>
      <c r="D840" s="417"/>
      <c r="E840" s="417"/>
      <c r="F840" s="417"/>
      <c r="G840" s="36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7" t="str">
        <f>_xlfn.CONCAT(_xlfn.XLOOKUP("[S05_DefaultValues][639][InstallationCategory]",Submission!$O:$O,Submission!$H:$N,""))</f>
        <v/>
      </c>
      <c r="D841" s="417"/>
      <c r="E841" s="417"/>
      <c r="F841" s="417"/>
      <c r="G841" s="36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7" t="str">
        <f>_xlfn.CONCAT(_xlfn.XLOOKUP("[S05_DefaultValues][640][InstallationCategory]",Submission!$O:$O,Submission!$H:$N,""))</f>
        <v/>
      </c>
      <c r="D842" s="417"/>
      <c r="E842" s="417"/>
      <c r="F842" s="417"/>
      <c r="G842" s="36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7" t="str">
        <f>_xlfn.CONCAT(_xlfn.XLOOKUP("[S05_DefaultValues][641][InstallationCategory]",Submission!$O:$O,Submission!$H:$N,""))</f>
        <v/>
      </c>
      <c r="D843" s="417"/>
      <c r="E843" s="417"/>
      <c r="F843" s="417"/>
      <c r="G843" s="36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7" t="str">
        <f>_xlfn.CONCAT(_xlfn.XLOOKUP("[S05_DefaultValues][642][InstallationCategory]",Submission!$O:$O,Submission!$H:$N,""))</f>
        <v/>
      </c>
      <c r="D844" s="417"/>
      <c r="E844" s="417"/>
      <c r="F844" s="417"/>
      <c r="G844" s="36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7" t="str">
        <f>_xlfn.CONCAT(_xlfn.XLOOKUP("[S05_DefaultValues][643][InstallationCategory]",Submission!$O:$O,Submission!$H:$N,""))</f>
        <v/>
      </c>
      <c r="D845" s="417"/>
      <c r="E845" s="417"/>
      <c r="F845" s="417"/>
      <c r="G845" s="36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7" t="str">
        <f>_xlfn.CONCAT(_xlfn.XLOOKUP("[S05_DefaultValues][644][InstallationCategory]",Submission!$O:$O,Submission!$H:$N,""))</f>
        <v/>
      </c>
      <c r="D846" s="417"/>
      <c r="E846" s="417"/>
      <c r="F846" s="417"/>
      <c r="G846" s="36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7" t="str">
        <f>_xlfn.CONCAT(_xlfn.XLOOKUP("[S05_DefaultValues][645][InstallationCategory]",Submission!$O:$O,Submission!$H:$N,""))</f>
        <v/>
      </c>
      <c r="D847" s="417"/>
      <c r="E847" s="417"/>
      <c r="F847" s="417"/>
      <c r="G847" s="36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7" t="str">
        <f>_xlfn.CONCAT(_xlfn.XLOOKUP("[S05_DefaultValues][646][InstallationCategory]",Submission!$O:$O,Submission!$H:$N,""))</f>
        <v/>
      </c>
      <c r="D848" s="417"/>
      <c r="E848" s="417"/>
      <c r="F848" s="417"/>
      <c r="G848" s="36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7" t="str">
        <f>_xlfn.CONCAT(_xlfn.XLOOKUP("[S05_DefaultValues][647][InstallationCategory]",Submission!$O:$O,Submission!$H:$N,""))</f>
        <v/>
      </c>
      <c r="D849" s="417"/>
      <c r="E849" s="417"/>
      <c r="F849" s="417"/>
      <c r="G849" s="36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7" t="str">
        <f>_xlfn.CONCAT(_xlfn.XLOOKUP("[S05_DefaultValues][648][InstallationCategory]",Submission!$O:$O,Submission!$H:$N,""))</f>
        <v/>
      </c>
      <c r="D850" s="417"/>
      <c r="E850" s="417"/>
      <c r="F850" s="417"/>
      <c r="G850" s="36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7" t="str">
        <f>_xlfn.CONCAT(_xlfn.XLOOKUP("[S05_DefaultValues][649][InstallationCategory]",Submission!$O:$O,Submission!$H:$N,""))</f>
        <v/>
      </c>
      <c r="D851" s="417"/>
      <c r="E851" s="417"/>
      <c r="F851" s="417"/>
      <c r="G851" s="36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7" t="str">
        <f>_xlfn.CONCAT(_xlfn.XLOOKUP("[S05_DefaultValues][650][InstallationCategory]",Submission!$O:$O,Submission!$H:$N,""))</f>
        <v/>
      </c>
      <c r="D852" s="417"/>
      <c r="E852" s="417"/>
      <c r="F852" s="417"/>
      <c r="G852" s="36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7" t="str">
        <f>_xlfn.CONCAT(_xlfn.XLOOKUP("[S05_DefaultValues][651][InstallationCategory]",Submission!$O:$O,Submission!$H:$N,""))</f>
        <v/>
      </c>
      <c r="D853" s="417"/>
      <c r="E853" s="417"/>
      <c r="F853" s="417"/>
      <c r="G853" s="36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7" t="str">
        <f>_xlfn.CONCAT(_xlfn.XLOOKUP("[S05_DefaultValues][652][InstallationCategory]",Submission!$O:$O,Submission!$H:$N,""))</f>
        <v/>
      </c>
      <c r="D854" s="417"/>
      <c r="E854" s="417"/>
      <c r="F854" s="417"/>
      <c r="G854" s="36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7" t="str">
        <f>_xlfn.CONCAT(_xlfn.XLOOKUP("[S05_DefaultValues][653][InstallationCategory]",Submission!$O:$O,Submission!$H:$N,""))</f>
        <v/>
      </c>
      <c r="D855" s="417"/>
      <c r="E855" s="417"/>
      <c r="F855" s="417"/>
      <c r="G855" s="36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7" t="str">
        <f>_xlfn.CONCAT(_xlfn.XLOOKUP("[S05_DefaultValues][654][InstallationCategory]",Submission!$O:$O,Submission!$H:$N,""))</f>
        <v/>
      </c>
      <c r="D856" s="417"/>
      <c r="E856" s="417"/>
      <c r="F856" s="417"/>
      <c r="G856" s="36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7" t="str">
        <f>_xlfn.CONCAT(_xlfn.XLOOKUP("[S05_DefaultValues][655][InstallationCategory]",Submission!$O:$O,Submission!$H:$N,""))</f>
        <v/>
      </c>
      <c r="D857" s="417"/>
      <c r="E857" s="417"/>
      <c r="F857" s="417"/>
      <c r="G857" s="36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7" t="str">
        <f>_xlfn.CONCAT(_xlfn.XLOOKUP("[S05_DefaultValues][656][InstallationCategory]",Submission!$O:$O,Submission!$H:$N,""))</f>
        <v/>
      </c>
      <c r="D858" s="417"/>
      <c r="E858" s="417"/>
      <c r="F858" s="417"/>
      <c r="G858" s="36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7" t="str">
        <f>_xlfn.CONCAT(_xlfn.XLOOKUP("[S05_DefaultValues][657][InstallationCategory]",Submission!$O:$O,Submission!$H:$N,""))</f>
        <v/>
      </c>
      <c r="D859" s="417"/>
      <c r="E859" s="417"/>
      <c r="F859" s="417"/>
      <c r="G859" s="36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7" t="str">
        <f>_xlfn.CONCAT(_xlfn.XLOOKUP("[S05_DefaultValues][658][InstallationCategory]",Submission!$O:$O,Submission!$H:$N,""))</f>
        <v/>
      </c>
      <c r="D860" s="417"/>
      <c r="E860" s="417"/>
      <c r="F860" s="417"/>
      <c r="G860" s="36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7" t="str">
        <f>_xlfn.CONCAT(_xlfn.XLOOKUP("[S05_DefaultValues][659][InstallationCategory]",Submission!$O:$O,Submission!$H:$N,""))</f>
        <v/>
      </c>
      <c r="D861" s="417"/>
      <c r="E861" s="417"/>
      <c r="F861" s="417"/>
      <c r="G861" s="36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7" t="str">
        <f>_xlfn.CONCAT(_xlfn.XLOOKUP("[S05_DefaultValues][660][InstallationCategory]",Submission!$O:$O,Submission!$H:$N,""))</f>
        <v/>
      </c>
      <c r="D862" s="417"/>
      <c r="E862" s="417"/>
      <c r="F862" s="417"/>
      <c r="G862" s="36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7" t="str">
        <f>_xlfn.CONCAT(_xlfn.XLOOKUP("[S05_DefaultValues][661][InstallationCategory]",Submission!$O:$O,Submission!$H:$N,""))</f>
        <v/>
      </c>
      <c r="D863" s="417"/>
      <c r="E863" s="417"/>
      <c r="F863" s="417"/>
      <c r="G863" s="36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7" t="str">
        <f>_xlfn.CONCAT(_xlfn.XLOOKUP("[S05_DefaultValues][662][InstallationCategory]",Submission!$O:$O,Submission!$H:$N,""))</f>
        <v/>
      </c>
      <c r="D864" s="417"/>
      <c r="E864" s="417"/>
      <c r="F864" s="417"/>
      <c r="G864" s="36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7" t="str">
        <f>_xlfn.CONCAT(_xlfn.XLOOKUP("[S05_DefaultValues][663][InstallationCategory]",Submission!$O:$O,Submission!$H:$N,""))</f>
        <v/>
      </c>
      <c r="D865" s="417"/>
      <c r="E865" s="417"/>
      <c r="F865" s="417"/>
      <c r="G865" s="36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7" t="str">
        <f>_xlfn.CONCAT(_xlfn.XLOOKUP("[S05_DefaultValues][664][InstallationCategory]",Submission!$O:$O,Submission!$H:$N,""))</f>
        <v/>
      </c>
      <c r="D866" s="417"/>
      <c r="E866" s="417"/>
      <c r="F866" s="417"/>
      <c r="G866" s="36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7" t="str">
        <f>_xlfn.CONCAT(_xlfn.XLOOKUP("[S05_DefaultValues][665][InstallationCategory]",Submission!$O:$O,Submission!$H:$N,""))</f>
        <v/>
      </c>
      <c r="D867" s="417"/>
      <c r="E867" s="417"/>
      <c r="F867" s="417"/>
      <c r="G867" s="36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7" t="str">
        <f>_xlfn.CONCAT(_xlfn.XLOOKUP("[S05_DefaultValues][666][InstallationCategory]",Submission!$O:$O,Submission!$H:$N,""))</f>
        <v/>
      </c>
      <c r="D868" s="417"/>
      <c r="E868" s="417"/>
      <c r="F868" s="417"/>
      <c r="G868" s="36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7" t="str">
        <f>_xlfn.CONCAT(_xlfn.XLOOKUP("[S05_DefaultValues][667][InstallationCategory]",Submission!$O:$O,Submission!$H:$N,""))</f>
        <v/>
      </c>
      <c r="D869" s="417"/>
      <c r="E869" s="417"/>
      <c r="F869" s="417"/>
      <c r="G869" s="36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7" t="str">
        <f>_xlfn.CONCAT(_xlfn.XLOOKUP("[S05_DefaultValues][668][InstallationCategory]",Submission!$O:$O,Submission!$H:$N,""))</f>
        <v/>
      </c>
      <c r="D870" s="417"/>
      <c r="E870" s="417"/>
      <c r="F870" s="417"/>
      <c r="G870" s="36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7" t="str">
        <f>_xlfn.CONCAT(_xlfn.XLOOKUP("[S05_DefaultValues][669][InstallationCategory]",Submission!$O:$O,Submission!$H:$N,""))</f>
        <v/>
      </c>
      <c r="D871" s="417"/>
      <c r="E871" s="417"/>
      <c r="F871" s="417"/>
      <c r="G871" s="36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7" t="str">
        <f>_xlfn.CONCAT(_xlfn.XLOOKUP("[S05_DefaultValues][670][InstallationCategory]",Submission!$O:$O,Submission!$H:$N,""))</f>
        <v/>
      </c>
      <c r="D872" s="417"/>
      <c r="E872" s="417"/>
      <c r="F872" s="417"/>
      <c r="G872" s="36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7" t="str">
        <f>_xlfn.CONCAT(_xlfn.XLOOKUP("[S05_DefaultValues][671][InstallationCategory]",Submission!$O:$O,Submission!$H:$N,""))</f>
        <v/>
      </c>
      <c r="D873" s="417"/>
      <c r="E873" s="417"/>
      <c r="F873" s="417"/>
      <c r="G873" s="36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7" t="str">
        <f>_xlfn.CONCAT(_xlfn.XLOOKUP("[S05_DefaultValues][672][InstallationCategory]",Submission!$O:$O,Submission!$H:$N,""))</f>
        <v/>
      </c>
      <c r="D874" s="417"/>
      <c r="E874" s="417"/>
      <c r="F874" s="417"/>
      <c r="G874" s="36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7" t="str">
        <f>_xlfn.CONCAT(_xlfn.XLOOKUP("[S05_DefaultValues][673][InstallationCategory]",Submission!$O:$O,Submission!$H:$N,""))</f>
        <v/>
      </c>
      <c r="D875" s="417"/>
      <c r="E875" s="417"/>
      <c r="F875" s="417"/>
      <c r="G875" s="36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7" t="str">
        <f>_xlfn.CONCAT(_xlfn.XLOOKUP("[S05_DefaultValues][674][InstallationCategory]",Submission!$O:$O,Submission!$H:$N,""))</f>
        <v/>
      </c>
      <c r="D876" s="417"/>
      <c r="E876" s="417"/>
      <c r="F876" s="417"/>
      <c r="G876" s="36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7" t="str">
        <f>_xlfn.CONCAT(_xlfn.XLOOKUP("[S05_DefaultValues][675][InstallationCategory]",Submission!$O:$O,Submission!$H:$N,""))</f>
        <v/>
      </c>
      <c r="D877" s="417"/>
      <c r="E877" s="417"/>
      <c r="F877" s="417"/>
      <c r="G877" s="36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7" t="str">
        <f>_xlfn.CONCAT(_xlfn.XLOOKUP("[S05_DefaultValues][676][InstallationCategory]",Submission!$O:$O,Submission!$H:$N,""))</f>
        <v/>
      </c>
      <c r="D878" s="417"/>
      <c r="E878" s="417"/>
      <c r="F878" s="417"/>
      <c r="G878" s="36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7" t="str">
        <f>_xlfn.CONCAT(_xlfn.XLOOKUP("[S05_DefaultValues][677][InstallationCategory]",Submission!$O:$O,Submission!$H:$N,""))</f>
        <v/>
      </c>
      <c r="D879" s="417"/>
      <c r="E879" s="417"/>
      <c r="F879" s="417"/>
      <c r="G879" s="36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7" t="str">
        <f>_xlfn.CONCAT(_xlfn.XLOOKUP("[S05_DefaultValues][678][InstallationCategory]",Submission!$O:$O,Submission!$H:$N,""))</f>
        <v/>
      </c>
      <c r="D880" s="417"/>
      <c r="E880" s="417"/>
      <c r="F880" s="417"/>
      <c r="G880" s="36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7" t="str">
        <f>_xlfn.CONCAT(_xlfn.XLOOKUP("[S05_DefaultValues][679][InstallationCategory]",Submission!$O:$O,Submission!$H:$N,""))</f>
        <v/>
      </c>
      <c r="D881" s="417"/>
      <c r="E881" s="417"/>
      <c r="F881" s="417"/>
      <c r="G881" s="36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7" t="str">
        <f>_xlfn.CONCAT(_xlfn.XLOOKUP("[S05_DefaultValues][680][InstallationCategory]",Submission!$O:$O,Submission!$H:$N,""))</f>
        <v/>
      </c>
      <c r="D882" s="417"/>
      <c r="E882" s="417"/>
      <c r="F882" s="417"/>
      <c r="G882" s="36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7" t="str">
        <f>_xlfn.CONCAT(_xlfn.XLOOKUP("[S05_DefaultValues][681][InstallationCategory]",Submission!$O:$O,Submission!$H:$N,""))</f>
        <v/>
      </c>
      <c r="D883" s="417"/>
      <c r="E883" s="417"/>
      <c r="F883" s="417"/>
      <c r="G883" s="36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7" t="str">
        <f>_xlfn.CONCAT(_xlfn.XLOOKUP("[S05_DefaultValues][682][InstallationCategory]",Submission!$O:$O,Submission!$H:$N,""))</f>
        <v/>
      </c>
      <c r="D884" s="417"/>
      <c r="E884" s="417"/>
      <c r="F884" s="417"/>
      <c r="G884" s="36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7" t="str">
        <f>_xlfn.CONCAT(_xlfn.XLOOKUP("[S05_DefaultValues][683][InstallationCategory]",Submission!$O:$O,Submission!$H:$N,""))</f>
        <v/>
      </c>
      <c r="D885" s="417"/>
      <c r="E885" s="417"/>
      <c r="F885" s="417"/>
      <c r="G885" s="36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7" t="str">
        <f>_xlfn.CONCAT(_xlfn.XLOOKUP("[S05_DefaultValues][684][InstallationCategory]",Submission!$O:$O,Submission!$H:$N,""))</f>
        <v/>
      </c>
      <c r="D886" s="417"/>
      <c r="E886" s="417"/>
      <c r="F886" s="417"/>
      <c r="G886" s="36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7" t="str">
        <f>_xlfn.CONCAT(_xlfn.XLOOKUP("[S05_DefaultValues][685][InstallationCategory]",Submission!$O:$O,Submission!$H:$N,""))</f>
        <v/>
      </c>
      <c r="D887" s="417"/>
      <c r="E887" s="417"/>
      <c r="F887" s="417"/>
      <c r="G887" s="36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7" t="str">
        <f>_xlfn.CONCAT(_xlfn.XLOOKUP("[S05_DefaultValues][686][InstallationCategory]",Submission!$O:$O,Submission!$H:$N,""))</f>
        <v/>
      </c>
      <c r="D888" s="417"/>
      <c r="E888" s="417"/>
      <c r="F888" s="417"/>
      <c r="G888" s="36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7" t="str">
        <f>_xlfn.CONCAT(_xlfn.XLOOKUP("[S05_DefaultValues][687][InstallationCategory]",Submission!$O:$O,Submission!$H:$N,""))</f>
        <v/>
      </c>
      <c r="D889" s="417"/>
      <c r="E889" s="417"/>
      <c r="F889" s="417"/>
      <c r="G889" s="36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7" t="str">
        <f>_xlfn.CONCAT(_xlfn.XLOOKUP("[S05_DefaultValues][688][InstallationCategory]",Submission!$O:$O,Submission!$H:$N,""))</f>
        <v/>
      </c>
      <c r="D890" s="417"/>
      <c r="E890" s="417"/>
      <c r="F890" s="417"/>
      <c r="G890" s="36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7" t="str">
        <f>_xlfn.CONCAT(_xlfn.XLOOKUP("[S05_DefaultValues][689][InstallationCategory]",Submission!$O:$O,Submission!$H:$N,""))</f>
        <v/>
      </c>
      <c r="D891" s="417"/>
      <c r="E891" s="417"/>
      <c r="F891" s="417"/>
      <c r="G891" s="36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7" t="str">
        <f>_xlfn.CONCAT(_xlfn.XLOOKUP("[S05_DefaultValues][690][InstallationCategory]",Submission!$O:$O,Submission!$H:$N,""))</f>
        <v/>
      </c>
      <c r="D892" s="417"/>
      <c r="E892" s="417"/>
      <c r="F892" s="417"/>
      <c r="G892" s="36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7" t="str">
        <f>_xlfn.CONCAT(_xlfn.XLOOKUP("[S05_DefaultValues][691][InstallationCategory]",Submission!$O:$O,Submission!$H:$N,""))</f>
        <v/>
      </c>
      <c r="D893" s="417"/>
      <c r="E893" s="417"/>
      <c r="F893" s="417"/>
      <c r="G893" s="36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7" t="str">
        <f>_xlfn.CONCAT(_xlfn.XLOOKUP("[S05_DefaultValues][692][InstallationCategory]",Submission!$O:$O,Submission!$H:$N,""))</f>
        <v/>
      </c>
      <c r="D894" s="417"/>
      <c r="E894" s="417"/>
      <c r="F894" s="417"/>
      <c r="G894" s="36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7" t="str">
        <f>_xlfn.CONCAT(_xlfn.XLOOKUP("[S05_DefaultValues][693][InstallationCategory]",Submission!$O:$O,Submission!$H:$N,""))</f>
        <v/>
      </c>
      <c r="D895" s="417"/>
      <c r="E895" s="417"/>
      <c r="F895" s="417"/>
      <c r="G895" s="36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7" t="str">
        <f>_xlfn.CONCAT(_xlfn.XLOOKUP("[S05_DefaultValues][694][InstallationCategory]",Submission!$O:$O,Submission!$H:$N,""))</f>
        <v/>
      </c>
      <c r="D896" s="417"/>
      <c r="E896" s="417"/>
      <c r="F896" s="417"/>
      <c r="G896" s="36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7" t="str">
        <f>_xlfn.CONCAT(_xlfn.XLOOKUP("[S05_DefaultValues][695][InstallationCategory]",Submission!$O:$O,Submission!$H:$N,""))</f>
        <v/>
      </c>
      <c r="D897" s="417"/>
      <c r="E897" s="417"/>
      <c r="F897" s="417"/>
      <c r="G897" s="36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7" t="str">
        <f>_xlfn.CONCAT(_xlfn.XLOOKUP("[S05_DefaultValues][696][InstallationCategory]",Submission!$O:$O,Submission!$H:$N,""))</f>
        <v/>
      </c>
      <c r="D898" s="417"/>
      <c r="E898" s="417"/>
      <c r="F898" s="417"/>
      <c r="G898" s="36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7" t="str">
        <f>_xlfn.CONCAT(_xlfn.XLOOKUP("[S05_DefaultValues][697][InstallationCategory]",Submission!$O:$O,Submission!$H:$N,""))</f>
        <v/>
      </c>
      <c r="D899" s="417"/>
      <c r="E899" s="417"/>
      <c r="F899" s="417"/>
      <c r="G899" s="36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7" t="str">
        <f>_xlfn.CONCAT(_xlfn.XLOOKUP("[S05_DefaultValues][698][InstallationCategory]",Submission!$O:$O,Submission!$H:$N,""))</f>
        <v/>
      </c>
      <c r="D900" s="417"/>
      <c r="E900" s="417"/>
      <c r="F900" s="417"/>
      <c r="G900" s="36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7" t="str">
        <f>_xlfn.CONCAT(_xlfn.XLOOKUP("[S05_DefaultValues][699][InstallationCategory]",Submission!$O:$O,Submission!$H:$N,""))</f>
        <v/>
      </c>
      <c r="D901" s="417"/>
      <c r="E901" s="417"/>
      <c r="F901" s="417"/>
      <c r="G901" s="36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7" t="str">
        <f>_xlfn.CONCAT(_xlfn.XLOOKUP("[S05_DefaultValues][700][InstallationCategory]",Submission!$O:$O,Submission!$H:$N,""))</f>
        <v/>
      </c>
      <c r="D902" s="417"/>
      <c r="E902" s="417"/>
      <c r="F902" s="417"/>
      <c r="G902" s="36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7" t="str">
        <f>_xlfn.CONCAT(_xlfn.XLOOKUP("[S05_DefaultValues][701][InstallationCategory]",Submission!$O:$O,Submission!$H:$N,""))</f>
        <v/>
      </c>
      <c r="D903" s="417"/>
      <c r="E903" s="417"/>
      <c r="F903" s="417"/>
      <c r="G903" s="36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7" t="str">
        <f>_xlfn.CONCAT(_xlfn.XLOOKUP("[S05_DefaultValues][702][InstallationCategory]",Submission!$O:$O,Submission!$H:$N,""))</f>
        <v/>
      </c>
      <c r="D904" s="417"/>
      <c r="E904" s="417"/>
      <c r="F904" s="417"/>
      <c r="G904" s="36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7" t="str">
        <f>_xlfn.CONCAT(_xlfn.XLOOKUP("[S05_DefaultValues][703][InstallationCategory]",Submission!$O:$O,Submission!$H:$N,""))</f>
        <v/>
      </c>
      <c r="D905" s="417"/>
      <c r="E905" s="417"/>
      <c r="F905" s="417"/>
      <c r="G905" s="36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7" t="str">
        <f>_xlfn.CONCAT(_xlfn.XLOOKUP("[S05_DefaultValues][704][InstallationCategory]",Submission!$O:$O,Submission!$H:$N,""))</f>
        <v/>
      </c>
      <c r="D906" s="417"/>
      <c r="E906" s="417"/>
      <c r="F906" s="417"/>
      <c r="G906" s="36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7" t="str">
        <f>_xlfn.CONCAT(_xlfn.XLOOKUP("[S05_DefaultValues][705][InstallationCategory]",Submission!$O:$O,Submission!$H:$N,""))</f>
        <v/>
      </c>
      <c r="D907" s="417"/>
      <c r="E907" s="417"/>
      <c r="F907" s="417"/>
      <c r="G907" s="36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7" t="str">
        <f>_xlfn.CONCAT(_xlfn.XLOOKUP("[S05_DefaultValues][706][InstallationCategory]",Submission!$O:$O,Submission!$H:$N,""))</f>
        <v/>
      </c>
      <c r="D908" s="417"/>
      <c r="E908" s="417"/>
      <c r="F908" s="417"/>
      <c r="G908" s="36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7" t="str">
        <f>_xlfn.CONCAT(_xlfn.XLOOKUP("[S05_DefaultValues][707][InstallationCategory]",Submission!$O:$O,Submission!$H:$N,""))</f>
        <v/>
      </c>
      <c r="D909" s="417"/>
      <c r="E909" s="417"/>
      <c r="F909" s="417"/>
      <c r="G909" s="36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7" t="str">
        <f>_xlfn.CONCAT(_xlfn.XLOOKUP("[S05_DefaultValues][708][InstallationCategory]",Submission!$O:$O,Submission!$H:$N,""))</f>
        <v/>
      </c>
      <c r="D910" s="417"/>
      <c r="E910" s="417"/>
      <c r="F910" s="417"/>
      <c r="G910" s="36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7" t="str">
        <f>_xlfn.CONCAT(_xlfn.XLOOKUP("[S05_DefaultValues][709][InstallationCategory]",Submission!$O:$O,Submission!$H:$N,""))</f>
        <v/>
      </c>
      <c r="D911" s="417"/>
      <c r="E911" s="417"/>
      <c r="F911" s="417"/>
      <c r="G911" s="36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7" t="str">
        <f>_xlfn.CONCAT(_xlfn.XLOOKUP("[S05_DefaultValues][710][InstallationCategory]",Submission!$O:$O,Submission!$H:$N,""))</f>
        <v/>
      </c>
      <c r="D912" s="417"/>
      <c r="E912" s="417"/>
      <c r="F912" s="417"/>
      <c r="G912" s="36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7" t="str">
        <f>_xlfn.CONCAT(_xlfn.XLOOKUP("[S05_DefaultValues][711][InstallationCategory]",Submission!$O:$O,Submission!$H:$N,""))</f>
        <v/>
      </c>
      <c r="D913" s="417"/>
      <c r="E913" s="417"/>
      <c r="F913" s="417"/>
      <c r="G913" s="36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7" t="str">
        <f>_xlfn.CONCAT(_xlfn.XLOOKUP("[S05_DefaultValues][712][InstallationCategory]",Submission!$O:$O,Submission!$H:$N,""))</f>
        <v/>
      </c>
      <c r="D914" s="417"/>
      <c r="E914" s="417"/>
      <c r="F914" s="417"/>
      <c r="G914" s="36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7" t="str">
        <f>_xlfn.CONCAT(_xlfn.XLOOKUP("[S05_DefaultValues][713][InstallationCategory]",Submission!$O:$O,Submission!$H:$N,""))</f>
        <v/>
      </c>
      <c r="D915" s="417"/>
      <c r="E915" s="417"/>
      <c r="F915" s="417"/>
      <c r="G915" s="36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7" t="str">
        <f>_xlfn.CONCAT(_xlfn.XLOOKUP("[S05_DefaultValues][714][InstallationCategory]",Submission!$O:$O,Submission!$H:$N,""))</f>
        <v/>
      </c>
      <c r="D916" s="417"/>
      <c r="E916" s="417"/>
      <c r="F916" s="417"/>
      <c r="G916" s="36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7" t="str">
        <f>_xlfn.CONCAT(_xlfn.XLOOKUP("[S05_DefaultValues][715][InstallationCategory]",Submission!$O:$O,Submission!$H:$N,""))</f>
        <v/>
      </c>
      <c r="D917" s="417"/>
      <c r="E917" s="417"/>
      <c r="F917" s="417"/>
      <c r="G917" s="36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7" t="str">
        <f>_xlfn.CONCAT(_xlfn.XLOOKUP("[S05_DefaultValues][716][InstallationCategory]",Submission!$O:$O,Submission!$H:$N,""))</f>
        <v/>
      </c>
      <c r="D918" s="417"/>
      <c r="E918" s="417"/>
      <c r="F918" s="417"/>
      <c r="G918" s="36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7" t="str">
        <f>_xlfn.CONCAT(_xlfn.XLOOKUP("[S05_DefaultValues][717][InstallationCategory]",Submission!$O:$O,Submission!$H:$N,""))</f>
        <v/>
      </c>
      <c r="D919" s="417"/>
      <c r="E919" s="417"/>
      <c r="F919" s="417"/>
      <c r="G919" s="36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7" t="str">
        <f>_xlfn.CONCAT(_xlfn.XLOOKUP("[S05_DefaultValues][718][InstallationCategory]",Submission!$O:$O,Submission!$H:$N,""))</f>
        <v/>
      </c>
      <c r="D920" s="417"/>
      <c r="E920" s="417"/>
      <c r="F920" s="417"/>
      <c r="G920" s="36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7" t="str">
        <f>_xlfn.CONCAT(_xlfn.XLOOKUP("[S05_DefaultValues][719][InstallationCategory]",Submission!$O:$O,Submission!$H:$N,""))</f>
        <v/>
      </c>
      <c r="D921" s="417"/>
      <c r="E921" s="417"/>
      <c r="F921" s="417"/>
      <c r="G921" s="36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7" t="str">
        <f>_xlfn.CONCAT(_xlfn.XLOOKUP("[S05_DefaultValues][720][InstallationCategory]",Submission!$O:$O,Submission!$H:$N,""))</f>
        <v/>
      </c>
      <c r="D922" s="417"/>
      <c r="E922" s="417"/>
      <c r="F922" s="417"/>
      <c r="G922" s="36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7" t="str">
        <f>_xlfn.CONCAT(_xlfn.XLOOKUP("[S05_DefaultValues][721][InstallationCategory]",Submission!$O:$O,Submission!$H:$N,""))</f>
        <v/>
      </c>
      <c r="D923" s="417"/>
      <c r="E923" s="417"/>
      <c r="F923" s="417"/>
      <c r="G923" s="36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7" t="str">
        <f>_xlfn.CONCAT(_xlfn.XLOOKUP("[S05_DefaultValues][722][InstallationCategory]",Submission!$O:$O,Submission!$H:$N,""))</f>
        <v/>
      </c>
      <c r="D924" s="417"/>
      <c r="E924" s="417"/>
      <c r="F924" s="417"/>
      <c r="G924" s="36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7" t="str">
        <f>_xlfn.CONCAT(_xlfn.XLOOKUP("[S05_DefaultValues][723][InstallationCategory]",Submission!$O:$O,Submission!$H:$N,""))</f>
        <v/>
      </c>
      <c r="D925" s="417"/>
      <c r="E925" s="417"/>
      <c r="F925" s="417"/>
      <c r="G925" s="36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7" t="str">
        <f>_xlfn.CONCAT(_xlfn.XLOOKUP("[S05_DefaultValues][724][InstallationCategory]",Submission!$O:$O,Submission!$H:$N,""))</f>
        <v/>
      </c>
      <c r="D926" s="417"/>
      <c r="E926" s="417"/>
      <c r="F926" s="417"/>
      <c r="G926" s="36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7" t="str">
        <f>_xlfn.CONCAT(_xlfn.XLOOKUP("[S05_DefaultValues][725][InstallationCategory]",Submission!$O:$O,Submission!$H:$N,""))</f>
        <v/>
      </c>
      <c r="D927" s="417"/>
      <c r="E927" s="417"/>
      <c r="F927" s="417"/>
      <c r="G927" s="36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7" t="str">
        <f>_xlfn.CONCAT(_xlfn.XLOOKUP("[S05_DefaultValues][726][InstallationCategory]",Submission!$O:$O,Submission!$H:$N,""))</f>
        <v/>
      </c>
      <c r="D928" s="417"/>
      <c r="E928" s="417"/>
      <c r="F928" s="417"/>
      <c r="G928" s="36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7" t="str">
        <f>_xlfn.CONCAT(_xlfn.XLOOKUP("[S05_DefaultValues][727][InstallationCategory]",Submission!$O:$O,Submission!$H:$N,""))</f>
        <v/>
      </c>
      <c r="D929" s="417"/>
      <c r="E929" s="417"/>
      <c r="F929" s="417"/>
      <c r="G929" s="36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7" t="str">
        <f>_xlfn.CONCAT(_xlfn.XLOOKUP("[S05_DefaultValues][728][InstallationCategory]",Submission!$O:$O,Submission!$H:$N,""))</f>
        <v/>
      </c>
      <c r="D930" s="417"/>
      <c r="E930" s="417"/>
      <c r="F930" s="417"/>
      <c r="G930" s="36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7" t="str">
        <f>_xlfn.CONCAT(_xlfn.XLOOKUP("[S05_DefaultValues][729][InstallationCategory]",Submission!$O:$O,Submission!$H:$N,""))</f>
        <v/>
      </c>
      <c r="D931" s="417"/>
      <c r="E931" s="417"/>
      <c r="F931" s="417"/>
      <c r="G931" s="36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7" t="str">
        <f>_xlfn.CONCAT(_xlfn.XLOOKUP("[S05_DefaultValues][730][InstallationCategory]",Submission!$O:$O,Submission!$H:$N,""))</f>
        <v/>
      </c>
      <c r="D932" s="417"/>
      <c r="E932" s="417"/>
      <c r="F932" s="417"/>
      <c r="G932" s="36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7" t="str">
        <f>_xlfn.CONCAT(_xlfn.XLOOKUP("[S05_DefaultValues][731][InstallationCategory]",Submission!$O:$O,Submission!$H:$N,""))</f>
        <v/>
      </c>
      <c r="D933" s="417"/>
      <c r="E933" s="417"/>
      <c r="F933" s="417"/>
      <c r="G933" s="36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7" t="str">
        <f>_xlfn.CONCAT(_xlfn.XLOOKUP("[S05_DefaultValues][732][InstallationCategory]",Submission!$O:$O,Submission!$H:$N,""))</f>
        <v/>
      </c>
      <c r="D934" s="417"/>
      <c r="E934" s="417"/>
      <c r="F934" s="417"/>
      <c r="G934" s="36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7" t="str">
        <f>_xlfn.CONCAT(_xlfn.XLOOKUP("[S05_DefaultValues][733][InstallationCategory]",Submission!$O:$O,Submission!$H:$N,""))</f>
        <v/>
      </c>
      <c r="D935" s="417"/>
      <c r="E935" s="417"/>
      <c r="F935" s="417"/>
      <c r="G935" s="36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7" t="str">
        <f>_xlfn.CONCAT(_xlfn.XLOOKUP("[S05_DefaultValues][734][InstallationCategory]",Submission!$O:$O,Submission!$H:$N,""))</f>
        <v/>
      </c>
      <c r="D936" s="417"/>
      <c r="E936" s="417"/>
      <c r="F936" s="417"/>
      <c r="G936" s="36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7" t="str">
        <f>_xlfn.CONCAT(_xlfn.XLOOKUP("[S05_DefaultValues][735][InstallationCategory]",Submission!$O:$O,Submission!$H:$N,""))</f>
        <v/>
      </c>
      <c r="D937" s="417"/>
      <c r="E937" s="417"/>
      <c r="F937" s="417"/>
      <c r="G937" s="36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7" t="str">
        <f>_xlfn.CONCAT(_xlfn.XLOOKUP("[S05_DefaultValues][736][InstallationCategory]",Submission!$O:$O,Submission!$H:$N,""))</f>
        <v/>
      </c>
      <c r="D938" s="417"/>
      <c r="E938" s="417"/>
      <c r="F938" s="417"/>
      <c r="G938" s="36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7" t="str">
        <f>_xlfn.CONCAT(_xlfn.XLOOKUP("[S05_DefaultValues][737][InstallationCategory]",Submission!$O:$O,Submission!$H:$N,""))</f>
        <v/>
      </c>
      <c r="D939" s="417"/>
      <c r="E939" s="417"/>
      <c r="F939" s="417"/>
      <c r="G939" s="36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7" t="str">
        <f>_xlfn.CONCAT(_xlfn.XLOOKUP("[S05_DefaultValues][738][InstallationCategory]",Submission!$O:$O,Submission!$H:$N,""))</f>
        <v/>
      </c>
      <c r="D940" s="417"/>
      <c r="E940" s="417"/>
      <c r="F940" s="417"/>
      <c r="G940" s="36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7" t="str">
        <f>_xlfn.CONCAT(_xlfn.XLOOKUP("[S05_DefaultValues][739][InstallationCategory]",Submission!$O:$O,Submission!$H:$N,""))</f>
        <v/>
      </c>
      <c r="D941" s="417"/>
      <c r="E941" s="417"/>
      <c r="F941" s="417"/>
      <c r="G941" s="36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7" t="str">
        <f>_xlfn.CONCAT(_xlfn.XLOOKUP("[S05_DefaultValues][740][InstallationCategory]",Submission!$O:$O,Submission!$H:$N,""))</f>
        <v/>
      </c>
      <c r="D942" s="417"/>
      <c r="E942" s="417"/>
      <c r="F942" s="417"/>
      <c r="G942" s="36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7" t="str">
        <f>_xlfn.CONCAT(_xlfn.XLOOKUP("[S05_DefaultValues][741][InstallationCategory]",Submission!$O:$O,Submission!$H:$N,""))</f>
        <v/>
      </c>
      <c r="D943" s="417"/>
      <c r="E943" s="417"/>
      <c r="F943" s="417"/>
      <c r="G943" s="36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7" t="str">
        <f>_xlfn.CONCAT(_xlfn.XLOOKUP("[S05_DefaultValues][742][InstallationCategory]",Submission!$O:$O,Submission!$H:$N,""))</f>
        <v/>
      </c>
      <c r="D944" s="417"/>
      <c r="E944" s="417"/>
      <c r="F944" s="417"/>
      <c r="G944" s="36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7" t="str">
        <f>_xlfn.CONCAT(_xlfn.XLOOKUP("[S05_DefaultValues][743][InstallationCategory]",Submission!$O:$O,Submission!$H:$N,""))</f>
        <v/>
      </c>
      <c r="D945" s="417"/>
      <c r="E945" s="417"/>
      <c r="F945" s="417"/>
      <c r="G945" s="36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7" t="str">
        <f>_xlfn.CONCAT(_xlfn.XLOOKUP("[S05_DefaultValues][744][InstallationCategory]",Submission!$O:$O,Submission!$H:$N,""))</f>
        <v/>
      </c>
      <c r="D946" s="417"/>
      <c r="E946" s="417"/>
      <c r="F946" s="417"/>
      <c r="G946" s="36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7" t="str">
        <f>_xlfn.CONCAT(_xlfn.XLOOKUP("[S05_DefaultValues][745][InstallationCategory]",Submission!$O:$O,Submission!$H:$N,""))</f>
        <v/>
      </c>
      <c r="D947" s="417"/>
      <c r="E947" s="417"/>
      <c r="F947" s="417"/>
      <c r="G947" s="36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7" t="str">
        <f>_xlfn.CONCAT(_xlfn.XLOOKUP("[S05_DefaultValues][746][InstallationCategory]",Submission!$O:$O,Submission!$H:$N,""))</f>
        <v/>
      </c>
      <c r="D948" s="417"/>
      <c r="E948" s="417"/>
      <c r="F948" s="417"/>
      <c r="G948" s="36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7" t="str">
        <f>_xlfn.CONCAT(_xlfn.XLOOKUP("[S05_DefaultValues][747][InstallationCategory]",Submission!$O:$O,Submission!$H:$N,""))</f>
        <v/>
      </c>
      <c r="D949" s="417"/>
      <c r="E949" s="417"/>
      <c r="F949" s="417"/>
      <c r="G949" s="36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7" t="str">
        <f>_xlfn.CONCAT(_xlfn.XLOOKUP("[S05_DefaultValues][748][InstallationCategory]",Submission!$O:$O,Submission!$H:$N,""))</f>
        <v/>
      </c>
      <c r="D950" s="417"/>
      <c r="E950" s="417"/>
      <c r="F950" s="417"/>
      <c r="G950" s="36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7" t="str">
        <f>_xlfn.CONCAT(_xlfn.XLOOKUP("[S05_DefaultValues][749][InstallationCategory]",Submission!$O:$O,Submission!$H:$N,""))</f>
        <v/>
      </c>
      <c r="D951" s="417"/>
      <c r="E951" s="417"/>
      <c r="F951" s="417"/>
      <c r="G951" s="36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7" t="str">
        <f>_xlfn.CONCAT(_xlfn.XLOOKUP("[S05_DefaultValues][750][InstallationCategory]",Submission!$O:$O,Submission!$H:$N,""))</f>
        <v/>
      </c>
      <c r="D952" s="417"/>
      <c r="E952" s="417"/>
      <c r="F952" s="417"/>
      <c r="G952" s="36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7" t="str">
        <f>_xlfn.CONCAT(_xlfn.XLOOKUP("[S05_DefaultValues][751][InstallationCategory]",Submission!$O:$O,Submission!$H:$N,""))</f>
        <v/>
      </c>
      <c r="D953" s="417"/>
      <c r="E953" s="417"/>
      <c r="F953" s="417"/>
      <c r="G953" s="36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7" t="str">
        <f>_xlfn.CONCAT(_xlfn.XLOOKUP("[S05_DefaultValues][752][InstallationCategory]",Submission!$O:$O,Submission!$H:$N,""))</f>
        <v/>
      </c>
      <c r="D954" s="417"/>
      <c r="E954" s="417"/>
      <c r="F954" s="417"/>
      <c r="G954" s="36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7" t="str">
        <f>_xlfn.CONCAT(_xlfn.XLOOKUP("[S05_DefaultValues][753][InstallationCategory]",Submission!$O:$O,Submission!$H:$N,""))</f>
        <v/>
      </c>
      <c r="D955" s="417"/>
      <c r="E955" s="417"/>
      <c r="F955" s="417"/>
      <c r="G955" s="36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7" t="str">
        <f>_xlfn.CONCAT(_xlfn.XLOOKUP("[S05_DefaultValues][754][InstallationCategory]",Submission!$O:$O,Submission!$H:$N,""))</f>
        <v/>
      </c>
      <c r="D956" s="417"/>
      <c r="E956" s="417"/>
      <c r="F956" s="417"/>
      <c r="G956" s="36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7" t="str">
        <f>_xlfn.CONCAT(_xlfn.XLOOKUP("[S05_DefaultValues][755][InstallationCategory]",Submission!$O:$O,Submission!$H:$N,""))</f>
        <v/>
      </c>
      <c r="D957" s="417"/>
      <c r="E957" s="417"/>
      <c r="F957" s="417"/>
      <c r="G957" s="36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7" t="str">
        <f>_xlfn.CONCAT(_xlfn.XLOOKUP("[S05_DefaultValues][756][InstallationCategory]",Submission!$O:$O,Submission!$H:$N,""))</f>
        <v/>
      </c>
      <c r="D958" s="417"/>
      <c r="E958" s="417"/>
      <c r="F958" s="417"/>
      <c r="G958" s="36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7" t="str">
        <f>_xlfn.CONCAT(_xlfn.XLOOKUP("[S05_DefaultValues][757][InstallationCategory]",Submission!$O:$O,Submission!$H:$N,""))</f>
        <v/>
      </c>
      <c r="D959" s="417"/>
      <c r="E959" s="417"/>
      <c r="F959" s="417"/>
      <c r="G959" s="36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7" t="str">
        <f>_xlfn.CONCAT(_xlfn.XLOOKUP("[S05_DefaultValues][758][InstallationCategory]",Submission!$O:$O,Submission!$H:$N,""))</f>
        <v/>
      </c>
      <c r="D960" s="417"/>
      <c r="E960" s="417"/>
      <c r="F960" s="417"/>
      <c r="G960" s="36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7" t="str">
        <f>_xlfn.CONCAT(_xlfn.XLOOKUP("[S05_DefaultValues][759][InstallationCategory]",Submission!$O:$O,Submission!$H:$N,""))</f>
        <v/>
      </c>
      <c r="D961" s="417"/>
      <c r="E961" s="417"/>
      <c r="F961" s="417"/>
      <c r="G961" s="36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7" t="str">
        <f>_xlfn.CONCAT(_xlfn.XLOOKUP("[S05_DefaultValues][760][InstallationCategory]",Submission!$O:$O,Submission!$H:$N,""))</f>
        <v/>
      </c>
      <c r="D962" s="417"/>
      <c r="E962" s="417"/>
      <c r="F962" s="417"/>
      <c r="G962" s="36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7" t="str">
        <f>_xlfn.CONCAT(_xlfn.XLOOKUP("[S05_DefaultValues][761][InstallationCategory]",Submission!$O:$O,Submission!$H:$N,""))</f>
        <v/>
      </c>
      <c r="D963" s="417"/>
      <c r="E963" s="417"/>
      <c r="F963" s="417"/>
      <c r="G963" s="36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7" t="str">
        <f>_xlfn.CONCAT(_xlfn.XLOOKUP("[S05_DefaultValues][762][InstallationCategory]",Submission!$O:$O,Submission!$H:$N,""))</f>
        <v/>
      </c>
      <c r="D964" s="417"/>
      <c r="E964" s="417"/>
      <c r="F964" s="417"/>
      <c r="G964" s="36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7" t="str">
        <f>_xlfn.CONCAT(_xlfn.XLOOKUP("[S05_DefaultValues][763][InstallationCategory]",Submission!$O:$O,Submission!$H:$N,""))</f>
        <v/>
      </c>
      <c r="D965" s="417"/>
      <c r="E965" s="417"/>
      <c r="F965" s="417"/>
      <c r="G965" s="36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7" t="str">
        <f>_xlfn.CONCAT(_xlfn.XLOOKUP("[S05_DefaultValues][764][InstallationCategory]",Submission!$O:$O,Submission!$H:$N,""))</f>
        <v/>
      </c>
      <c r="D966" s="417"/>
      <c r="E966" s="417"/>
      <c r="F966" s="417"/>
      <c r="G966" s="36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7" t="str">
        <f>_xlfn.CONCAT(_xlfn.XLOOKUP("[S05_DefaultValues][765][InstallationCategory]",Submission!$O:$O,Submission!$H:$N,""))</f>
        <v/>
      </c>
      <c r="D967" s="417"/>
      <c r="E967" s="417"/>
      <c r="F967" s="417"/>
      <c r="G967" s="36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7" t="str">
        <f>_xlfn.CONCAT(_xlfn.XLOOKUP("[S05_DefaultValues][766][InstallationCategory]",Submission!$O:$O,Submission!$H:$N,""))</f>
        <v/>
      </c>
      <c r="D968" s="417"/>
      <c r="E968" s="417"/>
      <c r="F968" s="417"/>
      <c r="G968" s="36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7" t="str">
        <f>_xlfn.CONCAT(_xlfn.XLOOKUP("[S05_DefaultValues][767][InstallationCategory]",Submission!$O:$O,Submission!$H:$N,""))</f>
        <v/>
      </c>
      <c r="D969" s="417"/>
      <c r="E969" s="417"/>
      <c r="F969" s="417"/>
      <c r="G969" s="36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7" t="str">
        <f>_xlfn.CONCAT(_xlfn.XLOOKUP("[S05_DefaultValues][768][InstallationCategory]",Submission!$O:$O,Submission!$H:$N,""))</f>
        <v/>
      </c>
      <c r="D970" s="417"/>
      <c r="E970" s="417"/>
      <c r="F970" s="417"/>
      <c r="G970" s="36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7" t="str">
        <f>_xlfn.CONCAT(_xlfn.XLOOKUP("[S05_DefaultValues][769][InstallationCategory]",Submission!$O:$O,Submission!$H:$N,""))</f>
        <v/>
      </c>
      <c r="D971" s="417"/>
      <c r="E971" s="417"/>
      <c r="F971" s="417"/>
      <c r="G971" s="36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7" t="str">
        <f>_xlfn.CONCAT(_xlfn.XLOOKUP("[S05_DefaultValues][770][InstallationCategory]",Submission!$O:$O,Submission!$H:$N,""))</f>
        <v/>
      </c>
      <c r="D972" s="417"/>
      <c r="E972" s="417"/>
      <c r="F972" s="417"/>
      <c r="G972" s="36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7" t="str">
        <f>_xlfn.CONCAT(_xlfn.XLOOKUP("[S05_DefaultValues][771][InstallationCategory]",Submission!$O:$O,Submission!$H:$N,""))</f>
        <v/>
      </c>
      <c r="D973" s="417"/>
      <c r="E973" s="417"/>
      <c r="F973" s="417"/>
      <c r="G973" s="36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7" t="str">
        <f>_xlfn.CONCAT(_xlfn.XLOOKUP("[S05_DefaultValues][772][InstallationCategory]",Submission!$O:$O,Submission!$H:$N,""))</f>
        <v/>
      </c>
      <c r="D974" s="417"/>
      <c r="E974" s="417"/>
      <c r="F974" s="417"/>
      <c r="G974" s="36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7" t="str">
        <f>_xlfn.CONCAT(_xlfn.XLOOKUP("[S05_DefaultValues][773][InstallationCategory]",Submission!$O:$O,Submission!$H:$N,""))</f>
        <v/>
      </c>
      <c r="D975" s="417"/>
      <c r="E975" s="417"/>
      <c r="F975" s="417"/>
      <c r="G975" s="36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7" t="str">
        <f>_xlfn.CONCAT(_xlfn.XLOOKUP("[S05_DefaultValues][774][InstallationCategory]",Submission!$O:$O,Submission!$H:$N,""))</f>
        <v/>
      </c>
      <c r="D976" s="417"/>
      <c r="E976" s="417"/>
      <c r="F976" s="417"/>
      <c r="G976" s="36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7" t="str">
        <f>_xlfn.CONCAT(_xlfn.XLOOKUP("[S05_DefaultValues][775][InstallationCategory]",Submission!$O:$O,Submission!$H:$N,""))</f>
        <v/>
      </c>
      <c r="D977" s="417"/>
      <c r="E977" s="417"/>
      <c r="F977" s="417"/>
      <c r="G977" s="36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7" t="str">
        <f>_xlfn.CONCAT(_xlfn.XLOOKUP("[S05_DefaultValues][776][InstallationCategory]",Submission!$O:$O,Submission!$H:$N,""))</f>
        <v/>
      </c>
      <c r="D978" s="417"/>
      <c r="E978" s="417"/>
      <c r="F978" s="417"/>
      <c r="G978" s="36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7" t="str">
        <f>_xlfn.CONCAT(_xlfn.XLOOKUP("[S05_DefaultValues][777][InstallationCategory]",Submission!$O:$O,Submission!$H:$N,""))</f>
        <v/>
      </c>
      <c r="D979" s="417"/>
      <c r="E979" s="417"/>
      <c r="F979" s="417"/>
      <c r="G979" s="36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7" t="str">
        <f>_xlfn.CONCAT(_xlfn.XLOOKUP("[S05_DefaultValues][778][InstallationCategory]",Submission!$O:$O,Submission!$H:$N,""))</f>
        <v/>
      </c>
      <c r="D980" s="417"/>
      <c r="E980" s="417"/>
      <c r="F980" s="417"/>
      <c r="G980" s="36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7" t="str">
        <f>_xlfn.CONCAT(_xlfn.XLOOKUP("[S05_DefaultValues][779][InstallationCategory]",Submission!$O:$O,Submission!$H:$N,""))</f>
        <v/>
      </c>
      <c r="D981" s="417"/>
      <c r="E981" s="417"/>
      <c r="F981" s="417"/>
      <c r="G981" s="36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7" t="str">
        <f>_xlfn.CONCAT(_xlfn.XLOOKUP("[S05_DefaultValues][780][InstallationCategory]",Submission!$O:$O,Submission!$H:$N,""))</f>
        <v/>
      </c>
      <c r="D982" s="417"/>
      <c r="E982" s="417"/>
      <c r="F982" s="417"/>
      <c r="G982" s="36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7" t="str">
        <f>_xlfn.CONCAT(_xlfn.XLOOKUP("[S05_DefaultValues][781][InstallationCategory]",Submission!$O:$O,Submission!$H:$N,""))</f>
        <v/>
      </c>
      <c r="D983" s="417"/>
      <c r="E983" s="417"/>
      <c r="F983" s="417"/>
      <c r="G983" s="36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7" t="str">
        <f>_xlfn.CONCAT(_xlfn.XLOOKUP("[S05_DefaultValues][782][InstallationCategory]",Submission!$O:$O,Submission!$H:$N,""))</f>
        <v/>
      </c>
      <c r="D984" s="417"/>
      <c r="E984" s="417"/>
      <c r="F984" s="417"/>
      <c r="G984" s="36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7" t="str">
        <f>_xlfn.CONCAT(_xlfn.XLOOKUP("[S05_DefaultValues][783][InstallationCategory]",Submission!$O:$O,Submission!$H:$N,""))</f>
        <v/>
      </c>
      <c r="D985" s="417"/>
      <c r="E985" s="417"/>
      <c r="F985" s="417"/>
      <c r="G985" s="36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7" t="str">
        <f>_xlfn.CONCAT(_xlfn.XLOOKUP("[S05_DefaultValues][784][InstallationCategory]",Submission!$O:$O,Submission!$H:$N,""))</f>
        <v/>
      </c>
      <c r="D986" s="417"/>
      <c r="E986" s="417"/>
      <c r="F986" s="417"/>
      <c r="G986" s="36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7" t="str">
        <f>_xlfn.CONCAT(_xlfn.XLOOKUP("[S05_DefaultValues][785][InstallationCategory]",Submission!$O:$O,Submission!$H:$N,""))</f>
        <v/>
      </c>
      <c r="D987" s="417"/>
      <c r="E987" s="417"/>
      <c r="F987" s="417"/>
      <c r="G987" s="36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7" t="str">
        <f>_xlfn.CONCAT(_xlfn.XLOOKUP("[S05_DefaultValues][786][InstallationCategory]",Submission!$O:$O,Submission!$H:$N,""))</f>
        <v/>
      </c>
      <c r="D988" s="417"/>
      <c r="E988" s="417"/>
      <c r="F988" s="417"/>
      <c r="G988" s="36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7" t="str">
        <f>_xlfn.CONCAT(_xlfn.XLOOKUP("[S05_DefaultValues][787][InstallationCategory]",Submission!$O:$O,Submission!$H:$N,""))</f>
        <v/>
      </c>
      <c r="D989" s="417"/>
      <c r="E989" s="417"/>
      <c r="F989" s="417"/>
      <c r="G989" s="36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7" t="str">
        <f>_xlfn.CONCAT(_xlfn.XLOOKUP("[S05_DefaultValues][788][InstallationCategory]",Submission!$O:$O,Submission!$H:$N,""))</f>
        <v/>
      </c>
      <c r="D990" s="417"/>
      <c r="E990" s="417"/>
      <c r="F990" s="417"/>
      <c r="G990" s="36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7" t="str">
        <f>_xlfn.CONCAT(_xlfn.XLOOKUP("[S05_DefaultValues][789][InstallationCategory]",Submission!$O:$O,Submission!$H:$N,""))</f>
        <v/>
      </c>
      <c r="D991" s="417"/>
      <c r="E991" s="417"/>
      <c r="F991" s="417"/>
      <c r="G991" s="36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7" t="str">
        <f>_xlfn.CONCAT(_xlfn.XLOOKUP("[S05_DefaultValues][790][InstallationCategory]",Submission!$O:$O,Submission!$H:$N,""))</f>
        <v/>
      </c>
      <c r="D992" s="417"/>
      <c r="E992" s="417"/>
      <c r="F992" s="417"/>
      <c r="G992" s="36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7" t="str">
        <f>_xlfn.CONCAT(_xlfn.XLOOKUP("[S05_DefaultValues][791][InstallationCategory]",Submission!$O:$O,Submission!$H:$N,""))</f>
        <v/>
      </c>
      <c r="D993" s="417"/>
      <c r="E993" s="417"/>
      <c r="F993" s="417"/>
      <c r="G993" s="36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7" t="str">
        <f>_xlfn.CONCAT(_xlfn.XLOOKUP("[S05_DefaultValues][792][InstallationCategory]",Submission!$O:$O,Submission!$H:$N,""))</f>
        <v/>
      </c>
      <c r="D994" s="417"/>
      <c r="E994" s="417"/>
      <c r="F994" s="417"/>
      <c r="G994" s="36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7" t="str">
        <f>_xlfn.CONCAT(_xlfn.XLOOKUP("[S05_DefaultValues][793][InstallationCategory]",Submission!$O:$O,Submission!$H:$N,""))</f>
        <v/>
      </c>
      <c r="D995" s="417"/>
      <c r="E995" s="417"/>
      <c r="F995" s="417"/>
      <c r="G995" s="36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7" t="str">
        <f>_xlfn.CONCAT(_xlfn.XLOOKUP("[S05_DefaultValues][794][InstallationCategory]",Submission!$O:$O,Submission!$H:$N,""))</f>
        <v/>
      </c>
      <c r="D996" s="417"/>
      <c r="E996" s="417"/>
      <c r="F996" s="417"/>
      <c r="G996" s="36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7" t="str">
        <f>_xlfn.CONCAT(_xlfn.XLOOKUP("[S05_DefaultValues][795][InstallationCategory]",Submission!$O:$O,Submission!$H:$N,""))</f>
        <v/>
      </c>
      <c r="D997" s="417"/>
      <c r="E997" s="417"/>
      <c r="F997" s="417"/>
      <c r="G997" s="36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7" t="str">
        <f>_xlfn.CONCAT(_xlfn.XLOOKUP("[S05_DefaultValues][796][InstallationCategory]",Submission!$O:$O,Submission!$H:$N,""))</f>
        <v/>
      </c>
      <c r="D998" s="417"/>
      <c r="E998" s="417"/>
      <c r="F998" s="417"/>
      <c r="G998" s="36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7" t="str">
        <f>_xlfn.CONCAT(_xlfn.XLOOKUP("[S05_DefaultValues][797][InstallationCategory]",Submission!$O:$O,Submission!$H:$N,""))</f>
        <v/>
      </c>
      <c r="D999" s="417"/>
      <c r="E999" s="417"/>
      <c r="F999" s="417"/>
      <c r="G999" s="36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7" t="str">
        <f>_xlfn.CONCAT(_xlfn.XLOOKUP("[S05_DefaultValues][798][InstallationCategory]",Submission!$O:$O,Submission!$H:$N,""))</f>
        <v/>
      </c>
      <c r="D1000" s="417"/>
      <c r="E1000" s="417"/>
      <c r="F1000" s="417"/>
      <c r="G1000" s="36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7" t="str">
        <f>_xlfn.CONCAT(_xlfn.XLOOKUP("[S05_DefaultValues][799][InstallationCategory]",Submission!$O:$O,Submission!$H:$N,""))</f>
        <v/>
      </c>
      <c r="D1001" s="417"/>
      <c r="E1001" s="417"/>
      <c r="F1001" s="417"/>
      <c r="G1001" s="36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7" t="str">
        <f>_xlfn.CONCAT(_xlfn.XLOOKUP("[S05_DefaultValues][800][InstallationCategory]",Submission!$O:$O,Submission!$H:$N,""))</f>
        <v/>
      </c>
      <c r="D1002" s="417"/>
      <c r="E1002" s="417"/>
      <c r="F1002" s="417"/>
      <c r="G1002" s="36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1" t="s">
        <v>862</v>
      </c>
      <c r="D1004" s="361"/>
      <c r="E1004" s="361"/>
      <c r="F1004" s="361"/>
      <c r="G1004" s="361"/>
      <c r="H1004" s="361"/>
      <c r="I1004" s="361"/>
    </row>
    <row r="1005" spans="1:9" ht="15.9" customHeight="1" x14ac:dyDescent="0.3">
      <c r="B1005" s="34"/>
      <c r="C1005" s="33"/>
      <c r="D1005" s="31"/>
      <c r="E1005" s="33"/>
      <c r="F1005" s="33"/>
      <c r="G1005" s="35"/>
      <c r="H1005" s="35"/>
      <c r="I1005" s="35"/>
    </row>
    <row r="1006" spans="1:9" ht="34.950000000000003" customHeight="1" x14ac:dyDescent="0.3">
      <c r="A1006" s="12" t="s">
        <v>241</v>
      </c>
      <c r="B1006" s="341" t="s">
        <v>863</v>
      </c>
      <c r="C1006" s="311"/>
      <c r="D1006" s="311"/>
      <c r="E1006" s="311"/>
      <c r="F1006" s="311"/>
      <c r="G1006" s="311"/>
      <c r="H1006" s="311"/>
      <c r="I1006" s="311"/>
    </row>
    <row r="1007" spans="1:9" ht="69" customHeight="1" x14ac:dyDescent="0.3">
      <c r="B1007" s="34"/>
      <c r="C1007" s="317" t="s">
        <v>864</v>
      </c>
      <c r="D1007" s="319"/>
      <c r="E1007" s="42" t="s">
        <v>865</v>
      </c>
      <c r="F1007" s="42" t="s">
        <v>866</v>
      </c>
      <c r="G1007" s="317" t="s">
        <v>867</v>
      </c>
      <c r="H1007" s="318"/>
      <c r="I1007" s="319"/>
    </row>
    <row r="1008" spans="1:9" ht="15.9" customHeight="1" x14ac:dyDescent="0.3">
      <c r="A1008" s="13"/>
      <c r="B1008" s="34"/>
      <c r="C1008" s="261" t="str">
        <f>_xlfn.CONCAT(_xlfn.XLOOKUP("[S05_InstallationDifferentSamplingFrequency][1][SamplingFuelMaterial]",Submission!$O:$O,Submission!$H:$N,""))</f>
        <v>Olej opałowy lekki</v>
      </c>
      <c r="D1008" s="263"/>
      <c r="E1008" s="105" t="str">
        <f>_xlfn.CONCAT(_xlfn.XLOOKUP("[S05_InstallationDifferentSamplingFrequency][1][CountInstallationsDiffFrequency]",Submission!$O:$O,Submission!$H:$N,""))</f>
        <v>1</v>
      </c>
      <c r="F1008" s="105" t="str">
        <f>_xlfn.CONCAT(_xlfn.XLOOKUP("[S05_InstallationDifferentSamplingFrequency][1][MajorSourceStreams]",Submission!$O:$O,Submission!$H:$N,""))</f>
        <v>0</v>
      </c>
      <c r="G1008" s="47" t="str">
        <f>_xlfn.CONCAT(_xlfn.XLOOKUP("[S05_InstallationDifferentSamplingFrequency][1][SamplingPlanDocumented]",Submission!$O:$O,Submission!$H:$N,""))</f>
        <v>Yes</v>
      </c>
      <c r="H1008" s="243" t="str">
        <f>_xlfn.CONCAT(_xlfn.XLOOKUP("[S05_InstallationDifferentSamplingFrequency][1][SamplingPlanNotDocumentedReason]",Submission!$O:$O,Submission!$H:$N,""))</f>
        <v>Tak, na podstawie sprawozdania z weryfikacji rocznego raportu na temat wielkości emisji</v>
      </c>
      <c r="I1008" s="245"/>
    </row>
    <row r="1009" spans="1:9" ht="15.9" customHeight="1" x14ac:dyDescent="0.3">
      <c r="A1009" s="13"/>
      <c r="B1009" s="34"/>
      <c r="C1009" s="261" t="str">
        <f>_xlfn.CONCAT(_xlfn.XLOOKUP("[S05_InstallationDifferentSamplingFrequency][2][SamplingFuelMaterial]",Submission!$O:$O,Submission!$H:$N,""))</f>
        <v>Gaz technologiczny</v>
      </c>
      <c r="D1009" s="263"/>
      <c r="E1009" s="105" t="str">
        <f>_xlfn.CONCAT(_xlfn.XLOOKUP("[S05_InstallationDifferentSamplingFrequency][2][CountInstallationsDiffFrequency]",Submission!$O:$O,Submission!$H:$N,""))</f>
        <v>1</v>
      </c>
      <c r="F1009" s="105" t="str">
        <f>_xlfn.CONCAT(_xlfn.XLOOKUP("[S05_InstallationDifferentSamplingFrequency][2][MajorSourceStreams]",Submission!$O:$O,Submission!$H:$N,""))</f>
        <v>0</v>
      </c>
      <c r="G1009" s="47" t="str">
        <f>_xlfn.CONCAT(_xlfn.XLOOKUP("[S05_InstallationDifferentSamplingFrequency][2][SamplingPlanDocumented]",Submission!$O:$O,Submission!$H:$N,""))</f>
        <v>Yes</v>
      </c>
      <c r="H1009" s="243" t="str">
        <f>_xlfn.CONCAT(_xlfn.XLOOKUP("[S05_InstallationDifferentSamplingFrequency][2][SamplingPlanNotDocumentedReason]",Submission!$O:$O,Submission!$H:$N,""))</f>
        <v>Tak, na podstawie sprawozdania z weryfikacji rocznego raportu na temat wielkości emisji</v>
      </c>
      <c r="I1009" s="245"/>
    </row>
    <row r="1010" spans="1:9" ht="15.9" customHeight="1" x14ac:dyDescent="0.3">
      <c r="A1010" s="13"/>
      <c r="B1010" s="34"/>
      <c r="C1010" s="261" t="str">
        <f>_xlfn.CONCAT(_xlfn.XLOOKUP("[S05_InstallationDifferentSamplingFrequency][3][SamplingFuelMaterial]",Submission!$O:$O,Submission!$H:$N,""))</f>
        <v>Biogaz</v>
      </c>
      <c r="D1010" s="263"/>
      <c r="E1010" s="105" t="str">
        <f>_xlfn.CONCAT(_xlfn.XLOOKUP("[S05_InstallationDifferentSamplingFrequency][3][CountInstallationsDiffFrequency]",Submission!$O:$O,Submission!$H:$N,""))</f>
        <v>1</v>
      </c>
      <c r="F1010" s="105" t="str">
        <f>_xlfn.CONCAT(_xlfn.XLOOKUP("[S05_InstallationDifferentSamplingFrequency][3][MajorSourceStreams]",Submission!$O:$O,Submission!$H:$N,""))</f>
        <v>0</v>
      </c>
      <c r="G1010" s="47" t="str">
        <f>_xlfn.CONCAT(_xlfn.XLOOKUP("[S05_InstallationDifferentSamplingFrequency][3][SamplingPlanDocumented]",Submission!$O:$O,Submission!$H:$N,""))</f>
        <v>Yes</v>
      </c>
      <c r="H1010" s="243" t="str">
        <f>_xlfn.CONCAT(_xlfn.XLOOKUP("[S05_InstallationDifferentSamplingFrequency][3][SamplingPlanNotDocumentedReason]",Submission!$O:$O,Submission!$H:$N,""))</f>
        <v>Tak, na podstawie sprawozdania z weryfikacji rocznego raportu na temat wielkości emisji. Od dnia 01.01.2022 r., zgodnie z obowiązującym planem monitorowania wielkości emisji, analizy biogazu będą wykonywane przez prowadzącego instalację z częstotliwością zgodną z wymaganiami</v>
      </c>
      <c r="I1010" s="245"/>
    </row>
    <row r="1011" spans="1:9" ht="15.9" customHeight="1" x14ac:dyDescent="0.3">
      <c r="A1011" s="13"/>
      <c r="B1011" s="34"/>
      <c r="C1011" s="261" t="str">
        <f>_xlfn.CONCAT(_xlfn.XLOOKUP("[S05_InstallationDifferentSamplingFrequency][4][SamplingFuelMaterial]",Submission!$O:$O,Submission!$H:$N,""))</f>
        <v>Gaz ziemny zaazotowany</v>
      </c>
      <c r="D1011" s="263"/>
      <c r="E1011" s="105" t="str">
        <f>_xlfn.CONCAT(_xlfn.XLOOKUP("[S05_InstallationDifferentSamplingFrequency][4][CountInstallationsDiffFrequency]",Submission!$O:$O,Submission!$H:$N,""))</f>
        <v>1</v>
      </c>
      <c r="F1011" s="105" t="str">
        <f>_xlfn.CONCAT(_xlfn.XLOOKUP("[S05_InstallationDifferentSamplingFrequency][4][MajorSourceStreams]",Submission!$O:$O,Submission!$H:$N,""))</f>
        <v>1</v>
      </c>
      <c r="G1011" s="47" t="str">
        <f>_xlfn.CONCAT(_xlfn.XLOOKUP("[S05_InstallationDifferentSamplingFrequency][4][SamplingPlanDocumented]",Submission!$O:$O,Submission!$H:$N,""))</f>
        <v>Yes</v>
      </c>
      <c r="H1011" s="243" t="str">
        <f>_xlfn.CONCAT(_xlfn.XLOOKUP("[S05_InstallationDifferentSamplingFrequency][4][SamplingPlanNotDocumentedReason]",Submission!$O:$O,Submission!$H:$N,""))</f>
        <v>Tak, na podstawie sprawozdania z weryfikacji rocznego raportu na temat wielkości emisji</v>
      </c>
      <c r="I1011" s="245"/>
    </row>
    <row r="1012" spans="1:9" ht="15.9" customHeight="1" x14ac:dyDescent="0.3">
      <c r="A1012" s="13"/>
      <c r="B1012" s="34"/>
      <c r="C1012" s="261" t="str">
        <f>_xlfn.CONCAT(_xlfn.XLOOKUP("[S05_InstallationDifferentSamplingFrequency][5][SamplingFuelMaterial]",Submission!$O:$O,Submission!$H:$N,""))</f>
        <v>Gazy zrzutowe spalane na pochodniach</v>
      </c>
      <c r="D1012" s="263"/>
      <c r="E1012" s="105" t="str">
        <f>_xlfn.CONCAT(_xlfn.XLOOKUP("[S05_InstallationDifferentSamplingFrequency][5][CountInstallationsDiffFrequency]",Submission!$O:$O,Submission!$H:$N,""))</f>
        <v>1</v>
      </c>
      <c r="F1012" s="105" t="str">
        <f>_xlfn.CONCAT(_xlfn.XLOOKUP("[S05_InstallationDifferentSamplingFrequency][5][MajorSourceStreams]",Submission!$O:$O,Submission!$H:$N,""))</f>
        <v>0</v>
      </c>
      <c r="G1012" s="47" t="str">
        <f>_xlfn.CONCAT(_xlfn.XLOOKUP("[S05_InstallationDifferentSamplingFrequency][5][SamplingPlanDocumented]",Submission!$O:$O,Submission!$H:$N,""))</f>
        <v>Yes</v>
      </c>
      <c r="H1012" s="243" t="str">
        <f>_xlfn.CONCAT(_xlfn.XLOOKUP("[S05_InstallationDifferentSamplingFrequency][5][SamplingPlanNotDocumentedReason]",Submission!$O:$O,Submission!$H:$N,""))</f>
        <v>Tak, na podstawie sprawozdania z weryfikacji rocznego raportu na temat wielkości emisji</v>
      </c>
      <c r="I1012" s="245"/>
    </row>
    <row r="1013" spans="1:9" ht="15.9" hidden="1" customHeight="1" outlineLevel="1" x14ac:dyDescent="0.3">
      <c r="A1013" s="13"/>
      <c r="B1013" s="34"/>
      <c r="C1013" s="261" t="str">
        <f>_xlfn.CONCAT(_xlfn.XLOOKUP("[S05_InstallationDifferentSamplingFrequency][6][SamplingFuelMaterial]",Submission!$O:$O,Submission!$H:$N,""))</f>
        <v>Spieniacze żużla</v>
      </c>
      <c r="D1013" s="263"/>
      <c r="E1013" s="105" t="str">
        <f>_xlfn.CONCAT(_xlfn.XLOOKUP("[S05_InstallationDifferentSamplingFrequency][6][CountInstallationsDiffFrequency]",Submission!$O:$O,Submission!$H:$N,""))</f>
        <v>1</v>
      </c>
      <c r="F1013" s="105" t="str">
        <f>_xlfn.CONCAT(_xlfn.XLOOKUP("[S05_InstallationDifferentSamplingFrequency][6][MajorSourceStreams]",Submission!$O:$O,Submission!$H:$N,""))</f>
        <v>1</v>
      </c>
      <c r="G1013" s="47" t="str">
        <f>_xlfn.CONCAT(_xlfn.XLOOKUP("[S05_InstallationDifferentSamplingFrequency][6][SamplingPlanDocumented]",Submission!$O:$O,Submission!$H:$N,""))</f>
        <v>Yes</v>
      </c>
      <c r="H1013" s="243" t="str">
        <f>_xlfn.CONCAT(_xlfn.XLOOKUP("[S05_InstallationDifferentSamplingFrequency][6][SamplingPlanNotDocumentedReason]",Submission!$O:$O,Submission!$H:$N,""))</f>
        <v>Tak, na podstawie sprawozdania z weryfikacji rocznego raportu na temat wielkości emisji</v>
      </c>
      <c r="I1013" s="245"/>
    </row>
    <row r="1014" spans="1:9" ht="15.9" hidden="1" customHeight="1" outlineLevel="1" x14ac:dyDescent="0.3">
      <c r="A1014" s="13"/>
      <c r="B1014" s="34"/>
      <c r="C1014" s="261" t="str">
        <f>_xlfn.CONCAT(_xlfn.XLOOKUP("[S05_InstallationDifferentSamplingFrequency][7][SamplingFuelMaterial]",Submission!$O:$O,Submission!$H:$N,""))</f>
        <v>Zakupiona surówka do produkcji stali</v>
      </c>
      <c r="D1014" s="263"/>
      <c r="E1014" s="105" t="str">
        <f>_xlfn.CONCAT(_xlfn.XLOOKUP("[S05_InstallationDifferentSamplingFrequency][7][CountInstallationsDiffFrequency]",Submission!$O:$O,Submission!$H:$N,""))</f>
        <v>1</v>
      </c>
      <c r="F1014" s="105" t="str">
        <f>_xlfn.CONCAT(_xlfn.XLOOKUP("[S05_InstallationDifferentSamplingFrequency][7][MajorSourceStreams]",Submission!$O:$O,Submission!$H:$N,""))</f>
        <v>0</v>
      </c>
      <c r="G1014" s="47" t="str">
        <f>_xlfn.CONCAT(_xlfn.XLOOKUP("[S05_InstallationDifferentSamplingFrequency][7][SamplingPlanDocumented]",Submission!$O:$O,Submission!$H:$N,""))</f>
        <v>Yes</v>
      </c>
      <c r="H1014" s="243" t="str">
        <f>_xlfn.CONCAT(_xlfn.XLOOKUP("[S05_InstallationDifferentSamplingFrequency][7][SamplingPlanNotDocumentedReason]",Submission!$O:$O,Submission!$H:$N,""))</f>
        <v>Tak, na podstawie sprawozdania z weryfikacji rocznego raportu na temat wielkości emisji</v>
      </c>
      <c r="I1014" s="245"/>
    </row>
    <row r="1015" spans="1:9" ht="15.9" hidden="1" customHeight="1" outlineLevel="1" x14ac:dyDescent="0.3">
      <c r="A1015" s="13"/>
      <c r="B1015" s="34"/>
      <c r="C1015" s="261" t="str">
        <f>_xlfn.CONCAT(_xlfn.XLOOKUP("[S05_InstallationDifferentSamplingFrequency][8][SamplingFuelMaterial]",Submission!$O:$O,Submission!$H:$N,""))</f>
        <v>Mączka surowcowa do produkcji klinkieru cementowego</v>
      </c>
      <c r="D1015" s="263"/>
      <c r="E1015" s="105" t="str">
        <f>_xlfn.CONCAT(_xlfn.XLOOKUP("[S05_InstallationDifferentSamplingFrequency][8][CountInstallationsDiffFrequency]",Submission!$O:$O,Submission!$H:$N,""))</f>
        <v>2</v>
      </c>
      <c r="F1015" s="105" t="str">
        <f>_xlfn.CONCAT(_xlfn.XLOOKUP("[S05_InstallationDifferentSamplingFrequency][8][MajorSourceStreams]",Submission!$O:$O,Submission!$H:$N,""))</f>
        <v>0</v>
      </c>
      <c r="G1015" s="47" t="str">
        <f>_xlfn.CONCAT(_xlfn.XLOOKUP("[S05_InstallationDifferentSamplingFrequency][8][SamplingPlanDocumented]",Submission!$O:$O,Submission!$H:$N,""))</f>
        <v>Yes</v>
      </c>
      <c r="H1015" s="243" t="str">
        <f>_xlfn.CONCAT(_xlfn.XLOOKUP("[S05_InstallationDifferentSamplingFrequency][8][SamplingPlanNotDocumentedReason]",Submission!$O:$O,Submission!$H:$N,""))</f>
        <v>Tak, na podstawie sprawozdania z weryfikacji rocznego raportu na temat wielkości emisji</v>
      </c>
      <c r="I1015" s="245"/>
    </row>
    <row r="1016" spans="1:9" ht="15.9" hidden="1" customHeight="1" outlineLevel="1" x14ac:dyDescent="0.3">
      <c r="A1016" s="13"/>
      <c r="B1016" s="34"/>
      <c r="C1016" s="261" t="str">
        <f>_xlfn.CONCAT(_xlfn.XLOOKUP("[S05_InstallationDifferentSamplingFrequency][9][SamplingFuelMaterial]",Submission!$O:$O,Submission!$H:$N,""))</f>
        <v>Klinkier cementowy</v>
      </c>
      <c r="D1016" s="263"/>
      <c r="E1016" s="105" t="str">
        <f>_xlfn.CONCAT(_xlfn.XLOOKUP("[S05_InstallationDifferentSamplingFrequency][9][CountInstallationsDiffFrequency]",Submission!$O:$O,Submission!$H:$N,""))</f>
        <v>1</v>
      </c>
      <c r="F1016" s="105" t="str">
        <f>_xlfn.CONCAT(_xlfn.XLOOKUP("[S05_InstallationDifferentSamplingFrequency][9][MajorSourceStreams]",Submission!$O:$O,Submission!$H:$N,""))</f>
        <v>1</v>
      </c>
      <c r="G1016" s="47" t="str">
        <f>_xlfn.CONCAT(_xlfn.XLOOKUP("[S05_InstallationDifferentSamplingFrequency][9][SamplingPlanDocumented]",Submission!$O:$O,Submission!$H:$N,""))</f>
        <v>Yes</v>
      </c>
      <c r="H1016" s="243" t="str">
        <f>_xlfn.CONCAT(_xlfn.XLOOKUP("[S05_InstallationDifferentSamplingFrequency][9][SamplingPlanNotDocumentedReason]",Submission!$O:$O,Submission!$H:$N,""))</f>
        <v>Tak, na podstawie sprawozdania z weryfikacji rocznego raportu na temat wielkości emisji</v>
      </c>
      <c r="I1016" s="245"/>
    </row>
    <row r="1017" spans="1:9" ht="15.9" hidden="1" customHeight="1" outlineLevel="1" x14ac:dyDescent="0.3">
      <c r="A1017" s="13"/>
      <c r="B1017" s="34"/>
      <c r="C1017" s="261" t="str">
        <f>_xlfn.CONCAT(_xlfn.XLOOKUP("[S05_InstallationDifferentSamplingFrequency][10][SamplingFuelMaterial]",Submission!$O:$O,Submission!$H:$N,""))</f>
        <v>Gaz poreakcyjny</v>
      </c>
      <c r="D1017" s="263"/>
      <c r="E1017" s="105" t="str">
        <f>_xlfn.CONCAT(_xlfn.XLOOKUP("[S05_InstallationDifferentSamplingFrequency][10][CountInstallationsDiffFrequency]",Submission!$O:$O,Submission!$H:$N,""))</f>
        <v>1</v>
      </c>
      <c r="F1017" s="105" t="str">
        <f>_xlfn.CONCAT(_xlfn.XLOOKUP("[S05_InstallationDifferentSamplingFrequency][10][MajorSourceStreams]",Submission!$O:$O,Submission!$H:$N,""))</f>
        <v>0</v>
      </c>
      <c r="G1017" s="47" t="str">
        <f>_xlfn.CONCAT(_xlfn.XLOOKUP("[S05_InstallationDifferentSamplingFrequency][10][SamplingPlanDocumented]",Submission!$O:$O,Submission!$H:$N,""))</f>
        <v>No</v>
      </c>
      <c r="H1017" s="243" t="str">
        <f>_xlfn.CONCAT(_xlfn.XLOOKUP("[S05_InstallationDifferentSamplingFrequency][10][SamplingPlanNotDocumentedReason]",Submission!$O:$O,Submission!$H:$N,""))</f>
        <v>Pobór próbek jest realizowany zgodnie z wewnętrzną procedurą prowadzącego instalację zatwierdzoną przez właściwy organ w grudniu 2014 roku, która nie spełnia wymagań dotyczących planu poboru próbek</v>
      </c>
      <c r="I1017" s="245"/>
    </row>
    <row r="1018" spans="1:9" ht="15.9" hidden="1" customHeight="1" outlineLevel="1" x14ac:dyDescent="0.3">
      <c r="A1018" s="13"/>
      <c r="B1018" s="34"/>
      <c r="C1018" s="261" t="str">
        <f>_xlfn.CONCAT(_xlfn.XLOOKUP("[S05_InstallationDifferentSamplingFrequency][11][SamplingFuelMaterial]",Submission!$O:$O,Submission!$H:$N,""))</f>
        <v/>
      </c>
      <c r="D1018" s="263"/>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61" t="str">
        <f>_xlfn.CONCAT(_xlfn.XLOOKUP("[S05_InstallationDifferentSamplingFrequency][12][SamplingFuelMaterial]",Submission!$O:$O,Submission!$H:$N,""))</f>
        <v/>
      </c>
      <c r="D1019" s="263"/>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61" t="str">
        <f>_xlfn.CONCAT(_xlfn.XLOOKUP("[S05_InstallationDifferentSamplingFrequency][13][SamplingFuelMaterial]",Submission!$O:$O,Submission!$H:$N,""))</f>
        <v/>
      </c>
      <c r="D1020" s="263"/>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61" t="str">
        <f>_xlfn.CONCAT(_xlfn.XLOOKUP("[S05_InstallationDifferentSamplingFrequency][14][SamplingFuelMaterial]",Submission!$O:$O,Submission!$H:$N,""))</f>
        <v/>
      </c>
      <c r="D1021" s="263"/>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61" t="str">
        <f>_xlfn.CONCAT(_xlfn.XLOOKUP("[S05_InstallationDifferentSamplingFrequency][15][SamplingFuelMaterial]",Submission!$O:$O,Submission!$H:$N,""))</f>
        <v/>
      </c>
      <c r="D1022" s="263"/>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61" t="str">
        <f>_xlfn.CONCAT(_xlfn.XLOOKUP("[S05_InstallationDifferentSamplingFrequency][16][SamplingFuelMaterial]",Submission!$O:$O,Submission!$H:$N,""))</f>
        <v/>
      </c>
      <c r="D1023" s="263"/>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61" t="str">
        <f>_xlfn.CONCAT(_xlfn.XLOOKUP("[S05_InstallationDifferentSamplingFrequency][17][SamplingFuelMaterial]",Submission!$O:$O,Submission!$H:$N,""))</f>
        <v/>
      </c>
      <c r="D1024" s="263"/>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61" t="str">
        <f>_xlfn.CONCAT(_xlfn.XLOOKUP("[S05_InstallationDifferentSamplingFrequency][18][SamplingFuelMaterial]",Submission!$O:$O,Submission!$H:$N,""))</f>
        <v/>
      </c>
      <c r="D1025" s="263"/>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61" t="str">
        <f>_xlfn.CONCAT(_xlfn.XLOOKUP("[S05_InstallationDifferentSamplingFrequency][19][SamplingFuelMaterial]",Submission!$O:$O,Submission!$H:$N,""))</f>
        <v/>
      </c>
      <c r="D1026" s="263"/>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61" t="str">
        <f>_xlfn.CONCAT(_xlfn.XLOOKUP("[S05_InstallationDifferentSamplingFrequency][20][SamplingFuelMaterial]",Submission!$O:$O,Submission!$H:$N,""))</f>
        <v/>
      </c>
      <c r="D1027" s="263"/>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61" t="str">
        <f>_xlfn.CONCAT(_xlfn.XLOOKUP("[S05_InstallationDifferentSamplingFrequency][21][SamplingFuelMaterial]",Submission!$O:$O,Submission!$H:$N,""))</f>
        <v/>
      </c>
      <c r="D1028" s="263"/>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61" t="str">
        <f>_xlfn.CONCAT(_xlfn.XLOOKUP("[S05_InstallationDifferentSamplingFrequency][22][SamplingFuelMaterial]",Submission!$O:$O,Submission!$H:$N,""))</f>
        <v/>
      </c>
      <c r="D1029" s="263"/>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61" t="str">
        <f>_xlfn.CONCAT(_xlfn.XLOOKUP("[S05_InstallationDifferentSamplingFrequency][23][SamplingFuelMaterial]",Submission!$O:$O,Submission!$H:$N,""))</f>
        <v/>
      </c>
      <c r="D1030" s="263"/>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61" t="str">
        <f>_xlfn.CONCAT(_xlfn.XLOOKUP("[S05_InstallationDifferentSamplingFrequency][24][SamplingFuelMaterial]",Submission!$O:$O,Submission!$H:$N,""))</f>
        <v/>
      </c>
      <c r="D1031" s="263"/>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61" t="str">
        <f>_xlfn.CONCAT(_xlfn.XLOOKUP("[S05_InstallationDifferentSamplingFrequency][25][SamplingFuelMaterial]",Submission!$O:$O,Submission!$H:$N,""))</f>
        <v/>
      </c>
      <c r="D1032" s="263"/>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41" t="s">
        <v>868</v>
      </c>
      <c r="C1035" s="311"/>
      <c r="D1035" s="311"/>
      <c r="E1035" s="311"/>
      <c r="F1035" s="311"/>
      <c r="G1035" s="311"/>
      <c r="H1035" s="311"/>
      <c r="I1035" s="311"/>
    </row>
    <row r="1036" spans="1:9" ht="45" customHeight="1" x14ac:dyDescent="0.3">
      <c r="B1036" s="34"/>
      <c r="C1036" s="46" t="s">
        <v>869</v>
      </c>
      <c r="D1036" s="46" t="s">
        <v>870</v>
      </c>
      <c r="E1036" s="46" t="s">
        <v>871</v>
      </c>
      <c r="F1036" s="46" t="s">
        <v>872</v>
      </c>
      <c r="G1036" s="46" t="s">
        <v>873</v>
      </c>
      <c r="H1036" s="320" t="s">
        <v>874</v>
      </c>
      <c r="I1036" s="321"/>
    </row>
    <row r="1037" spans="1:9" ht="24.6" customHeight="1" x14ac:dyDescent="0.3">
      <c r="B1037" s="34"/>
      <c r="C1037" s="72" t="str">
        <f>_xlfn.CONCAT(_xlfn.XLOOKUP("[S05_CategoryCHighestTierNotApplied][1][InstallationID]",Submission!$O:$O,Submission!$H:$N,""))</f>
        <v>PL000000000203087</v>
      </c>
      <c r="D1037" s="72" t="str">
        <f>_xlfn.CONCAT(_xlfn.XLOOKUP("[S05_CategoryCHighestTierNotApplied][1][SourceStreamAffected]",Submission!$O:$O,Submission!$H:$N,""))</f>
        <v>propylen</v>
      </c>
      <c r="E1037" s="72" t="str">
        <f>_xlfn.CONCAT(_xlfn.XLOOKUP("[S05_CategoryCHighestTierNotApplied][1][EmissionSourceAffected]",Submission!$O:$O,Submission!$H:$N,""))</f>
        <v/>
      </c>
      <c r="F1037" s="72" t="str">
        <f>_xlfn.CONCAT(_xlfn.XLOOKUP("[S05_CategoryCHighestTierNotApplied][1][MonitoringParameterAffected]",Submission!$O:$O,Submission!$H:$N,""))</f>
        <v>Carbon content</v>
      </c>
      <c r="G1037" s="89" t="str">
        <f>_xlfn.CONCAT(_xlfn.XLOOKUP("[S05_CategoryCHighestTierNotApplied][1][HighestTierRequired]",Submission!$O:$O,Submission!$H:$N,""))</f>
        <v>Tier 3</v>
      </c>
      <c r="H1037" s="243" t="str">
        <f>_xlfn.CONCAT(_xlfn.XLOOKUP("[S05_CategoryCHighestTierNotApplied][1][TierInPractice]",Submission!$O:$O,Submission!$H:$N,""))</f>
        <v>Tier 1</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61" t="s">
        <v>875</v>
      </c>
      <c r="D1093" s="362"/>
      <c r="E1093" s="362"/>
      <c r="F1093" s="362"/>
      <c r="G1093" s="362"/>
      <c r="H1093" s="362"/>
      <c r="I1093" s="362"/>
    </row>
    <row r="1094" spans="1:9" ht="26.1" customHeight="1" x14ac:dyDescent="0.3">
      <c r="C1094" s="361" t="s">
        <v>876</v>
      </c>
      <c r="D1094" s="361"/>
      <c r="E1094" s="361"/>
      <c r="F1094" s="361"/>
      <c r="G1094" s="361"/>
      <c r="H1094" s="361"/>
      <c r="I1094" s="361"/>
    </row>
    <row r="1095" spans="1:9" ht="15.9" customHeight="1" x14ac:dyDescent="0.3">
      <c r="B1095" s="34"/>
      <c r="C1095" s="20"/>
      <c r="D1095" s="20"/>
      <c r="E1095" s="20"/>
      <c r="F1095" s="20"/>
      <c r="G1095" s="20"/>
      <c r="H1095" s="20"/>
      <c r="I1095" s="20"/>
    </row>
    <row r="1096" spans="1:9" ht="34.200000000000003" customHeight="1" x14ac:dyDescent="0.3">
      <c r="A1096" s="12" t="s">
        <v>254</v>
      </c>
      <c r="B1096" s="341" t="s">
        <v>877</v>
      </c>
      <c r="C1096" s="311"/>
      <c r="D1096" s="311"/>
      <c r="E1096" s="311"/>
      <c r="F1096" s="311"/>
      <c r="G1096" s="311"/>
      <c r="H1096" s="311"/>
      <c r="I1096" s="311"/>
    </row>
    <row r="1097" spans="1:9" ht="15.9" customHeight="1" x14ac:dyDescent="0.3">
      <c r="B1097" s="34"/>
      <c r="C1097" s="320" t="s">
        <v>878</v>
      </c>
      <c r="D1097" s="321"/>
      <c r="E1097" s="320" t="s">
        <v>879</v>
      </c>
      <c r="F1097" s="373"/>
      <c r="G1097" s="321"/>
      <c r="H1097" s="320" t="s">
        <v>880</v>
      </c>
      <c r="I1097" s="321"/>
    </row>
    <row r="1098" spans="1:9" ht="25.95" customHeight="1" x14ac:dyDescent="0.3">
      <c r="B1098" s="34"/>
      <c r="C1098" s="261" t="str">
        <f>_xlfn.CONCAT(_xlfn.XLOOKUP("[S05_CategoryBHighestTierNotApplied][1][MonitoringMethodology]",Submission!$O:$O,Submission!$H:$N,""))</f>
        <v>Calculation based methodology</v>
      </c>
      <c r="D1098" s="263"/>
      <c r="E1098" s="277" t="str">
        <f>_xlfn.CONCAT(_xlfn.XLOOKUP("[S05_CategoryBHighestTierNotApplied][1][CategoryBMainActivity]",Submission!$O:$O,Submission!$H:$N,""))</f>
        <v>20 - Combustion of fuels as specified in Annex I of Directive 2003/87/EC</v>
      </c>
      <c r="F1098" s="372"/>
      <c r="G1098" s="262"/>
      <c r="H1098" s="354" t="str">
        <f>_xlfn.CONCAT(_xlfn.XLOOKUP("[S05_CategoryBHighestTierNotApplied][1][CategoryBInstallationsAffected]",Submission!$O:$O,Submission!$H:$N,""))</f>
        <v>18</v>
      </c>
      <c r="I1098" s="355"/>
    </row>
    <row r="1099" spans="1:9" ht="25.95" customHeight="1" x14ac:dyDescent="0.3">
      <c r="B1099" s="34"/>
      <c r="C1099" s="261" t="str">
        <f>_xlfn.CONCAT(_xlfn.XLOOKUP("[S05_CategoryBHighestTierNotApplied][2][MonitoringMethodology]",Submission!$O:$O,Submission!$H:$N,""))</f>
        <v>Calculation based methodology</v>
      </c>
      <c r="D1099" s="263"/>
      <c r="E1099" s="277" t="str">
        <f>_xlfn.CONCAT(_xlfn.XLOOKUP("[S05_CategoryBHighestTierNotApplied][2][CategoryBMainActivity]",Submission!$O:$O,Submission!$H:$N,""))</f>
        <v xml:space="preserve">22 - Production of coke </v>
      </c>
      <c r="F1099" s="372"/>
      <c r="G1099" s="262"/>
      <c r="H1099" s="354" t="str">
        <f>_xlfn.CONCAT(_xlfn.XLOOKUP("[S05_CategoryBHighestTierNotApplied][2][CategoryBInstallationsAffected]",Submission!$O:$O,Submission!$H:$N,""))</f>
        <v>2</v>
      </c>
      <c r="I1099" s="355"/>
    </row>
    <row r="1100" spans="1:9" ht="25.95" customHeight="1" x14ac:dyDescent="0.3">
      <c r="B1100" s="34"/>
      <c r="C1100" s="261" t="str">
        <f>_xlfn.CONCAT(_xlfn.XLOOKUP("[S05_CategoryBHighestTierNotApplied][3][MonitoringMethodology]",Submission!$O:$O,Submission!$H:$N,""))</f>
        <v>Calculation based methodology</v>
      </c>
      <c r="D1100" s="263"/>
      <c r="E1100" s="277" t="str">
        <f>_xlfn.CONCAT(_xlfn.XLOOKUP("[S05_CategoryBHighestTierNotApplied][3][CategoryBMainActivity]",Submission!$O:$O,Submission!$H:$N,""))</f>
        <v>30 - Production of lime or calcination of dolomite or magnesite as specified in Annex I of Directive 2003/87/ EC</v>
      </c>
      <c r="F1100" s="372"/>
      <c r="G1100" s="262"/>
      <c r="H1100" s="354" t="str">
        <f>_xlfn.CONCAT(_xlfn.XLOOKUP("[S05_CategoryBHighestTierNotApplied][3][CategoryBInstallationsAffected]",Submission!$O:$O,Submission!$H:$N,""))</f>
        <v>1</v>
      </c>
      <c r="I1100" s="355"/>
    </row>
    <row r="1101" spans="1:9" ht="25.95" customHeight="1" x14ac:dyDescent="0.3">
      <c r="B1101" s="34"/>
      <c r="C1101" s="261" t="str">
        <f>_xlfn.CONCAT(_xlfn.XLOOKUP("[S05_CategoryBHighestTierNotApplied][4][MonitoringMethodology]",Submission!$O:$O,Submission!$H:$N,""))</f>
        <v>Calculation based methodology</v>
      </c>
      <c r="D1101" s="263"/>
      <c r="E1101" s="277" t="str">
        <f>_xlfn.CONCAT(_xlfn.XLOOKUP("[S05_CategoryBHighestTierNotApplied][4][CategoryBMainActivity]",Submission!$O:$O,Submission!$H:$N,""))</f>
        <v>31 - Manufacture of glass as specified in Annex I of Directive 2003/87/EC</v>
      </c>
      <c r="F1101" s="372"/>
      <c r="G1101" s="262"/>
      <c r="H1101" s="354" t="str">
        <f>_xlfn.CONCAT(_xlfn.XLOOKUP("[S05_CategoryBHighestTierNotApplied][4][CategoryBInstallationsAffected]",Submission!$O:$O,Submission!$H:$N,""))</f>
        <v>3</v>
      </c>
      <c r="I1101" s="355"/>
    </row>
    <row r="1102" spans="1:9" ht="25.95" customHeight="1" x14ac:dyDescent="0.3">
      <c r="B1102" s="34"/>
      <c r="C1102" s="261" t="str">
        <f>_xlfn.CONCAT(_xlfn.XLOOKUP("[S05_CategoryBHighestTierNotApplied][5][MonitoringMethodology]",Submission!$O:$O,Submission!$H:$N,""))</f>
        <v>Calculation based methodology</v>
      </c>
      <c r="D1102" s="263"/>
      <c r="E1102" s="277" t="str">
        <f>_xlfn.CONCAT(_xlfn.XLOOKUP("[S05_CategoryBHighestTierNotApplied][5][CategoryBMainActivity]",Submission!$O:$O,Submission!$H:$N,""))</f>
        <v>24 - Production of pig iron or steel as specified in Annex I of Directive 2003/87/EC</v>
      </c>
      <c r="F1102" s="372"/>
      <c r="G1102" s="262"/>
      <c r="H1102" s="354" t="str">
        <f>_xlfn.CONCAT(_xlfn.XLOOKUP("[S05_CategoryBHighestTierNotApplied][5][CategoryBInstallationsAffected]",Submission!$O:$O,Submission!$H:$N,""))</f>
        <v>1</v>
      </c>
      <c r="I1102" s="355"/>
    </row>
    <row r="1103" spans="1:9" ht="25.95" customHeight="1" x14ac:dyDescent="0.3">
      <c r="B1103" s="34"/>
      <c r="C1103" s="261" t="str">
        <f>_xlfn.CONCAT(_xlfn.XLOOKUP("[S05_CategoryBHighestTierNotApplied][6][MonitoringMethodology]",Submission!$O:$O,Submission!$H:$N,""))</f>
        <v>Calculation based methodology</v>
      </c>
      <c r="D1103" s="263"/>
      <c r="E1103" s="277" t="str">
        <f>_xlfn.CONCAT(_xlfn.XLOOKUP("[S05_CategoryBHighestTierNotApplied][6][CategoryBMainActivity]",Submission!$O:$O,Submission!$H:$N,""))</f>
        <v>28 - Production or processing of non-ferrous metals as specified in Annex I of Directive 2003/87/EC</v>
      </c>
      <c r="F1103" s="372"/>
      <c r="G1103" s="262"/>
      <c r="H1103" s="354" t="str">
        <f>_xlfn.CONCAT(_xlfn.XLOOKUP("[S05_CategoryBHighestTierNotApplied][6][CategoryBInstallationsAffected]",Submission!$O:$O,Submission!$H:$N,""))</f>
        <v>1</v>
      </c>
      <c r="I1103" s="355"/>
    </row>
    <row r="1104" spans="1:9" ht="25.95" customHeight="1" x14ac:dyDescent="0.3">
      <c r="B1104" s="34"/>
      <c r="C1104" s="261" t="str">
        <f>_xlfn.CONCAT(_xlfn.XLOOKUP("[S05_CategoryBHighestTierNotApplied][7][MonitoringMethodology]",Submission!$O:$O,Submission!$H:$N,""))</f>
        <v/>
      </c>
      <c r="D1104" s="263"/>
      <c r="E1104" s="277" t="str">
        <f>_xlfn.CONCAT(_xlfn.XLOOKUP("[S05_CategoryBHighestTierNotApplied][7][CategoryBMainActivity]",Submission!$O:$O,Submission!$H:$N,""))</f>
        <v/>
      </c>
      <c r="F1104" s="372"/>
      <c r="G1104" s="262"/>
      <c r="H1104" s="354" t="str">
        <f>_xlfn.CONCAT(_xlfn.XLOOKUP("[S05_CategoryBHighestTierNotApplied][7][CategoryBInstallationsAffected]",Submission!$O:$O,Submission!$H:$N,""))</f>
        <v/>
      </c>
      <c r="I1104" s="355"/>
    </row>
    <row r="1105" spans="1:9" ht="25.95" hidden="1" customHeight="1" outlineLevel="1" x14ac:dyDescent="0.3">
      <c r="B1105" s="34"/>
      <c r="C1105" s="261" t="str">
        <f>_xlfn.CONCAT(_xlfn.XLOOKUP("[S05_CategoryBHighestTierNotApplied][8][MonitoringMethodology]",Submission!$O:$O,Submission!$H:$N,""))</f>
        <v/>
      </c>
      <c r="D1105" s="263"/>
      <c r="E1105" s="277" t="str">
        <f>_xlfn.CONCAT(_xlfn.XLOOKUP("[S05_CategoryBHighestTierNotApplied][8][CategoryBMainActivity]",Submission!$O:$O,Submission!$H:$N,""))</f>
        <v/>
      </c>
      <c r="F1105" s="372"/>
      <c r="G1105" s="262"/>
      <c r="H1105" s="354" t="str">
        <f>_xlfn.CONCAT(_xlfn.XLOOKUP("[S05_CategoryBHighestTierNotApplied][8][CategoryBInstallationsAffected]",Submission!$O:$O,Submission!$H:$N,""))</f>
        <v/>
      </c>
      <c r="I1105" s="355"/>
    </row>
    <row r="1106" spans="1:9" ht="25.95" hidden="1" customHeight="1" outlineLevel="1" x14ac:dyDescent="0.3">
      <c r="B1106" s="34"/>
      <c r="C1106" s="261" t="str">
        <f>_xlfn.CONCAT(_xlfn.XLOOKUP("[S05_CategoryBHighestTierNotApplied][9][MonitoringMethodology]",Submission!$O:$O,Submission!$H:$N,""))</f>
        <v/>
      </c>
      <c r="D1106" s="263"/>
      <c r="E1106" s="277" t="str">
        <f>_xlfn.CONCAT(_xlfn.XLOOKUP("[S05_CategoryBHighestTierNotApplied][9][CategoryBMainActivity]",Submission!$O:$O,Submission!$H:$N,""))</f>
        <v/>
      </c>
      <c r="F1106" s="372"/>
      <c r="G1106" s="262"/>
      <c r="H1106" s="354" t="str">
        <f>_xlfn.CONCAT(_xlfn.XLOOKUP("[S05_CategoryBHighestTierNotApplied][9][CategoryBInstallationsAffected]",Submission!$O:$O,Submission!$H:$N,""))</f>
        <v/>
      </c>
      <c r="I1106" s="355"/>
    </row>
    <row r="1107" spans="1:9" ht="25.95" hidden="1" customHeight="1" outlineLevel="1" x14ac:dyDescent="0.3">
      <c r="B1107" s="34"/>
      <c r="C1107" s="261" t="str">
        <f>_xlfn.CONCAT(_xlfn.XLOOKUP("[S05_CategoryBHighestTierNotApplied][10][MonitoringMethodology]",Submission!$O:$O,Submission!$H:$N,""))</f>
        <v/>
      </c>
      <c r="D1107" s="263"/>
      <c r="E1107" s="277" t="str">
        <f>_xlfn.CONCAT(_xlfn.XLOOKUP("[S05_CategoryBHighestTierNotApplied][10][CategoryBMainActivity]",Submission!$O:$O,Submission!$H:$N,""))</f>
        <v/>
      </c>
      <c r="F1107" s="372"/>
      <c r="G1107" s="262"/>
      <c r="H1107" s="354" t="str">
        <f>_xlfn.CONCAT(_xlfn.XLOOKUP("[S05_CategoryBHighestTierNotApplied][10][CategoryBInstallationsAffected]",Submission!$O:$O,Submission!$H:$N,""))</f>
        <v/>
      </c>
      <c r="I1107" s="355"/>
    </row>
    <row r="1108" spans="1:9" ht="25.95" hidden="1" customHeight="1" outlineLevel="1" x14ac:dyDescent="0.3">
      <c r="B1108" s="34"/>
      <c r="C1108" s="261" t="str">
        <f>_xlfn.CONCAT(_xlfn.XLOOKUP("[S05_CategoryBHighestTierNotApplied][11][MonitoringMethodology]",Submission!$O:$O,Submission!$H:$N,""))</f>
        <v/>
      </c>
      <c r="D1108" s="263"/>
      <c r="E1108" s="277" t="str">
        <f>_xlfn.CONCAT(_xlfn.XLOOKUP("[S05_CategoryBHighestTierNotApplied][11][CategoryBMainActivity]",Submission!$O:$O,Submission!$H:$N,""))</f>
        <v/>
      </c>
      <c r="F1108" s="372"/>
      <c r="G1108" s="262"/>
      <c r="H1108" s="354" t="str">
        <f>_xlfn.CONCAT(_xlfn.XLOOKUP("[S05_CategoryBHighestTierNotApplied][11][CategoryBInstallationsAffected]",Submission!$O:$O,Submission!$H:$N,""))</f>
        <v/>
      </c>
      <c r="I1108" s="355"/>
    </row>
    <row r="1109" spans="1:9" ht="25.95" hidden="1" customHeight="1" outlineLevel="1" x14ac:dyDescent="0.3">
      <c r="B1109" s="34"/>
      <c r="C1109" s="261" t="str">
        <f>_xlfn.CONCAT(_xlfn.XLOOKUP("[S05_CategoryBHighestTierNotApplied][12][MonitoringMethodology]",Submission!$O:$O,Submission!$H:$N,""))</f>
        <v/>
      </c>
      <c r="D1109" s="263"/>
      <c r="E1109" s="277" t="str">
        <f>_xlfn.CONCAT(_xlfn.XLOOKUP("[S05_CategoryBHighestTierNotApplied][12][CategoryBMainActivity]",Submission!$O:$O,Submission!$H:$N,""))</f>
        <v/>
      </c>
      <c r="F1109" s="372"/>
      <c r="G1109" s="262"/>
      <c r="H1109" s="354" t="str">
        <f>_xlfn.CONCAT(_xlfn.XLOOKUP("[S05_CategoryBHighestTierNotApplied][12][CategoryBInstallationsAffected]",Submission!$O:$O,Submission!$H:$N,""))</f>
        <v/>
      </c>
      <c r="I1109" s="355"/>
    </row>
    <row r="1110" spans="1:9" ht="25.95" hidden="1" customHeight="1" outlineLevel="1" x14ac:dyDescent="0.3">
      <c r="B1110" s="34"/>
      <c r="C1110" s="261" t="str">
        <f>_xlfn.CONCAT(_xlfn.XLOOKUP("[S05_CategoryBHighestTierNotApplied][13][MonitoringMethodology]",Submission!$O:$O,Submission!$H:$N,""))</f>
        <v/>
      </c>
      <c r="D1110" s="263"/>
      <c r="E1110" s="277" t="str">
        <f>_xlfn.CONCAT(_xlfn.XLOOKUP("[S05_CategoryBHighestTierNotApplied][13][CategoryBMainActivity]",Submission!$O:$O,Submission!$H:$N,""))</f>
        <v/>
      </c>
      <c r="F1110" s="372"/>
      <c r="G1110" s="262"/>
      <c r="H1110" s="354" t="str">
        <f>_xlfn.CONCAT(_xlfn.XLOOKUP("[S05_CategoryBHighestTierNotApplied][13][CategoryBInstallationsAffected]",Submission!$O:$O,Submission!$H:$N,""))</f>
        <v/>
      </c>
      <c r="I1110" s="355"/>
    </row>
    <row r="1111" spans="1:9" ht="25.95" hidden="1" customHeight="1" outlineLevel="1" x14ac:dyDescent="0.3">
      <c r="B1111" s="34"/>
      <c r="C1111" s="261" t="str">
        <f>_xlfn.CONCAT(_xlfn.XLOOKUP("[S05_CategoryBHighestTierNotApplied][14][MonitoringMethodology]",Submission!$O:$O,Submission!$H:$N,""))</f>
        <v/>
      </c>
      <c r="D1111" s="263"/>
      <c r="E1111" s="277" t="str">
        <f>_xlfn.CONCAT(_xlfn.XLOOKUP("[S05_CategoryBHighestTierNotApplied][14][CategoryBMainActivity]",Submission!$O:$O,Submission!$H:$N,""))</f>
        <v/>
      </c>
      <c r="F1111" s="372"/>
      <c r="G1111" s="262"/>
      <c r="H1111" s="354" t="str">
        <f>_xlfn.CONCAT(_xlfn.XLOOKUP("[S05_CategoryBHighestTierNotApplied][14][CategoryBInstallationsAffected]",Submission!$O:$O,Submission!$H:$N,""))</f>
        <v/>
      </c>
      <c r="I1111" s="355"/>
    </row>
    <row r="1112" spans="1:9" ht="25.95" hidden="1" customHeight="1" outlineLevel="1" x14ac:dyDescent="0.3">
      <c r="B1112" s="34"/>
      <c r="C1112" s="261" t="str">
        <f>_xlfn.CONCAT(_xlfn.XLOOKUP("[S05_CategoryBHighestTierNotApplied][15][MonitoringMethodology]",Submission!$O:$O,Submission!$H:$N,""))</f>
        <v/>
      </c>
      <c r="D1112" s="263"/>
      <c r="E1112" s="277" t="str">
        <f>_xlfn.CONCAT(_xlfn.XLOOKUP("[S05_CategoryBHighestTierNotApplied][15][CategoryBMainActivity]",Submission!$O:$O,Submission!$H:$N,""))</f>
        <v/>
      </c>
      <c r="F1112" s="372"/>
      <c r="G1112" s="262"/>
      <c r="H1112" s="354" t="str">
        <f>_xlfn.CONCAT(_xlfn.XLOOKUP("[S05_CategoryBHighestTierNotApplied][15][CategoryBInstallationsAffected]",Submission!$O:$O,Submission!$H:$N,""))</f>
        <v/>
      </c>
      <c r="I1112" s="355"/>
    </row>
    <row r="1113" spans="1:9" ht="25.95" hidden="1" customHeight="1" outlineLevel="1" x14ac:dyDescent="0.3">
      <c r="B1113" s="34"/>
      <c r="C1113" s="261" t="str">
        <f>_xlfn.CONCAT(_xlfn.XLOOKUP("[S05_CategoryBHighestTierNotApplied][16][MonitoringMethodology]",Submission!$O:$O,Submission!$H:$N,""))</f>
        <v/>
      </c>
      <c r="D1113" s="263"/>
      <c r="E1113" s="277" t="str">
        <f>_xlfn.CONCAT(_xlfn.XLOOKUP("[S05_CategoryBHighestTierNotApplied][16][CategoryBMainActivity]",Submission!$O:$O,Submission!$H:$N,""))</f>
        <v/>
      </c>
      <c r="F1113" s="372"/>
      <c r="G1113" s="262"/>
      <c r="H1113" s="354" t="str">
        <f>_xlfn.CONCAT(_xlfn.XLOOKUP("[S05_CategoryBHighestTierNotApplied][16][CategoryBInstallationsAffected]",Submission!$O:$O,Submission!$H:$N,""))</f>
        <v/>
      </c>
      <c r="I1113" s="355"/>
    </row>
    <row r="1114" spans="1:9" ht="25.95" hidden="1" customHeight="1" outlineLevel="1" x14ac:dyDescent="0.3">
      <c r="B1114" s="34"/>
      <c r="C1114" s="261" t="str">
        <f>_xlfn.CONCAT(_xlfn.XLOOKUP("[S05_CategoryBHighestTierNotApplied][17][MonitoringMethodology]",Submission!$O:$O,Submission!$H:$N,""))</f>
        <v/>
      </c>
      <c r="D1114" s="263"/>
      <c r="E1114" s="277" t="str">
        <f>_xlfn.CONCAT(_xlfn.XLOOKUP("[S05_CategoryBHighestTierNotApplied][17][CategoryBMainActivity]",Submission!$O:$O,Submission!$H:$N,""))</f>
        <v/>
      </c>
      <c r="F1114" s="372"/>
      <c r="G1114" s="262"/>
      <c r="H1114" s="354" t="str">
        <f>_xlfn.CONCAT(_xlfn.XLOOKUP("[S05_CategoryBHighestTierNotApplied][17][CategoryBInstallationsAffected]",Submission!$O:$O,Submission!$H:$N,""))</f>
        <v/>
      </c>
      <c r="I1114" s="355"/>
    </row>
    <row r="1115" spans="1:9" ht="25.95" hidden="1" customHeight="1" outlineLevel="1" x14ac:dyDescent="0.3">
      <c r="B1115" s="34"/>
      <c r="C1115" s="261" t="str">
        <f>_xlfn.CONCAT(_xlfn.XLOOKUP("[S05_CategoryBHighestTierNotApplied][18][MonitoringMethodology]",Submission!$O:$O,Submission!$H:$N,""))</f>
        <v/>
      </c>
      <c r="D1115" s="263"/>
      <c r="E1115" s="277" t="str">
        <f>_xlfn.CONCAT(_xlfn.XLOOKUP("[S05_CategoryBHighestTierNotApplied][18][CategoryBMainActivity]",Submission!$O:$O,Submission!$H:$N,""))</f>
        <v/>
      </c>
      <c r="F1115" s="372"/>
      <c r="G1115" s="262"/>
      <c r="H1115" s="354" t="str">
        <f>_xlfn.CONCAT(_xlfn.XLOOKUP("[S05_CategoryBHighestTierNotApplied][18][CategoryBInstallationsAffected]",Submission!$O:$O,Submission!$H:$N,""))</f>
        <v/>
      </c>
      <c r="I1115" s="355"/>
    </row>
    <row r="1116" spans="1:9" ht="25.95" hidden="1" customHeight="1" outlineLevel="1" x14ac:dyDescent="0.3">
      <c r="B1116" s="34"/>
      <c r="C1116" s="261" t="str">
        <f>_xlfn.CONCAT(_xlfn.XLOOKUP("[S05_CategoryBHighestTierNotApplied][19][MonitoringMethodology]",Submission!$O:$O,Submission!$H:$N,""))</f>
        <v/>
      </c>
      <c r="D1116" s="263"/>
      <c r="E1116" s="277" t="str">
        <f>_xlfn.CONCAT(_xlfn.XLOOKUP("[S05_CategoryBHighestTierNotApplied][19][CategoryBMainActivity]",Submission!$O:$O,Submission!$H:$N,""))</f>
        <v/>
      </c>
      <c r="F1116" s="372"/>
      <c r="G1116" s="262"/>
      <c r="H1116" s="354" t="str">
        <f>_xlfn.CONCAT(_xlfn.XLOOKUP("[S05_CategoryBHighestTierNotApplied][19][CategoryBInstallationsAffected]",Submission!$O:$O,Submission!$H:$N,""))</f>
        <v/>
      </c>
      <c r="I1116" s="355"/>
    </row>
    <row r="1117" spans="1:9" ht="25.95" hidden="1" customHeight="1" outlineLevel="1" x14ac:dyDescent="0.3">
      <c r="B1117" s="34"/>
      <c r="C1117" s="261" t="str">
        <f>_xlfn.CONCAT(_xlfn.XLOOKUP("[S05_CategoryBHighestTierNotApplied][20][MonitoringMethodology]",Submission!$O:$O,Submission!$H:$N,""))</f>
        <v/>
      </c>
      <c r="D1117" s="263"/>
      <c r="E1117" s="277" t="str">
        <f>_xlfn.CONCAT(_xlfn.XLOOKUP("[S05_CategoryBHighestTierNotApplied][20][CategoryBMainActivity]",Submission!$O:$O,Submission!$H:$N,""))</f>
        <v/>
      </c>
      <c r="F1117" s="372"/>
      <c r="G1117" s="262"/>
      <c r="H1117" s="354" t="str">
        <f>_xlfn.CONCAT(_xlfn.XLOOKUP("[S05_CategoryBHighestTierNotApplied][20][CategoryBInstallationsAffected]",Submission!$O:$O,Submission!$H:$N,""))</f>
        <v/>
      </c>
      <c r="I1117" s="355"/>
    </row>
    <row r="1118" spans="1:9" ht="25.95" hidden="1" customHeight="1" outlineLevel="1" x14ac:dyDescent="0.3">
      <c r="B1118" s="34"/>
      <c r="C1118" s="261" t="str">
        <f>_xlfn.CONCAT(_xlfn.XLOOKUP("[S05_CategoryBHighestTierNotApplied][21][MonitoringMethodology]",Submission!$O:$O,Submission!$H:$N,""))</f>
        <v/>
      </c>
      <c r="D1118" s="263"/>
      <c r="E1118" s="277" t="str">
        <f>_xlfn.CONCAT(_xlfn.XLOOKUP("[S05_CategoryBHighestTierNotApplied][21][CategoryBMainActivity]",Submission!$O:$O,Submission!$H:$N,""))</f>
        <v/>
      </c>
      <c r="F1118" s="372"/>
      <c r="G1118" s="262"/>
      <c r="H1118" s="354" t="str">
        <f>_xlfn.CONCAT(_xlfn.XLOOKUP("[S05_CategoryBHighestTierNotApplied][21][CategoryBInstallationsAffected]",Submission!$O:$O,Submission!$H:$N,""))</f>
        <v/>
      </c>
      <c r="I1118" s="355"/>
    </row>
    <row r="1119" spans="1:9" ht="25.95" hidden="1" customHeight="1" outlineLevel="1" x14ac:dyDescent="0.3">
      <c r="B1119" s="34"/>
      <c r="C1119" s="261" t="str">
        <f>_xlfn.CONCAT(_xlfn.XLOOKUP("[S05_CategoryBHighestTierNotApplied][22][MonitoringMethodology]",Submission!$O:$O,Submission!$H:$N,""))</f>
        <v/>
      </c>
      <c r="D1119" s="263"/>
      <c r="E1119" s="277" t="str">
        <f>_xlfn.CONCAT(_xlfn.XLOOKUP("[S05_CategoryBHighestTierNotApplied][22][CategoryBMainActivity]",Submission!$O:$O,Submission!$H:$N,""))</f>
        <v/>
      </c>
      <c r="F1119" s="372"/>
      <c r="G1119" s="262"/>
      <c r="H1119" s="354" t="str">
        <f>_xlfn.CONCAT(_xlfn.XLOOKUP("[S05_CategoryBHighestTierNotApplied][22][CategoryBInstallationsAffected]",Submission!$O:$O,Submission!$H:$N,""))</f>
        <v/>
      </c>
      <c r="I1119" s="355"/>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82" t="s">
        <v>881</v>
      </c>
      <c r="D1121" s="282"/>
      <c r="E1121" s="282"/>
      <c r="F1121" s="282"/>
      <c r="G1121" s="282"/>
      <c r="H1121" s="282"/>
      <c r="I1121" s="282"/>
    </row>
    <row r="1122" spans="1:9" ht="16.95" customHeight="1" x14ac:dyDescent="0.3">
      <c r="A1122" s="13"/>
      <c r="C1122" s="282" t="s">
        <v>882</v>
      </c>
      <c r="D1122" s="282"/>
      <c r="E1122" s="282"/>
      <c r="F1122" s="282"/>
      <c r="G1122" s="282"/>
      <c r="H1122" s="282"/>
      <c r="I1122" s="282"/>
    </row>
    <row r="1123" spans="1:9" ht="16.95" customHeight="1" x14ac:dyDescent="0.3">
      <c r="A1123" s="13"/>
      <c r="C1123" s="99"/>
      <c r="D1123" s="99"/>
      <c r="E1123" s="99"/>
      <c r="F1123" s="99"/>
      <c r="G1123" s="99"/>
      <c r="H1123" s="99"/>
      <c r="I1123" s="99"/>
    </row>
    <row r="1124" spans="1:9" ht="35.25" customHeight="1" x14ac:dyDescent="0.3">
      <c r="A1124" s="12" t="s">
        <v>259</v>
      </c>
      <c r="B1124" s="341" t="s">
        <v>883</v>
      </c>
      <c r="C1124" s="311"/>
      <c r="D1124" s="311"/>
      <c r="E1124" s="311"/>
      <c r="F1124" s="311"/>
      <c r="G1124" s="311"/>
      <c r="H1124" s="348"/>
      <c r="I1124" s="41" t="str">
        <f>_xlfn.CONCAT(_xlfn.XLOOKUP("[FallBackApproachApplied][0][FallBackApproachApplied]",Submission!$O:$O,Submission!$H:$N,""))</f>
        <v>Yes</v>
      </c>
    </row>
    <row r="1125" spans="1:9" ht="20.399999999999999" customHeight="1" x14ac:dyDescent="0.3">
      <c r="A1125" s="12"/>
      <c r="B1125" s="278" t="s">
        <v>884</v>
      </c>
      <c r="C1125" s="279"/>
      <c r="D1125" s="279"/>
      <c r="E1125" s="279"/>
      <c r="F1125" s="279"/>
      <c r="G1125" s="279"/>
      <c r="H1125" s="279"/>
      <c r="I1125" s="279"/>
    </row>
    <row r="1126" spans="1:9" ht="32.4" customHeight="1" x14ac:dyDescent="0.3">
      <c r="A1126" s="12"/>
      <c r="B1126" s="34"/>
      <c r="C1126" s="46" t="s">
        <v>869</v>
      </c>
      <c r="D1126" s="320" t="s">
        <v>885</v>
      </c>
      <c r="E1126" s="373"/>
      <c r="F1126" s="373"/>
      <c r="G1126" s="321"/>
      <c r="H1126" s="46" t="s">
        <v>886</v>
      </c>
      <c r="I1126" s="46" t="s">
        <v>887</v>
      </c>
    </row>
    <row r="1127" spans="1:9" s="58" customFormat="1" ht="27.75" customHeight="1" x14ac:dyDescent="0.3">
      <c r="A1127" s="57"/>
      <c r="B1127" s="74"/>
      <c r="C1127" s="72" t="str">
        <f>_xlfn.CONCAT(_xlfn.XLOOKUP("[S05_FallBackApproachAppliedDetail][1][FallbackInstallationID]",Submission!$O:$O,Submission!$H:$N,""))</f>
        <v>PL000000000000371</v>
      </c>
      <c r="D1127" s="261" t="str">
        <f>_xlfn.CONCAT(_xlfn.XLOOKUP("[S05_FallBackApproachAppliedDetail][1][FallBackReason]",Submission!$O:$O,Submission!$H:$N,""))</f>
        <v>Applying tier 1 is technically infeasible or leads to unreasonable costs for one minor source stream</v>
      </c>
      <c r="E1127" s="356"/>
      <c r="F1127" s="356"/>
      <c r="G1127" s="263"/>
      <c r="H1127" s="72" t="str">
        <f>_xlfn.CONCAT(_xlfn.XLOOKUP("[S05_FallBackApproachAppliedDetail][1][ParameterNotTier1]",Submission!$O:$O,Submission!$H:$N,""))</f>
        <v>Quantity of material</v>
      </c>
      <c r="I1127" s="124" t="str">
        <f>_xlfn.CONCAT(_xlfn.XLOOKUP("[S05_FallBackApproachAppliedDetail][1][ParameterEmissions]",Submission!$O:$O,Submission!$H:$N,""))</f>
        <v>1596.8</v>
      </c>
    </row>
    <row r="1128" spans="1:9" s="58" customFormat="1" ht="27.75" customHeight="1" x14ac:dyDescent="0.3">
      <c r="A1128" s="57"/>
      <c r="B1128" s="74"/>
      <c r="C1128" s="72" t="str">
        <f>_xlfn.CONCAT(_xlfn.XLOOKUP("[S05_FallBackApproachAppliedDetail][2][FallbackInstallationID]",Submission!$O:$O,Submission!$H:$N,""))</f>
        <v/>
      </c>
      <c r="D1128" s="261" t="str">
        <f>_xlfn.CONCAT(_xlfn.XLOOKUP("[S05_FallBackApproachAppliedDetail][2][FallBackReason]",Submission!$O:$O,Submission!$H:$N,""))</f>
        <v/>
      </c>
      <c r="E1128" s="356"/>
      <c r="F1128" s="356"/>
      <c r="G1128" s="263"/>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61" t="str">
        <f>_xlfn.CONCAT(_xlfn.XLOOKUP("[S05_FallBackApproachAppliedDetail][3][FallBackReason]",Submission!$O:$O,Submission!$H:$N,""))</f>
        <v/>
      </c>
      <c r="E1129" s="356"/>
      <c r="F1129" s="356"/>
      <c r="G1129" s="263"/>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61" t="str">
        <f>_xlfn.CONCAT(_xlfn.XLOOKUP("[S05_FallBackApproachAppliedDetail][4][FallBackReason]",Submission!$O:$O,Submission!$H:$N,""))</f>
        <v/>
      </c>
      <c r="E1130" s="356"/>
      <c r="F1130" s="356"/>
      <c r="G1130" s="263"/>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61" t="str">
        <f>_xlfn.CONCAT(_xlfn.XLOOKUP("[S05_FallBackApproachAppliedDetail][5][FallBackReason]",Submission!$O:$O,Submission!$H:$N,""))</f>
        <v/>
      </c>
      <c r="E1131" s="356"/>
      <c r="F1131" s="356"/>
      <c r="G1131" s="263"/>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61" t="str">
        <f>_xlfn.CONCAT(_xlfn.XLOOKUP("[S05_FallBackApproachAppliedDetail][6][FallBackReason]",Submission!$O:$O,Submission!$H:$N,""))</f>
        <v/>
      </c>
      <c r="E1132" s="356"/>
      <c r="F1132" s="356"/>
      <c r="G1132" s="263"/>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61" t="str">
        <f>_xlfn.CONCAT(_xlfn.XLOOKUP("[S05_FallBackApproachAppliedDetail][7][FallBackReason]",Submission!$O:$O,Submission!$H:$N,""))</f>
        <v/>
      </c>
      <c r="E1133" s="356"/>
      <c r="F1133" s="356"/>
      <c r="G1133" s="263"/>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61" t="str">
        <f>_xlfn.CONCAT(_xlfn.XLOOKUP("[S05_FallBackApproachAppliedDetail][8][FallBackReason]",Submission!$O:$O,Submission!$H:$N,""))</f>
        <v/>
      </c>
      <c r="E1134" s="356"/>
      <c r="F1134" s="356"/>
      <c r="G1134" s="263"/>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61" t="str">
        <f>_xlfn.CONCAT(_xlfn.XLOOKUP("[S05_FallBackApproachAppliedDetail][9][FallBackReason]",Submission!$O:$O,Submission!$H:$N,""))</f>
        <v/>
      </c>
      <c r="E1135" s="356"/>
      <c r="F1135" s="356"/>
      <c r="G1135" s="263"/>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61" t="str">
        <f>_xlfn.CONCAT(_xlfn.XLOOKUP("[S05_FallBackApproachAppliedDetail][10][FallBackReason]",Submission!$O:$O,Submission!$H:$N,""))</f>
        <v/>
      </c>
      <c r="E1136" s="356"/>
      <c r="F1136" s="356"/>
      <c r="G1136" s="263"/>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1" t="s">
        <v>888</v>
      </c>
      <c r="D1138" s="362"/>
      <c r="E1138" s="362"/>
      <c r="F1138" s="362"/>
      <c r="G1138" s="362"/>
      <c r="H1138" s="362"/>
      <c r="I1138" s="362"/>
    </row>
    <row r="1139" spans="1:9" ht="73.2" customHeight="1" x14ac:dyDescent="0.3">
      <c r="A1139" s="12"/>
      <c r="B1139" s="16"/>
      <c r="C1139" s="361" t="s">
        <v>889</v>
      </c>
      <c r="D1139" s="361"/>
      <c r="E1139" s="361"/>
      <c r="F1139" s="361"/>
      <c r="G1139" s="361"/>
      <c r="H1139" s="361"/>
      <c r="I1139" s="361"/>
    </row>
    <row r="1140" spans="1:9" ht="28.95" customHeight="1" x14ac:dyDescent="0.3">
      <c r="A1140" s="12"/>
      <c r="B1140" s="16"/>
      <c r="C1140" s="361" t="s">
        <v>2225</v>
      </c>
      <c r="D1140" s="361"/>
      <c r="E1140" s="361"/>
      <c r="F1140" s="361"/>
      <c r="G1140" s="361"/>
      <c r="H1140" s="361"/>
      <c r="I1140" s="361"/>
    </row>
    <row r="1141" spans="1:9" ht="15.9" customHeight="1" x14ac:dyDescent="0.3">
      <c r="A1141" s="12"/>
    </row>
    <row r="1142" spans="1:9" ht="35.4" customHeight="1" x14ac:dyDescent="0.3">
      <c r="A1142" s="12" t="s">
        <v>266</v>
      </c>
      <c r="B1142" s="341" t="s">
        <v>890</v>
      </c>
      <c r="C1142" s="311"/>
      <c r="D1142" s="311"/>
      <c r="E1142" s="311"/>
      <c r="F1142" s="311"/>
      <c r="G1142" s="311"/>
      <c r="H1142" s="311"/>
      <c r="I1142" s="311"/>
    </row>
    <row r="1143" spans="1:9" ht="44.4" customHeight="1" x14ac:dyDescent="0.3">
      <c r="A1143" s="12"/>
      <c r="C1143" s="42" t="s">
        <v>891</v>
      </c>
      <c r="D1143" s="317" t="s">
        <v>879</v>
      </c>
      <c r="E1143" s="319"/>
      <c r="F1143" s="317" t="s">
        <v>892</v>
      </c>
      <c r="G1143" s="31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77" t="str">
        <f>_xlfn.CONCAT(_xlfn.XLOOKUP("[S05_ImprovementReportArt69]["&amp;ROW(B1144)-ROW($B$1143)&amp;"][Annex1Activity]",Submission!$O:$O,Submission!$H:$N,""))</f>
        <v>20 - Combustion of fuels as specified in Annex I of Directive 2003/87/EC</v>
      </c>
      <c r="E1144" s="367"/>
      <c r="F1144" s="261" t="str">
        <f>_xlfn.CONCAT(_xlfn.XLOOKUP("[S05_ImprovementReportArt69]["&amp;ROW(B1144)-ROW($B$1143)&amp;"][ImprovementReportType]",Submission!$O:$O,Submission!$H:$N,""))</f>
        <v>Improvement report in accordance with Article 69(1)</v>
      </c>
      <c r="G1144" s="262"/>
      <c r="H1144" s="124" t="str">
        <f>_xlfn.CONCAT(_xlfn.XLOOKUP("[S05_ImprovementReportArt69]["&amp;ROW(B1144)-ROW($B$1143)&amp;"][ImprovementReportRequired]",Submission!$O:$O,Submission!$H:$N,""))</f>
        <v>14</v>
      </c>
      <c r="I1144" s="124" t="str">
        <f>_xlfn.CONCAT(_xlfn.XLOOKUP("[S05_ImprovementReportArt69]["&amp;ROW(B1144)-ROW($B$1143)&amp;"][ImprovementReportSubmitted]",Submission!$O:$O,Submission!$H:$N,""))</f>
        <v>0</v>
      </c>
    </row>
    <row r="1145" spans="1:9" ht="27" customHeight="1" x14ac:dyDescent="0.3">
      <c r="A1145" s="12"/>
      <c r="C1145" s="47" t="str">
        <f>_xlfn.CONCAT(_xlfn.XLOOKUP("[S05_ImprovementReportArt69]["&amp;ROW(B1145)-ROW($B$1143)&amp;"][InstallationCategory]",Submission!$O:$O,Submission!$H:$N,""))</f>
        <v>Category A</v>
      </c>
      <c r="D1145" s="277" t="str">
        <f>_xlfn.CONCAT(_xlfn.XLOOKUP("[S05_ImprovementReportArt69]["&amp;ROW(B1145)-ROW($B$1143)&amp;"][Annex1Activity]",Submission!$O:$O,Submission!$H:$N,""))</f>
        <v>20 - Combustion of fuels as specified in Annex I of Directive 2003/87/EC</v>
      </c>
      <c r="E1145" s="367"/>
      <c r="F1145" s="261" t="str">
        <f>_xlfn.CONCAT(_xlfn.XLOOKUP("[S05_ImprovementReportArt69]["&amp;ROW(B1145)-ROW($B$1143)&amp;"][ImprovementReportType]",Submission!$O:$O,Submission!$H:$N,""))</f>
        <v>Improvement report according to Article 69(4)</v>
      </c>
      <c r="G1145" s="262"/>
      <c r="H1145" s="124" t="str">
        <f>_xlfn.CONCAT(_xlfn.XLOOKUP("[S05_ImprovementReportArt69]["&amp;ROW(B1145)-ROW($B$1143)&amp;"][ImprovementReportRequired]",Submission!$O:$O,Submission!$H:$N,""))</f>
        <v>40</v>
      </c>
      <c r="I1145" s="124" t="str">
        <f>_xlfn.CONCAT(_xlfn.XLOOKUP("[S05_ImprovementReportArt69]["&amp;ROW(B1145)-ROW($B$1143)&amp;"][ImprovementReportSubmitted]",Submission!$O:$O,Submission!$H:$N,""))</f>
        <v>19</v>
      </c>
    </row>
    <row r="1146" spans="1:9" ht="27" customHeight="1" x14ac:dyDescent="0.3">
      <c r="A1146" s="12"/>
      <c r="C1146" s="47" t="str">
        <f>_xlfn.CONCAT(_xlfn.XLOOKUP("[S05_ImprovementReportArt69]["&amp;ROW(B1146)-ROW($B$1143)&amp;"][InstallationCategory]",Submission!$O:$O,Submission!$H:$N,""))</f>
        <v>Category A</v>
      </c>
      <c r="D1146" s="277" t="str">
        <f>_xlfn.CONCAT(_xlfn.XLOOKUP("[S05_ImprovementReportArt69]["&amp;ROW(B1146)-ROW($B$1143)&amp;"][Annex1Activity]",Submission!$O:$O,Submission!$H:$N,""))</f>
        <v>25 - Production or processing of ferrous metals as specified in Annex I of Directive 2003/87/EC</v>
      </c>
      <c r="E1146" s="367"/>
      <c r="F1146" s="261" t="str">
        <f>_xlfn.CONCAT(_xlfn.XLOOKUP("[S05_ImprovementReportArt69]["&amp;ROW(B1146)-ROW($B$1143)&amp;"][ImprovementReportType]",Submission!$O:$O,Submission!$H:$N,""))</f>
        <v>Improvement report according to Article 69(4)</v>
      </c>
      <c r="G1146" s="262"/>
      <c r="H1146" s="124" t="str">
        <f>_xlfn.CONCAT(_xlfn.XLOOKUP("[S05_ImprovementReportArt69]["&amp;ROW(B1146)-ROW($B$1143)&amp;"][ImprovementReportRequired]",Submission!$O:$O,Submission!$H:$N,""))</f>
        <v>4</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A</v>
      </c>
      <c r="D1147" s="277" t="str">
        <f>_xlfn.CONCAT(_xlfn.XLOOKUP("[S05_ImprovementReportArt69]["&amp;ROW(B1147)-ROW($B$1143)&amp;"][Annex1Activity]",Submission!$O:$O,Submission!$H:$N,""))</f>
        <v>28 - Production or processing of non-ferrous metals as specified in Annex I of Directive 2003/87/EC</v>
      </c>
      <c r="E1147" s="367"/>
      <c r="F1147" s="261" t="str">
        <f>_xlfn.CONCAT(_xlfn.XLOOKUP("[S05_ImprovementReportArt69]["&amp;ROW(B1147)-ROW($B$1143)&amp;"][ImprovementReportType]",Submission!$O:$O,Submission!$H:$N,""))</f>
        <v>Improvement report according to Article 69(4)</v>
      </c>
      <c r="G1147" s="26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0</v>
      </c>
    </row>
    <row r="1148" spans="1:9" ht="27" customHeight="1" x14ac:dyDescent="0.3">
      <c r="A1148" s="12"/>
      <c r="C1148" s="47" t="str">
        <f>_xlfn.CONCAT(_xlfn.XLOOKUP("[S05_ImprovementReportArt69]["&amp;ROW(B1148)-ROW($B$1143)&amp;"][InstallationCategory]",Submission!$O:$O,Submission!$H:$N,""))</f>
        <v>Category A</v>
      </c>
      <c r="D1148" s="277" t="str">
        <f>_xlfn.CONCAT(_xlfn.XLOOKUP("[S05_ImprovementReportArt69]["&amp;ROW(B1148)-ROW($B$1143)&amp;"][Annex1Activity]",Submission!$O:$O,Submission!$H:$N,""))</f>
        <v>31 - Manufacture of glass as specified in Annex I of Directive 2003/87/EC</v>
      </c>
      <c r="E1148" s="367"/>
      <c r="F1148" s="261" t="str">
        <f>_xlfn.CONCAT(_xlfn.XLOOKUP("[S05_ImprovementReportArt69]["&amp;ROW(B1148)-ROW($B$1143)&amp;"][ImprovementReportType]",Submission!$O:$O,Submission!$H:$N,""))</f>
        <v>Improvement report according to Article 69(4)</v>
      </c>
      <c r="G1148" s="262"/>
      <c r="H1148" s="124" t="str">
        <f>_xlfn.CONCAT(_xlfn.XLOOKUP("[S05_ImprovementReportArt69]["&amp;ROW(B1148)-ROW($B$1143)&amp;"][ImprovementReportRequired]",Submission!$O:$O,Submission!$H:$N,""))</f>
        <v>4</v>
      </c>
      <c r="I1148" s="124" t="str">
        <f>_xlfn.CONCAT(_xlfn.XLOOKUP("[S05_ImprovementReportArt69]["&amp;ROW(B1148)-ROW($B$1143)&amp;"][ImprovementReportSubmitted]",Submission!$O:$O,Submission!$H:$N,""))</f>
        <v>0</v>
      </c>
    </row>
    <row r="1149" spans="1:9" ht="27" customHeight="1" x14ac:dyDescent="0.3">
      <c r="A1149" s="12"/>
      <c r="C1149" s="47" t="str">
        <f>_xlfn.CONCAT(_xlfn.XLOOKUP("[S05_ImprovementReportArt69]["&amp;ROW(B1149)-ROW($B$1143)&amp;"][InstallationCategory]",Submission!$O:$O,Submission!$H:$N,""))</f>
        <v>Category A</v>
      </c>
      <c r="D1149" s="277" t="str">
        <f>_xlfn.CONCAT(_xlfn.XLOOKUP("[S05_ImprovementReportArt69]["&amp;ROW(B1149)-ROW($B$1143)&amp;"][Annex1Activity]",Submission!$O:$O,Submission!$H:$N,""))</f>
        <v>32 - Manufacture of ceramic products as specified in Annex I of Directive 2003/87/EC</v>
      </c>
      <c r="E1149" s="367"/>
      <c r="F1149" s="261" t="str">
        <f>_xlfn.CONCAT(_xlfn.XLOOKUP("[S05_ImprovementReportArt69]["&amp;ROW(B1149)-ROW($B$1143)&amp;"][ImprovementReportType]",Submission!$O:$O,Submission!$H:$N,""))</f>
        <v>Improvement report according to Article 69(4)</v>
      </c>
      <c r="G1149" s="262"/>
      <c r="H1149" s="124" t="str">
        <f>_xlfn.CONCAT(_xlfn.XLOOKUP("[S05_ImprovementReportArt69]["&amp;ROW(B1149)-ROW($B$1143)&amp;"][ImprovementReportRequired]",Submission!$O:$O,Submission!$H:$N,""))</f>
        <v>2</v>
      </c>
      <c r="I1149" s="124" t="str">
        <f>_xlfn.CONCAT(_xlfn.XLOOKUP("[S05_ImprovementReportArt69]["&amp;ROW(B1149)-ROW($B$1143)&amp;"][ImprovementReportSubmitted]",Submission!$O:$O,Submission!$H:$N,""))</f>
        <v>0</v>
      </c>
    </row>
    <row r="1150" spans="1:9" ht="27" customHeight="1" x14ac:dyDescent="0.3">
      <c r="A1150" s="12"/>
      <c r="C1150" s="47" t="str">
        <f>_xlfn.CONCAT(_xlfn.XLOOKUP("[S05_ImprovementReportArt69]["&amp;ROW(B1150)-ROW($B$1143)&amp;"][InstallationCategory]",Submission!$O:$O,Submission!$H:$N,""))</f>
        <v>Category A</v>
      </c>
      <c r="D1150" s="277" t="str">
        <f>_xlfn.CONCAT(_xlfn.XLOOKUP("[S05_ImprovementReportArt69]["&amp;ROW(B1150)-ROW($B$1143)&amp;"][Annex1Activity]",Submission!$O:$O,Submission!$H:$N,""))</f>
        <v>33 - Manufacture of mineral wool insulation material using glass, rock or slag as specified in Annex I of Directive 2003/87/EC</v>
      </c>
      <c r="E1150" s="367"/>
      <c r="F1150" s="261" t="str">
        <f>_xlfn.CONCAT(_xlfn.XLOOKUP("[S05_ImprovementReportArt69]["&amp;ROW(B1150)-ROW($B$1143)&amp;"][ImprovementReportType]",Submission!$O:$O,Submission!$H:$N,""))</f>
        <v>Improvement report according to Article 69(4)</v>
      </c>
      <c r="G1150" s="262"/>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0</v>
      </c>
    </row>
    <row r="1151" spans="1:9" ht="27" customHeight="1" x14ac:dyDescent="0.3">
      <c r="A1151" s="12"/>
      <c r="C1151" s="47" t="str">
        <f>_xlfn.CONCAT(_xlfn.XLOOKUP("[S05_ImprovementReportArt69]["&amp;ROW(B1151)-ROW($B$1143)&amp;"][InstallationCategory]",Submission!$O:$O,Submission!$H:$N,""))</f>
        <v>Category A</v>
      </c>
      <c r="D1151" s="277" t="str">
        <f>_xlfn.CONCAT(_xlfn.XLOOKUP("[S05_ImprovementReportArt69]["&amp;ROW(B1151)-ROW($B$1143)&amp;"][Annex1Activity]",Submission!$O:$O,Submission!$H:$N,""))</f>
        <v xml:space="preserve">36 - Production of paper or cardboard as specified in Annex I of Directive 2003/87/EC </v>
      </c>
      <c r="E1151" s="367"/>
      <c r="F1151" s="261" t="str">
        <f>_xlfn.CONCAT(_xlfn.XLOOKUP("[S05_ImprovementReportArt69]["&amp;ROW(B1151)-ROW($B$1143)&amp;"][ImprovementReportType]",Submission!$O:$O,Submission!$H:$N,""))</f>
        <v>Improvement report according to Article 69(4)</v>
      </c>
      <c r="G1151" s="262"/>
      <c r="H1151" s="124" t="str">
        <f>_xlfn.CONCAT(_xlfn.XLOOKUP("[S05_ImprovementReportArt69]["&amp;ROW(B1151)-ROW($B$1143)&amp;"][ImprovementReportRequired]",Submission!$O:$O,Submission!$H:$N,""))</f>
        <v>1</v>
      </c>
      <c r="I1151" s="124" t="str">
        <f>_xlfn.CONCAT(_xlfn.XLOOKUP("[S05_ImprovementReportArt69]["&amp;ROW(B1151)-ROW($B$1143)&amp;"][ImprovementReportSubmitted]",Submission!$O:$O,Submission!$H:$N,""))</f>
        <v>1</v>
      </c>
    </row>
    <row r="1152" spans="1:9" ht="27" customHeight="1" x14ac:dyDescent="0.3">
      <c r="A1152" s="12"/>
      <c r="C1152" s="47" t="str">
        <f>_xlfn.CONCAT(_xlfn.XLOOKUP("[S05_ImprovementReportArt69]["&amp;ROW(B1152)-ROW($B$1143)&amp;"][InstallationCategory]",Submission!$O:$O,Submission!$H:$N,""))</f>
        <v>Category B</v>
      </c>
      <c r="D1152" s="277" t="str">
        <f>_xlfn.CONCAT(_xlfn.XLOOKUP("[S05_ImprovementReportArt69]["&amp;ROW(B1152)-ROW($B$1143)&amp;"][Annex1Activity]",Submission!$O:$O,Submission!$H:$N,""))</f>
        <v>20 - Combustion of fuels as specified in Annex I of Directive 2003/87/EC</v>
      </c>
      <c r="E1152" s="367"/>
      <c r="F1152" s="261" t="str">
        <f>_xlfn.CONCAT(_xlfn.XLOOKUP("[S05_ImprovementReportArt69]["&amp;ROW(B1152)-ROW($B$1143)&amp;"][ImprovementReportType]",Submission!$O:$O,Submission!$H:$N,""))</f>
        <v>Improvement report in accordance with Article 69(1)</v>
      </c>
      <c r="G1152" s="262"/>
      <c r="H1152" s="124" t="str">
        <f>_xlfn.CONCAT(_xlfn.XLOOKUP("[S05_ImprovementReportArt69]["&amp;ROW(B1152)-ROW($B$1143)&amp;"][ImprovementReportRequired]",Submission!$O:$O,Submission!$H:$N,""))</f>
        <v>8</v>
      </c>
      <c r="I1152" s="124" t="str">
        <f>_xlfn.CONCAT(_xlfn.XLOOKUP("[S05_ImprovementReportArt69]["&amp;ROW(B1152)-ROW($B$1143)&amp;"][ImprovementReportSubmitted]",Submission!$O:$O,Submission!$H:$N,""))</f>
        <v>0</v>
      </c>
    </row>
    <row r="1153" spans="1:9" ht="27" customHeight="1" x14ac:dyDescent="0.3">
      <c r="A1153" s="12"/>
      <c r="C1153" s="47" t="str">
        <f>_xlfn.CONCAT(_xlfn.XLOOKUP("[S05_ImprovementReportArt69]["&amp;ROW(B1153)-ROW($B$1143)&amp;"][InstallationCategory]",Submission!$O:$O,Submission!$H:$N,""))</f>
        <v>Category B</v>
      </c>
      <c r="D1153" s="277" t="str">
        <f>_xlfn.CONCAT(_xlfn.XLOOKUP("[S05_ImprovementReportArt69]["&amp;ROW(B1153)-ROW($B$1143)&amp;"][Annex1Activity]",Submission!$O:$O,Submission!$H:$N,""))</f>
        <v>20 - Combustion of fuels as specified in Annex I of Directive 2003/87/EC</v>
      </c>
      <c r="E1153" s="367"/>
      <c r="F1153" s="261" t="str">
        <f>_xlfn.CONCAT(_xlfn.XLOOKUP("[S05_ImprovementReportArt69]["&amp;ROW(B1153)-ROW($B$1143)&amp;"][ImprovementReportType]",Submission!$O:$O,Submission!$H:$N,""))</f>
        <v>Improvement report according to Article 69(4)</v>
      </c>
      <c r="G1153" s="262"/>
      <c r="H1153" s="124" t="str">
        <f>_xlfn.CONCAT(_xlfn.XLOOKUP("[S05_ImprovementReportArt69]["&amp;ROW(B1153)-ROW($B$1143)&amp;"][ImprovementReportRequired]",Submission!$O:$O,Submission!$H:$N,""))</f>
        <v>32</v>
      </c>
      <c r="I1153" s="124" t="str">
        <f>_xlfn.CONCAT(_xlfn.XLOOKUP("[S05_ImprovementReportArt69]["&amp;ROW(B1153)-ROW($B$1143)&amp;"][ImprovementReportSubmitted]",Submission!$O:$O,Submission!$H:$N,""))</f>
        <v>19</v>
      </c>
    </row>
    <row r="1154" spans="1:9" ht="27" customHeight="1" x14ac:dyDescent="0.3">
      <c r="A1154" s="12"/>
      <c r="C1154" s="47" t="str">
        <f>_xlfn.CONCAT(_xlfn.XLOOKUP("[S05_ImprovementReportArt69]["&amp;ROW(B1154)-ROW($B$1143)&amp;"][InstallationCategory]",Submission!$O:$O,Submission!$H:$N,""))</f>
        <v>Category B</v>
      </c>
      <c r="D1154" s="277" t="str">
        <f>_xlfn.CONCAT(_xlfn.XLOOKUP("[S05_ImprovementReportArt69]["&amp;ROW(B1154)-ROW($B$1143)&amp;"][Annex1Activity]",Submission!$O:$O,Submission!$H:$N,""))</f>
        <v xml:space="preserve">22 - Production of coke </v>
      </c>
      <c r="E1154" s="367"/>
      <c r="F1154" s="261" t="str">
        <f>_xlfn.CONCAT(_xlfn.XLOOKUP("[S05_ImprovementReportArt69]["&amp;ROW(B1154)-ROW($B$1143)&amp;"][ImprovementReportType]",Submission!$O:$O,Submission!$H:$N,""))</f>
        <v>Improvement report in accordance with Article 69(1)</v>
      </c>
      <c r="G1154" s="262"/>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0</v>
      </c>
    </row>
    <row r="1155" spans="1:9" ht="27" customHeight="1" x14ac:dyDescent="0.3">
      <c r="A1155" s="12"/>
      <c r="C1155" s="47" t="str">
        <f>_xlfn.CONCAT(_xlfn.XLOOKUP("[S05_ImprovementReportArt69]["&amp;ROW(B1155)-ROW($B$1143)&amp;"][InstallationCategory]",Submission!$O:$O,Submission!$H:$N,""))</f>
        <v>Category B</v>
      </c>
      <c r="D1155" s="277" t="str">
        <f>_xlfn.CONCAT(_xlfn.XLOOKUP("[S05_ImprovementReportArt69]["&amp;ROW(B1155)-ROW($B$1143)&amp;"][Annex1Activity]",Submission!$O:$O,Submission!$H:$N,""))</f>
        <v>24 - Production of pig iron or steel as specified in Annex I of Directive 2003/87/EC</v>
      </c>
      <c r="E1155" s="367"/>
      <c r="F1155" s="261" t="str">
        <f>_xlfn.CONCAT(_xlfn.XLOOKUP("[S05_ImprovementReportArt69]["&amp;ROW(B1155)-ROW($B$1143)&amp;"][ImprovementReportType]",Submission!$O:$O,Submission!$H:$N,""))</f>
        <v>Improvement report in accordance with Article 69(1)</v>
      </c>
      <c r="G1155" s="262"/>
      <c r="H1155" s="124" t="str">
        <f>_xlfn.CONCAT(_xlfn.XLOOKUP("[S05_ImprovementReportArt69]["&amp;ROW(B1155)-ROW($B$1143)&amp;"][ImprovementReportRequired]",Submission!$O:$O,Submission!$H:$N,""))</f>
        <v>2</v>
      </c>
      <c r="I1155" s="124" t="str">
        <f>_xlfn.CONCAT(_xlfn.XLOOKUP("[S05_ImprovementReportArt69]["&amp;ROW(B1155)-ROW($B$1143)&amp;"][ImprovementReportSubmitted]",Submission!$O:$O,Submission!$H:$N,""))</f>
        <v>1</v>
      </c>
    </row>
    <row r="1156" spans="1:9" ht="27" customHeight="1" x14ac:dyDescent="0.3">
      <c r="A1156" s="12"/>
      <c r="C1156" s="47" t="str">
        <f>_xlfn.CONCAT(_xlfn.XLOOKUP("[S05_ImprovementReportArt69]["&amp;ROW(B1156)-ROW($B$1143)&amp;"][InstallationCategory]",Submission!$O:$O,Submission!$H:$N,""))</f>
        <v>Category B</v>
      </c>
      <c r="D1156" s="277" t="str">
        <f>_xlfn.CONCAT(_xlfn.XLOOKUP("[S05_ImprovementReportArt69]["&amp;ROW(B1156)-ROW($B$1143)&amp;"][Annex1Activity]",Submission!$O:$O,Submission!$H:$N,""))</f>
        <v>24 - Production of pig iron or steel as specified in Annex I of Directive 2003/87/EC</v>
      </c>
      <c r="E1156" s="367"/>
      <c r="F1156" s="261" t="str">
        <f>_xlfn.CONCAT(_xlfn.XLOOKUP("[S05_ImprovementReportArt69]["&amp;ROW(B1156)-ROW($B$1143)&amp;"][ImprovementReportType]",Submission!$O:$O,Submission!$H:$N,""))</f>
        <v>Improvement report in accordance with Article 69(3)</v>
      </c>
      <c r="G1156" s="262"/>
      <c r="H1156" s="124" t="str">
        <f>_xlfn.CONCAT(_xlfn.XLOOKUP("[S05_ImprovementReportArt69]["&amp;ROW(B1156)-ROW($B$1143)&amp;"][ImprovementReportRequired]",Submission!$O:$O,Submission!$H:$N,""))</f>
        <v>1</v>
      </c>
      <c r="I1156" s="124" t="str">
        <f>_xlfn.CONCAT(_xlfn.XLOOKUP("[S05_ImprovementReportArt69]["&amp;ROW(B1156)-ROW($B$1143)&amp;"][ImprovementReportSubmitted]",Submission!$O:$O,Submission!$H:$N,""))</f>
        <v>0</v>
      </c>
    </row>
    <row r="1157" spans="1:9" ht="27" customHeight="1" x14ac:dyDescent="0.3">
      <c r="A1157" s="12"/>
      <c r="C1157" s="47" t="str">
        <f>_xlfn.CONCAT(_xlfn.XLOOKUP("[S05_ImprovementReportArt69]["&amp;ROW(B1157)-ROW($B$1143)&amp;"][InstallationCategory]",Submission!$O:$O,Submission!$H:$N,""))</f>
        <v>Category B</v>
      </c>
      <c r="D1157" s="277" t="str">
        <f>_xlfn.CONCAT(_xlfn.XLOOKUP("[S05_ImprovementReportArt69]["&amp;ROW(B1157)-ROW($B$1143)&amp;"][Annex1Activity]",Submission!$O:$O,Submission!$H:$N,""))</f>
        <v>24 - Production of pig iron or steel as specified in Annex I of Directive 2003/87/EC</v>
      </c>
      <c r="E1157" s="367"/>
      <c r="F1157" s="261" t="str">
        <f>_xlfn.CONCAT(_xlfn.XLOOKUP("[S05_ImprovementReportArt69]["&amp;ROW(B1157)-ROW($B$1143)&amp;"][ImprovementReportType]",Submission!$O:$O,Submission!$H:$N,""))</f>
        <v>Improvement report according to Article 69(4)</v>
      </c>
      <c r="G1157" s="262"/>
      <c r="H1157" s="124" t="str">
        <f>_xlfn.CONCAT(_xlfn.XLOOKUP("[S05_ImprovementReportArt69]["&amp;ROW(B1157)-ROW($B$1143)&amp;"][ImprovementReportRequired]",Submission!$O:$O,Submission!$H:$N,""))</f>
        <v>1</v>
      </c>
      <c r="I1157" s="124" t="str">
        <f>_xlfn.CONCAT(_xlfn.XLOOKUP("[S05_ImprovementReportArt69]["&amp;ROW(B1157)-ROW($B$1143)&amp;"][ImprovementReportSubmitted]",Submission!$O:$O,Submission!$H:$N,""))</f>
        <v>0</v>
      </c>
    </row>
    <row r="1158" spans="1:9" ht="27" customHeight="1" x14ac:dyDescent="0.3">
      <c r="A1158" s="12"/>
      <c r="C1158" s="47" t="str">
        <f>_xlfn.CONCAT(_xlfn.XLOOKUP("[S05_ImprovementReportArt69]["&amp;ROW(B1158)-ROW($B$1143)&amp;"][InstallationCategory]",Submission!$O:$O,Submission!$H:$N,""))</f>
        <v>Category B</v>
      </c>
      <c r="D1158" s="277" t="str">
        <f>_xlfn.CONCAT(_xlfn.XLOOKUP("[S05_ImprovementReportArt69]["&amp;ROW(B1158)-ROW($B$1143)&amp;"][Annex1Activity]",Submission!$O:$O,Submission!$H:$N,""))</f>
        <v>28 - Production or processing of non-ferrous metals as specified in Annex I of Directive 2003/87/EC</v>
      </c>
      <c r="E1158" s="367"/>
      <c r="F1158" s="261" t="str">
        <f>_xlfn.CONCAT(_xlfn.XLOOKUP("[S05_ImprovementReportArt69]["&amp;ROW(B1158)-ROW($B$1143)&amp;"][ImprovementReportType]",Submission!$O:$O,Submission!$H:$N,""))</f>
        <v>Improvement report according to Article 69(4)</v>
      </c>
      <c r="G1158" s="262"/>
      <c r="H1158" s="124" t="str">
        <f>_xlfn.CONCAT(_xlfn.XLOOKUP("[S05_ImprovementReportArt69]["&amp;ROW(B1158)-ROW($B$1143)&amp;"][ImprovementReportRequired]",Submission!$O:$O,Submission!$H:$N,""))</f>
        <v>1</v>
      </c>
      <c r="I1158" s="124" t="str">
        <f>_xlfn.CONCAT(_xlfn.XLOOKUP("[S05_ImprovementReportArt69]["&amp;ROW(B1158)-ROW($B$1143)&amp;"][ImprovementReportSubmitted]",Submission!$O:$O,Submission!$H:$N,""))</f>
        <v>1</v>
      </c>
    </row>
    <row r="1159" spans="1:9" ht="27" customHeight="1" x14ac:dyDescent="0.3">
      <c r="A1159" s="12"/>
      <c r="C1159" s="47" t="str">
        <f>_xlfn.CONCAT(_xlfn.XLOOKUP("[S05_ImprovementReportArt69]["&amp;ROW(B1159)-ROW($B$1143)&amp;"][InstallationCategory]",Submission!$O:$O,Submission!$H:$N,""))</f>
        <v>Category B</v>
      </c>
      <c r="D1159" s="277" t="str">
        <f>_xlfn.CONCAT(_xlfn.XLOOKUP("[S05_ImprovementReportArt69]["&amp;ROW(B1159)-ROW($B$1143)&amp;"][Annex1Activity]",Submission!$O:$O,Submission!$H:$N,""))</f>
        <v>29 - Production of cement clinker in rotary kilns as specified in Annex I of Directive 2003/87/ EC</v>
      </c>
      <c r="E1159" s="367"/>
      <c r="F1159" s="261" t="str">
        <f>_xlfn.CONCAT(_xlfn.XLOOKUP("[S05_ImprovementReportArt69]["&amp;ROW(B1159)-ROW($B$1143)&amp;"][ImprovementReportType]",Submission!$O:$O,Submission!$H:$N,""))</f>
        <v>Improvement report according to Article 69(4)</v>
      </c>
      <c r="G1159" s="262"/>
      <c r="H1159" s="124" t="str">
        <f>_xlfn.CONCAT(_xlfn.XLOOKUP("[S05_ImprovementReportArt69]["&amp;ROW(B1159)-ROW($B$1143)&amp;"][ImprovementReportRequired]",Submission!$O:$O,Submission!$H:$N,""))</f>
        <v>1</v>
      </c>
      <c r="I1159" s="124" t="str">
        <f>_xlfn.CONCAT(_xlfn.XLOOKUP("[S05_ImprovementReportArt69]["&amp;ROW(B1159)-ROW($B$1143)&amp;"][ImprovementReportSubmitted]",Submission!$O:$O,Submission!$H:$N,""))</f>
        <v>0</v>
      </c>
    </row>
    <row r="1160" spans="1:9" ht="27" customHeight="1" x14ac:dyDescent="0.3">
      <c r="A1160" s="12"/>
      <c r="C1160" s="47" t="str">
        <f>_xlfn.CONCAT(_xlfn.XLOOKUP("[S05_ImprovementReportArt69]["&amp;ROW(B1160)-ROW($B$1143)&amp;"][InstallationCategory]",Submission!$O:$O,Submission!$H:$N,""))</f>
        <v>Category B</v>
      </c>
      <c r="D1160" s="277" t="str">
        <f>_xlfn.CONCAT(_xlfn.XLOOKUP("[S05_ImprovementReportArt69]["&amp;ROW(B1160)-ROW($B$1143)&amp;"][Annex1Activity]",Submission!$O:$O,Submission!$H:$N,""))</f>
        <v>30 - Production of lime or calcination of dolomite or magnesite as specified in Annex I of Directive 2003/87/ EC</v>
      </c>
      <c r="E1160" s="367"/>
      <c r="F1160" s="261" t="str">
        <f>_xlfn.CONCAT(_xlfn.XLOOKUP("[S05_ImprovementReportArt69]["&amp;ROW(B1160)-ROW($B$1143)&amp;"][ImprovementReportType]",Submission!$O:$O,Submission!$H:$N,""))</f>
        <v>Improvement report in accordance with Article 69(1)</v>
      </c>
      <c r="G1160" s="262"/>
      <c r="H1160" s="124" t="str">
        <f>_xlfn.CONCAT(_xlfn.XLOOKUP("[S05_ImprovementReportArt69]["&amp;ROW(B1160)-ROW($B$1143)&amp;"][ImprovementReportRequired]",Submission!$O:$O,Submission!$H:$N,""))</f>
        <v>2</v>
      </c>
      <c r="I1160" s="124" t="str">
        <f>_xlfn.CONCAT(_xlfn.XLOOKUP("[S05_ImprovementReportArt69]["&amp;ROW(B1160)-ROW($B$1143)&amp;"][ImprovementReportSubmitted]",Submission!$O:$O,Submission!$H:$N,""))</f>
        <v>0</v>
      </c>
    </row>
    <row r="1161" spans="1:9" ht="27" customHeight="1" x14ac:dyDescent="0.3">
      <c r="A1161" s="12"/>
      <c r="C1161" s="47" t="str">
        <f>_xlfn.CONCAT(_xlfn.XLOOKUP("[S05_ImprovementReportArt69]["&amp;ROW(B1161)-ROW($B$1143)&amp;"][InstallationCategory]",Submission!$O:$O,Submission!$H:$N,""))</f>
        <v>Category B</v>
      </c>
      <c r="D1161" s="277" t="str">
        <f>_xlfn.CONCAT(_xlfn.XLOOKUP("[S05_ImprovementReportArt69]["&amp;ROW(B1161)-ROW($B$1143)&amp;"][Annex1Activity]",Submission!$O:$O,Submission!$H:$N,""))</f>
        <v>31 - Manufacture of glass as specified in Annex I of Directive 2003/87/EC</v>
      </c>
      <c r="E1161" s="367"/>
      <c r="F1161" s="261" t="str">
        <f>_xlfn.CONCAT(_xlfn.XLOOKUP("[S05_ImprovementReportArt69]["&amp;ROW(B1161)-ROW($B$1143)&amp;"][ImprovementReportType]",Submission!$O:$O,Submission!$H:$N,""))</f>
        <v>Improvement report in accordance with Article 69(1)</v>
      </c>
      <c r="G1161" s="262"/>
      <c r="H1161" s="124" t="str">
        <f>_xlfn.CONCAT(_xlfn.XLOOKUP("[S05_ImprovementReportArt69]["&amp;ROW(B1161)-ROW($B$1143)&amp;"][ImprovementReportRequired]",Submission!$O:$O,Submission!$H:$N,""))</f>
        <v>3</v>
      </c>
      <c r="I1161" s="124" t="str">
        <f>_xlfn.CONCAT(_xlfn.XLOOKUP("[S05_ImprovementReportArt69]["&amp;ROW(B1161)-ROW($B$1143)&amp;"][ImprovementReportSubmitted]",Submission!$O:$O,Submission!$H:$N,""))</f>
        <v>0</v>
      </c>
    </row>
    <row r="1162" spans="1:9" ht="27" hidden="1" customHeight="1" outlineLevel="1" x14ac:dyDescent="0.3">
      <c r="A1162" s="12"/>
      <c r="C1162" s="47" t="str">
        <f>_xlfn.CONCAT(_xlfn.XLOOKUP("[S05_ImprovementReportArt69]["&amp;ROW(B1162)-ROW($B$1143)&amp;"][InstallationCategory]",Submission!$O:$O,Submission!$H:$N,""))</f>
        <v>Category B</v>
      </c>
      <c r="D1162" s="277" t="str">
        <f>_xlfn.CONCAT(_xlfn.XLOOKUP("[S05_ImprovementReportArt69]["&amp;ROW(B1162)-ROW($B$1143)&amp;"][Annex1Activity]",Submission!$O:$O,Submission!$H:$N,""))</f>
        <v>31 - Manufacture of glass as specified in Annex I of Directive 2003/87/EC</v>
      </c>
      <c r="E1162" s="367"/>
      <c r="F1162" s="261" t="str">
        <f>_xlfn.CONCAT(_xlfn.XLOOKUP("[S05_ImprovementReportArt69]["&amp;ROW(B1162)-ROW($B$1143)&amp;"][ImprovementReportType]",Submission!$O:$O,Submission!$H:$N,""))</f>
        <v>Improvement report according to Article 69(4)</v>
      </c>
      <c r="G1162" s="262"/>
      <c r="H1162" s="124" t="str">
        <f>_xlfn.CONCAT(_xlfn.XLOOKUP("[S05_ImprovementReportArt69]["&amp;ROW(B1162)-ROW($B$1143)&amp;"][ImprovementReportRequired]",Submission!$O:$O,Submission!$H:$N,""))</f>
        <v>7</v>
      </c>
      <c r="I1162" s="124" t="str">
        <f>_xlfn.CONCAT(_xlfn.XLOOKUP("[S05_ImprovementReportArt69]["&amp;ROW(B1162)-ROW($B$1143)&amp;"][ImprovementReportSubmitted]",Submission!$O:$O,Submission!$H:$N,""))</f>
        <v>2</v>
      </c>
    </row>
    <row r="1163" spans="1:9" ht="27" hidden="1" customHeight="1" outlineLevel="1" x14ac:dyDescent="0.3">
      <c r="A1163" s="12"/>
      <c r="C1163" s="47" t="str">
        <f>_xlfn.CONCAT(_xlfn.XLOOKUP("[S05_ImprovementReportArt69]["&amp;ROW(B1163)-ROW($B$1143)&amp;"][InstallationCategory]",Submission!$O:$O,Submission!$H:$N,""))</f>
        <v>Category B</v>
      </c>
      <c r="D1163" s="277" t="str">
        <f>_xlfn.CONCAT(_xlfn.XLOOKUP("[S05_ImprovementReportArt69]["&amp;ROW(B1163)-ROW($B$1143)&amp;"][Annex1Activity]",Submission!$O:$O,Submission!$H:$N,""))</f>
        <v>33 - Manufacture of mineral wool insulation material using glass, rock or slag as specified in Annex I of Directive 2003/87/EC</v>
      </c>
      <c r="E1163" s="367"/>
      <c r="F1163" s="261" t="str">
        <f>_xlfn.CONCAT(_xlfn.XLOOKUP("[S05_ImprovementReportArt69]["&amp;ROW(B1163)-ROW($B$1143)&amp;"][ImprovementReportType]",Submission!$O:$O,Submission!$H:$N,""))</f>
        <v>Improvement report according to Article 69(4)</v>
      </c>
      <c r="G1163" s="262"/>
      <c r="H1163" s="124" t="str">
        <f>_xlfn.CONCAT(_xlfn.XLOOKUP("[S05_ImprovementReportArt69]["&amp;ROW(B1163)-ROW($B$1143)&amp;"][ImprovementReportRequired]",Submission!$O:$O,Submission!$H:$N,""))</f>
        <v>1</v>
      </c>
      <c r="I1163" s="124" t="str">
        <f>_xlfn.CONCAT(_xlfn.XLOOKUP("[S05_ImprovementReportArt69]["&amp;ROW(B1163)-ROW($B$1143)&amp;"][ImprovementReportSubmitted]",Submission!$O:$O,Submission!$H:$N,""))</f>
        <v>1</v>
      </c>
    </row>
    <row r="1164" spans="1:9" ht="27" hidden="1" customHeight="1" outlineLevel="1" x14ac:dyDescent="0.3">
      <c r="A1164" s="12"/>
      <c r="C1164" s="47" t="str">
        <f>_xlfn.CONCAT(_xlfn.XLOOKUP("[S05_ImprovementReportArt69]["&amp;ROW(B1164)-ROW($B$1143)&amp;"][InstallationCategory]",Submission!$O:$O,Submission!$H:$N,""))</f>
        <v>Category B</v>
      </c>
      <c r="D1164" s="277" t="str">
        <f>_xlfn.CONCAT(_xlfn.XLOOKUP("[S05_ImprovementReportArt69]["&amp;ROW(B1164)-ROW($B$1143)&amp;"][Annex1Activity]",Submission!$O:$O,Submission!$H:$N,""))</f>
        <v xml:space="preserve">36 - Production of paper or cardboard as specified in Annex I of Directive 2003/87/EC </v>
      </c>
      <c r="E1164" s="367"/>
      <c r="F1164" s="261" t="str">
        <f>_xlfn.CONCAT(_xlfn.XLOOKUP("[S05_ImprovementReportArt69]["&amp;ROW(B1164)-ROW($B$1143)&amp;"][ImprovementReportType]",Submission!$O:$O,Submission!$H:$N,""))</f>
        <v>Improvement report according to Article 69(4)</v>
      </c>
      <c r="G1164" s="262"/>
      <c r="H1164" s="124" t="str">
        <f>_xlfn.CONCAT(_xlfn.XLOOKUP("[S05_ImprovementReportArt69]["&amp;ROW(B1164)-ROW($B$1143)&amp;"][ImprovementReportRequired]",Submission!$O:$O,Submission!$H:$N,""))</f>
        <v>1</v>
      </c>
      <c r="I1164" s="124" t="str">
        <f>_xlfn.CONCAT(_xlfn.XLOOKUP("[S05_ImprovementReportArt69]["&amp;ROW(B1164)-ROW($B$1143)&amp;"][ImprovementReportSubmitted]",Submission!$O:$O,Submission!$H:$N,""))</f>
        <v>0</v>
      </c>
    </row>
    <row r="1165" spans="1:9" ht="27" hidden="1" customHeight="1" outlineLevel="1" x14ac:dyDescent="0.3">
      <c r="A1165" s="12"/>
      <c r="C1165" s="47" t="str">
        <f>_xlfn.CONCAT(_xlfn.XLOOKUP("[S05_ImprovementReportArt69]["&amp;ROW(B1165)-ROW($B$1143)&amp;"][InstallationCategory]",Submission!$O:$O,Submission!$H:$N,""))</f>
        <v>Category B</v>
      </c>
      <c r="D1165" s="277" t="str">
        <f>_xlfn.CONCAT(_xlfn.XLOOKUP("[S05_ImprovementReportArt69]["&amp;ROW(B1165)-ROW($B$1143)&amp;"][Annex1Activity]",Submission!$O:$O,Submission!$H:$N,""))</f>
        <v xml:space="preserve">42 - Production of bulk organic chemicals as specified in Annex I of Directive 2003/87/EC </v>
      </c>
      <c r="E1165" s="367"/>
      <c r="F1165" s="261" t="str">
        <f>_xlfn.CONCAT(_xlfn.XLOOKUP("[S05_ImprovementReportArt69]["&amp;ROW(B1165)-ROW($B$1143)&amp;"][ImprovementReportType]",Submission!$O:$O,Submission!$H:$N,""))</f>
        <v>Improvement report in accordance with Article 69(1)</v>
      </c>
      <c r="G1165" s="262"/>
      <c r="H1165" s="124" t="str">
        <f>_xlfn.CONCAT(_xlfn.XLOOKUP("[S05_ImprovementReportArt69]["&amp;ROW(B1165)-ROW($B$1143)&amp;"][ImprovementReportRequired]",Submission!$O:$O,Submission!$H:$N,""))</f>
        <v>1</v>
      </c>
      <c r="I1165" s="124" t="str">
        <f>_xlfn.CONCAT(_xlfn.XLOOKUP("[S05_ImprovementReportArt69]["&amp;ROW(B1165)-ROW($B$1143)&amp;"][ImprovementReportSubmitted]",Submission!$O:$O,Submission!$H:$N,""))</f>
        <v>1</v>
      </c>
    </row>
    <row r="1166" spans="1:9" ht="27" hidden="1" customHeight="1" outlineLevel="1" x14ac:dyDescent="0.3">
      <c r="A1166" s="12"/>
      <c r="C1166" s="47" t="str">
        <f>_xlfn.CONCAT(_xlfn.XLOOKUP("[S05_ImprovementReportArt69]["&amp;ROW(B1166)-ROW($B$1143)&amp;"][InstallationCategory]",Submission!$O:$O,Submission!$H:$N,""))</f>
        <v>Category C</v>
      </c>
      <c r="D1166" s="277" t="str">
        <f>_xlfn.CONCAT(_xlfn.XLOOKUP("[S05_ImprovementReportArt69]["&amp;ROW(B1166)-ROW($B$1143)&amp;"][Annex1Activity]",Submission!$O:$O,Submission!$H:$N,""))</f>
        <v>20 - Combustion of fuels as specified in Annex I of Directive 2003/87/EC</v>
      </c>
      <c r="E1166" s="367"/>
      <c r="F1166" s="261" t="str">
        <f>_xlfn.CONCAT(_xlfn.XLOOKUP("[S05_ImprovementReportArt69]["&amp;ROW(B1166)-ROW($B$1143)&amp;"][ImprovementReportType]",Submission!$O:$O,Submission!$H:$N,""))</f>
        <v>Improvement report in accordance with Article 69(1)</v>
      </c>
      <c r="G1166" s="262"/>
      <c r="H1166" s="124" t="str">
        <f>_xlfn.CONCAT(_xlfn.XLOOKUP("[S05_ImprovementReportArt69]["&amp;ROW(B1166)-ROW($B$1143)&amp;"][ImprovementReportRequired]",Submission!$O:$O,Submission!$H:$N,""))</f>
        <v>3</v>
      </c>
      <c r="I1166" s="124" t="str">
        <f>_xlfn.CONCAT(_xlfn.XLOOKUP("[S05_ImprovementReportArt69]["&amp;ROW(B1166)-ROW($B$1143)&amp;"][ImprovementReportSubmitted]",Submission!$O:$O,Submission!$H:$N,""))</f>
        <v>1</v>
      </c>
    </row>
    <row r="1167" spans="1:9" ht="27" hidden="1" customHeight="1" outlineLevel="1" x14ac:dyDescent="0.3">
      <c r="A1167" s="12"/>
      <c r="C1167" s="47" t="str">
        <f>_xlfn.CONCAT(_xlfn.XLOOKUP("[S05_ImprovementReportArt69]["&amp;ROW(B1167)-ROW($B$1143)&amp;"][InstallationCategory]",Submission!$O:$O,Submission!$H:$N,""))</f>
        <v>Category C</v>
      </c>
      <c r="D1167" s="277" t="str">
        <f>_xlfn.CONCAT(_xlfn.XLOOKUP("[S05_ImprovementReportArt69]["&amp;ROW(B1167)-ROW($B$1143)&amp;"][Annex1Activity]",Submission!$O:$O,Submission!$H:$N,""))</f>
        <v>20 - Combustion of fuels as specified in Annex I of Directive 2003/87/EC</v>
      </c>
      <c r="E1167" s="367"/>
      <c r="F1167" s="261" t="str">
        <f>_xlfn.CONCAT(_xlfn.XLOOKUP("[S05_ImprovementReportArt69]["&amp;ROW(B1167)-ROW($B$1143)&amp;"][ImprovementReportType]",Submission!$O:$O,Submission!$H:$N,""))</f>
        <v>Improvement report according to Article 69(4)</v>
      </c>
      <c r="G1167" s="262"/>
      <c r="H1167" s="124" t="str">
        <f>_xlfn.CONCAT(_xlfn.XLOOKUP("[S05_ImprovementReportArt69]["&amp;ROW(B1167)-ROW($B$1143)&amp;"][ImprovementReportRequired]",Submission!$O:$O,Submission!$H:$N,""))</f>
        <v>17</v>
      </c>
      <c r="I1167" s="124" t="str">
        <f>_xlfn.CONCAT(_xlfn.XLOOKUP("[S05_ImprovementReportArt69]["&amp;ROW(B1167)-ROW($B$1143)&amp;"][ImprovementReportSubmitted]",Submission!$O:$O,Submission!$H:$N,""))</f>
        <v>14</v>
      </c>
    </row>
    <row r="1168" spans="1:9" ht="27" hidden="1" customHeight="1" outlineLevel="1" x14ac:dyDescent="0.3">
      <c r="A1168" s="12"/>
      <c r="C1168" s="47" t="str">
        <f>_xlfn.CONCAT(_xlfn.XLOOKUP("[S05_ImprovementReportArt69]["&amp;ROW(B1168)-ROW($B$1143)&amp;"][InstallationCategory]",Submission!$O:$O,Submission!$H:$N,""))</f>
        <v>Category C</v>
      </c>
      <c r="D1168" s="277" t="str">
        <f>_xlfn.CONCAT(_xlfn.XLOOKUP("[S05_ImprovementReportArt69]["&amp;ROW(B1168)-ROW($B$1143)&amp;"][Annex1Activity]",Submission!$O:$O,Submission!$H:$N,""))</f>
        <v>21 - Refining of mineral oil</v>
      </c>
      <c r="E1168" s="367"/>
      <c r="F1168" s="261" t="str">
        <f>_xlfn.CONCAT(_xlfn.XLOOKUP("[S05_ImprovementReportArt69]["&amp;ROW(B1168)-ROW($B$1143)&amp;"][ImprovementReportType]",Submission!$O:$O,Submission!$H:$N,""))</f>
        <v>Improvement report in accordance with Article 69(1)</v>
      </c>
      <c r="G1168" s="262"/>
      <c r="H1168" s="124" t="str">
        <f>_xlfn.CONCAT(_xlfn.XLOOKUP("[S05_ImprovementReportArt69]["&amp;ROW(B1168)-ROW($B$1143)&amp;"][ImprovementReportRequired]",Submission!$O:$O,Submission!$H:$N,""))</f>
        <v>1</v>
      </c>
      <c r="I1168" s="124" t="str">
        <f>_xlfn.CONCAT(_xlfn.XLOOKUP("[S05_ImprovementReportArt69]["&amp;ROW(B1168)-ROW($B$1143)&amp;"][ImprovementReportSubmitted]",Submission!$O:$O,Submission!$H:$N,""))</f>
        <v>1</v>
      </c>
    </row>
    <row r="1169" spans="1:9" ht="27" hidden="1" customHeight="1" outlineLevel="1" x14ac:dyDescent="0.3">
      <c r="A1169" s="12"/>
      <c r="C1169" s="47" t="str">
        <f>_xlfn.CONCAT(_xlfn.XLOOKUP("[S05_ImprovementReportArt69]["&amp;ROW(B1169)-ROW($B$1143)&amp;"][InstallationCategory]",Submission!$O:$O,Submission!$H:$N,""))</f>
        <v>Category C</v>
      </c>
      <c r="D1169" s="277" t="str">
        <f>_xlfn.CONCAT(_xlfn.XLOOKUP("[S05_ImprovementReportArt69]["&amp;ROW(B1169)-ROW($B$1143)&amp;"][Annex1Activity]",Submission!$O:$O,Submission!$H:$N,""))</f>
        <v>21 - Refining of mineral oil</v>
      </c>
      <c r="E1169" s="367"/>
      <c r="F1169" s="261" t="str">
        <f>_xlfn.CONCAT(_xlfn.XLOOKUP("[S05_ImprovementReportArt69]["&amp;ROW(B1169)-ROW($B$1143)&amp;"][ImprovementReportType]",Submission!$O:$O,Submission!$H:$N,""))</f>
        <v>Improvement report in accordance with Article 69(3)</v>
      </c>
      <c r="G1169" s="262"/>
      <c r="H1169" s="124" t="str">
        <f>_xlfn.CONCAT(_xlfn.XLOOKUP("[S05_ImprovementReportArt69]["&amp;ROW(B1169)-ROW($B$1143)&amp;"][ImprovementReportRequired]",Submission!$O:$O,Submission!$H:$N,""))</f>
        <v>1</v>
      </c>
      <c r="I1169" s="124" t="str">
        <f>_xlfn.CONCAT(_xlfn.XLOOKUP("[S05_ImprovementReportArt69]["&amp;ROW(B1169)-ROW($B$1143)&amp;"][ImprovementReportSubmitted]",Submission!$O:$O,Submission!$H:$N,""))</f>
        <v>1</v>
      </c>
    </row>
    <row r="1170" spans="1:9" ht="27" hidden="1" customHeight="1" outlineLevel="1" x14ac:dyDescent="0.3">
      <c r="A1170" s="12"/>
      <c r="C1170" s="47" t="str">
        <f>_xlfn.CONCAT(_xlfn.XLOOKUP("[S05_ImprovementReportArt69]["&amp;ROW(B1170)-ROW($B$1143)&amp;"][InstallationCategory]",Submission!$O:$O,Submission!$H:$N,""))</f>
        <v>Category C</v>
      </c>
      <c r="D1170" s="277" t="str">
        <f>_xlfn.CONCAT(_xlfn.XLOOKUP("[S05_ImprovementReportArt69]["&amp;ROW(B1170)-ROW($B$1143)&amp;"][Annex1Activity]",Submission!$O:$O,Submission!$H:$N,""))</f>
        <v>24 - Production of pig iron or steel as specified in Annex I of Directive 2003/87/EC</v>
      </c>
      <c r="E1170" s="367"/>
      <c r="F1170" s="261" t="str">
        <f>_xlfn.CONCAT(_xlfn.XLOOKUP("[S05_ImprovementReportArt69]["&amp;ROW(B1170)-ROW($B$1143)&amp;"][ImprovementReportType]",Submission!$O:$O,Submission!$H:$N,""))</f>
        <v>Improvement report according to Article 69(4)</v>
      </c>
      <c r="G1170" s="262"/>
      <c r="H1170" s="124" t="str">
        <f>_xlfn.CONCAT(_xlfn.XLOOKUP("[S05_ImprovementReportArt69]["&amp;ROW(B1170)-ROW($B$1143)&amp;"][ImprovementReportRequired]",Submission!$O:$O,Submission!$H:$N,""))</f>
        <v>1</v>
      </c>
      <c r="I1170" s="124" t="str">
        <f>_xlfn.CONCAT(_xlfn.XLOOKUP("[S05_ImprovementReportArt69]["&amp;ROW(B1170)-ROW($B$1143)&amp;"][ImprovementReportSubmitted]",Submission!$O:$O,Submission!$H:$N,""))</f>
        <v>1</v>
      </c>
    </row>
    <row r="1171" spans="1:9" ht="27" hidden="1" customHeight="1" outlineLevel="1" x14ac:dyDescent="0.3">
      <c r="A1171" s="12"/>
      <c r="C1171" s="47" t="str">
        <f>_xlfn.CONCAT(_xlfn.XLOOKUP("[S05_ImprovementReportArt69]["&amp;ROW(B1171)-ROW($B$1143)&amp;"][InstallationCategory]",Submission!$O:$O,Submission!$H:$N,""))</f>
        <v>Category C</v>
      </c>
      <c r="D1171" s="277" t="str">
        <f>_xlfn.CONCAT(_xlfn.XLOOKUP("[S05_ImprovementReportArt69]["&amp;ROW(B1171)-ROW($B$1143)&amp;"][Annex1Activity]",Submission!$O:$O,Submission!$H:$N,""))</f>
        <v>29 - Production of cement clinker in rotary kilns as specified in Annex I of Directive 2003/87/ EC</v>
      </c>
      <c r="E1171" s="367"/>
      <c r="F1171" s="261" t="str">
        <f>_xlfn.CONCAT(_xlfn.XLOOKUP("[S05_ImprovementReportArt69]["&amp;ROW(B1171)-ROW($B$1143)&amp;"][ImprovementReportType]",Submission!$O:$O,Submission!$H:$N,""))</f>
        <v>Improvement report in accordance with Article 69(1)</v>
      </c>
      <c r="G1171" s="262"/>
      <c r="H1171" s="124" t="str">
        <f>_xlfn.CONCAT(_xlfn.XLOOKUP("[S05_ImprovementReportArt69]["&amp;ROW(B1171)-ROW($B$1143)&amp;"][ImprovementReportRequired]",Submission!$O:$O,Submission!$H:$N,""))</f>
        <v>2</v>
      </c>
      <c r="I1171" s="124" t="str">
        <f>_xlfn.CONCAT(_xlfn.XLOOKUP("[S05_ImprovementReportArt69]["&amp;ROW(B1171)-ROW($B$1143)&amp;"][ImprovementReportSubmitted]",Submission!$O:$O,Submission!$H:$N,""))</f>
        <v>0</v>
      </c>
    </row>
    <row r="1172" spans="1:9" ht="27" hidden="1" customHeight="1" outlineLevel="1" x14ac:dyDescent="0.3">
      <c r="A1172" s="12"/>
      <c r="C1172" s="47" t="str">
        <f>_xlfn.CONCAT(_xlfn.XLOOKUP("[S05_ImprovementReportArt69]["&amp;ROW(B1172)-ROW($B$1143)&amp;"][InstallationCategory]",Submission!$O:$O,Submission!$H:$N,""))</f>
        <v>Category C</v>
      </c>
      <c r="D1172" s="277" t="str">
        <f>_xlfn.CONCAT(_xlfn.XLOOKUP("[S05_ImprovementReportArt69]["&amp;ROW(B1172)-ROW($B$1143)&amp;"][Annex1Activity]",Submission!$O:$O,Submission!$H:$N,""))</f>
        <v>29 - Production of cement clinker in rotary kilns as specified in Annex I of Directive 2003/87/ EC</v>
      </c>
      <c r="E1172" s="367"/>
      <c r="F1172" s="261" t="str">
        <f>_xlfn.CONCAT(_xlfn.XLOOKUP("[S05_ImprovementReportArt69]["&amp;ROW(B1172)-ROW($B$1143)&amp;"][ImprovementReportType]",Submission!$O:$O,Submission!$H:$N,""))</f>
        <v>Improvement report according to Article 69(4)</v>
      </c>
      <c r="G1172" s="262"/>
      <c r="H1172" s="124" t="str">
        <f>_xlfn.CONCAT(_xlfn.XLOOKUP("[S05_ImprovementReportArt69]["&amp;ROW(B1172)-ROW($B$1143)&amp;"][ImprovementReportRequired]",Submission!$O:$O,Submission!$H:$N,""))</f>
        <v>5</v>
      </c>
      <c r="I1172" s="124" t="str">
        <f>_xlfn.CONCAT(_xlfn.XLOOKUP("[S05_ImprovementReportArt69]["&amp;ROW(B1172)-ROW($B$1143)&amp;"][ImprovementReportSubmitted]",Submission!$O:$O,Submission!$H:$N,""))</f>
        <v>0</v>
      </c>
    </row>
    <row r="1173" spans="1:9" ht="27" hidden="1" customHeight="1" outlineLevel="1" x14ac:dyDescent="0.3">
      <c r="A1173" s="12"/>
      <c r="C1173" s="47" t="str">
        <f>_xlfn.CONCAT(_xlfn.XLOOKUP("[S05_ImprovementReportArt69]["&amp;ROW(B1173)-ROW($B$1143)&amp;"][InstallationCategory]",Submission!$O:$O,Submission!$H:$N,""))</f>
        <v>Category C</v>
      </c>
      <c r="D1173" s="277" t="str">
        <f>_xlfn.CONCAT(_xlfn.XLOOKUP("[S05_ImprovementReportArt69]["&amp;ROW(B1173)-ROW($B$1143)&amp;"][Annex1Activity]",Submission!$O:$O,Submission!$H:$N,""))</f>
        <v xml:space="preserve">38 - Production of nitric acid </v>
      </c>
      <c r="E1173" s="367"/>
      <c r="F1173" s="261" t="str">
        <f>_xlfn.CONCAT(_xlfn.XLOOKUP("[S05_ImprovementReportArt69]["&amp;ROW(B1173)-ROW($B$1143)&amp;"][ImprovementReportType]",Submission!$O:$O,Submission!$H:$N,""))</f>
        <v>Improvement report according to Article 69(4)</v>
      </c>
      <c r="G1173" s="262"/>
      <c r="H1173" s="124" t="str">
        <f>_xlfn.CONCAT(_xlfn.XLOOKUP("[S05_ImprovementReportArt69]["&amp;ROW(B1173)-ROW($B$1143)&amp;"][ImprovementReportRequired]",Submission!$O:$O,Submission!$H:$N,""))</f>
        <v>1</v>
      </c>
      <c r="I1173" s="124" t="str">
        <f>_xlfn.CONCAT(_xlfn.XLOOKUP("[S05_ImprovementReportArt69]["&amp;ROW(B1173)-ROW($B$1143)&amp;"][ImprovementReportSubmitted]",Submission!$O:$O,Submission!$H:$N,""))</f>
        <v>1</v>
      </c>
    </row>
    <row r="1174" spans="1:9" ht="27" hidden="1" customHeight="1" outlineLevel="1" x14ac:dyDescent="0.3">
      <c r="A1174" s="12"/>
      <c r="C1174" s="47" t="str">
        <f>_xlfn.CONCAT(_xlfn.XLOOKUP("[S05_ImprovementReportArt69]["&amp;ROW(B1174)-ROW($B$1143)&amp;"][InstallationCategory]",Submission!$O:$O,Submission!$H:$N,""))</f>
        <v>Category C</v>
      </c>
      <c r="D1174" s="277" t="str">
        <f>_xlfn.CONCAT(_xlfn.XLOOKUP("[S05_ImprovementReportArt69]["&amp;ROW(B1174)-ROW($B$1143)&amp;"][Annex1Activity]",Submission!$O:$O,Submission!$H:$N,""))</f>
        <v xml:space="preserve">42 - Production of bulk organic chemicals as specified in Annex I of Directive 2003/87/EC </v>
      </c>
      <c r="E1174" s="367"/>
      <c r="F1174" s="261" t="str">
        <f>_xlfn.CONCAT(_xlfn.XLOOKUP("[S05_ImprovementReportArt69]["&amp;ROW(B1174)-ROW($B$1143)&amp;"][ImprovementReportType]",Submission!$O:$O,Submission!$H:$N,""))</f>
        <v>Improvement report in accordance with Article 69(1)</v>
      </c>
      <c r="G1174" s="262"/>
      <c r="H1174" s="124" t="str">
        <f>_xlfn.CONCAT(_xlfn.XLOOKUP("[S05_ImprovementReportArt69]["&amp;ROW(B1174)-ROW($B$1143)&amp;"][ImprovementReportRequired]",Submission!$O:$O,Submission!$H:$N,""))</f>
        <v>1</v>
      </c>
      <c r="I1174" s="124" t="str">
        <f>_xlfn.CONCAT(_xlfn.XLOOKUP("[S05_ImprovementReportArt69]["&amp;ROW(B1174)-ROW($B$1143)&amp;"][ImprovementReportSubmitted]",Submission!$O:$O,Submission!$H:$N,""))</f>
        <v>0</v>
      </c>
    </row>
    <row r="1175" spans="1:9" ht="27" hidden="1" customHeight="1" outlineLevel="1" x14ac:dyDescent="0.3">
      <c r="A1175" s="12"/>
      <c r="C1175" s="47" t="str">
        <f>_xlfn.CONCAT(_xlfn.XLOOKUP("[S05_ImprovementReportArt69]["&amp;ROW(B1175)-ROW($B$1143)&amp;"][InstallationCategory]",Submission!$O:$O,Submission!$H:$N,""))</f>
        <v/>
      </c>
      <c r="D1175" s="277" t="str">
        <f>_xlfn.CONCAT(_xlfn.XLOOKUP("[S05_ImprovementReportArt69]["&amp;ROW(B1175)-ROW($B$1143)&amp;"][Annex1Activity]",Submission!$O:$O,Submission!$H:$N,""))</f>
        <v/>
      </c>
      <c r="E1175" s="367"/>
      <c r="F1175" s="261" t="str">
        <f>_xlfn.CONCAT(_xlfn.XLOOKUP("[S05_ImprovementReportArt69]["&amp;ROW(B1175)-ROW($B$1143)&amp;"][ImprovementReportType]",Submission!$O:$O,Submission!$H:$N,""))</f>
        <v/>
      </c>
      <c r="G1175" s="26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7" t="str">
        <f>_xlfn.CONCAT(_xlfn.XLOOKUP("[S05_ImprovementReportArt69]["&amp;ROW(B1176)-ROW($B$1143)&amp;"][Annex1Activity]",Submission!$O:$O,Submission!$H:$N,""))</f>
        <v/>
      </c>
      <c r="E1176" s="367"/>
      <c r="F1176" s="261" t="str">
        <f>_xlfn.CONCAT(_xlfn.XLOOKUP("[S05_ImprovementReportArt69]["&amp;ROW(B1176)-ROW($B$1143)&amp;"][ImprovementReportType]",Submission!$O:$O,Submission!$H:$N,""))</f>
        <v/>
      </c>
      <c r="G1176" s="26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7" t="str">
        <f>_xlfn.CONCAT(_xlfn.XLOOKUP("[S05_ImprovementReportArt69]["&amp;ROW(B1177)-ROW($B$1143)&amp;"][Annex1Activity]",Submission!$O:$O,Submission!$H:$N,""))</f>
        <v/>
      </c>
      <c r="E1177" s="367"/>
      <c r="F1177" s="261" t="str">
        <f>_xlfn.CONCAT(_xlfn.XLOOKUP("[S05_ImprovementReportArt69]["&amp;ROW(B1177)-ROW($B$1143)&amp;"][ImprovementReportType]",Submission!$O:$O,Submission!$H:$N,""))</f>
        <v/>
      </c>
      <c r="G1177" s="26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7" t="str">
        <f>_xlfn.CONCAT(_xlfn.XLOOKUP("[S05_ImprovementReportArt69]["&amp;ROW(B1178)-ROW($B$1143)&amp;"][Annex1Activity]",Submission!$O:$O,Submission!$H:$N,""))</f>
        <v/>
      </c>
      <c r="E1178" s="367"/>
      <c r="F1178" s="261" t="str">
        <f>_xlfn.CONCAT(_xlfn.XLOOKUP("[S05_ImprovementReportArt69]["&amp;ROW(B1178)-ROW($B$1143)&amp;"][ImprovementReportType]",Submission!$O:$O,Submission!$H:$N,""))</f>
        <v/>
      </c>
      <c r="G1178" s="26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7" t="str">
        <f>_xlfn.CONCAT(_xlfn.XLOOKUP("[S05_ImprovementReportArt69]["&amp;ROW(B1179)-ROW($B$1143)&amp;"][Annex1Activity]",Submission!$O:$O,Submission!$H:$N,""))</f>
        <v/>
      </c>
      <c r="E1179" s="367"/>
      <c r="F1179" s="261" t="str">
        <f>_xlfn.CONCAT(_xlfn.XLOOKUP("[S05_ImprovementReportArt69]["&amp;ROW(B1179)-ROW($B$1143)&amp;"][ImprovementReportType]",Submission!$O:$O,Submission!$H:$N,""))</f>
        <v/>
      </c>
      <c r="G1179" s="26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7" t="str">
        <f>_xlfn.CONCAT(_xlfn.XLOOKUP("[S05_ImprovementReportArt69]["&amp;ROW(B1180)-ROW($B$1143)&amp;"][Annex1Activity]",Submission!$O:$O,Submission!$H:$N,""))</f>
        <v/>
      </c>
      <c r="E1180" s="367"/>
      <c r="F1180" s="261" t="str">
        <f>_xlfn.CONCAT(_xlfn.XLOOKUP("[S05_ImprovementReportArt69]["&amp;ROW(B1180)-ROW($B$1143)&amp;"][ImprovementReportType]",Submission!$O:$O,Submission!$H:$N,""))</f>
        <v/>
      </c>
      <c r="G1180" s="26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7" t="str">
        <f>_xlfn.CONCAT(_xlfn.XLOOKUP("[S05_ImprovementReportArt69]["&amp;ROW(B1181)-ROW($B$1143)&amp;"][Annex1Activity]",Submission!$O:$O,Submission!$H:$N,""))</f>
        <v/>
      </c>
      <c r="E1181" s="367"/>
      <c r="F1181" s="261" t="str">
        <f>_xlfn.CONCAT(_xlfn.XLOOKUP("[S05_ImprovementReportArt69]["&amp;ROW(B1181)-ROW($B$1143)&amp;"][ImprovementReportType]",Submission!$O:$O,Submission!$H:$N,""))</f>
        <v/>
      </c>
      <c r="G1181" s="26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7" t="str">
        <f>_xlfn.CONCAT(_xlfn.XLOOKUP("[S05_ImprovementReportArt69]["&amp;ROW(B1182)-ROW($B$1143)&amp;"][Annex1Activity]",Submission!$O:$O,Submission!$H:$N,""))</f>
        <v/>
      </c>
      <c r="E1182" s="367"/>
      <c r="F1182" s="261" t="str">
        <f>_xlfn.CONCAT(_xlfn.XLOOKUP("[S05_ImprovementReportArt69]["&amp;ROW(B1182)-ROW($B$1143)&amp;"][ImprovementReportType]",Submission!$O:$O,Submission!$H:$N,""))</f>
        <v/>
      </c>
      <c r="G1182" s="26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7" t="str">
        <f>_xlfn.CONCAT(_xlfn.XLOOKUP("[S05_ImprovementReportArt69]["&amp;ROW(B1183)-ROW($B$1143)&amp;"][Annex1Activity]",Submission!$O:$O,Submission!$H:$N,""))</f>
        <v/>
      </c>
      <c r="E1183" s="367"/>
      <c r="F1183" s="261" t="str">
        <f>_xlfn.CONCAT(_xlfn.XLOOKUP("[S05_ImprovementReportArt69]["&amp;ROW(B1183)-ROW($B$1143)&amp;"][ImprovementReportType]",Submission!$O:$O,Submission!$H:$N,""))</f>
        <v/>
      </c>
      <c r="G1183" s="26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7" t="str">
        <f>_xlfn.CONCAT(_xlfn.XLOOKUP("[S05_ImprovementReportArt69]["&amp;ROW(B1184)-ROW($B$1143)&amp;"][Annex1Activity]",Submission!$O:$O,Submission!$H:$N,""))</f>
        <v/>
      </c>
      <c r="E1184" s="367"/>
      <c r="F1184" s="261" t="str">
        <f>_xlfn.CONCAT(_xlfn.XLOOKUP("[S05_ImprovementReportArt69]["&amp;ROW(B1184)-ROW($B$1143)&amp;"][ImprovementReportType]",Submission!$O:$O,Submission!$H:$N,""))</f>
        <v/>
      </c>
      <c r="G1184" s="26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7" t="str">
        <f>_xlfn.CONCAT(_xlfn.XLOOKUP("[S05_ImprovementReportArt69]["&amp;ROW(B1185)-ROW($B$1143)&amp;"][Annex1Activity]",Submission!$O:$O,Submission!$H:$N,""))</f>
        <v/>
      </c>
      <c r="E1185" s="367"/>
      <c r="F1185" s="261" t="str">
        <f>_xlfn.CONCAT(_xlfn.XLOOKUP("[S05_ImprovementReportArt69]["&amp;ROW(B1185)-ROW($B$1143)&amp;"][ImprovementReportType]",Submission!$O:$O,Submission!$H:$N,""))</f>
        <v/>
      </c>
      <c r="G1185" s="26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7" t="str">
        <f>_xlfn.CONCAT(_xlfn.XLOOKUP("[S05_ImprovementReportArt69]["&amp;ROW(B1186)-ROW($B$1143)&amp;"][Annex1Activity]",Submission!$O:$O,Submission!$H:$N,""))</f>
        <v/>
      </c>
      <c r="E1186" s="367"/>
      <c r="F1186" s="261" t="str">
        <f>_xlfn.CONCAT(_xlfn.XLOOKUP("[S05_ImprovementReportArt69]["&amp;ROW(B1186)-ROW($B$1143)&amp;"][ImprovementReportType]",Submission!$O:$O,Submission!$H:$N,""))</f>
        <v/>
      </c>
      <c r="G1186" s="26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7" t="str">
        <f>_xlfn.CONCAT(_xlfn.XLOOKUP("[S05_ImprovementReportArt69]["&amp;ROW(B1187)-ROW($B$1143)&amp;"][Annex1Activity]",Submission!$O:$O,Submission!$H:$N,""))</f>
        <v/>
      </c>
      <c r="E1187" s="367"/>
      <c r="F1187" s="261" t="str">
        <f>_xlfn.CONCAT(_xlfn.XLOOKUP("[S05_ImprovementReportArt69]["&amp;ROW(B1187)-ROW($B$1143)&amp;"][ImprovementReportType]",Submission!$O:$O,Submission!$H:$N,""))</f>
        <v/>
      </c>
      <c r="G1187" s="26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7" t="str">
        <f>_xlfn.CONCAT(_xlfn.XLOOKUP("[S05_ImprovementReportArt69]["&amp;ROW(B1188)-ROW($B$1143)&amp;"][Annex1Activity]",Submission!$O:$O,Submission!$H:$N,""))</f>
        <v/>
      </c>
      <c r="E1188" s="367"/>
      <c r="F1188" s="261" t="str">
        <f>_xlfn.CONCAT(_xlfn.XLOOKUP("[S05_ImprovementReportArt69]["&amp;ROW(B1188)-ROW($B$1143)&amp;"][ImprovementReportType]",Submission!$O:$O,Submission!$H:$N,""))</f>
        <v/>
      </c>
      <c r="G1188" s="26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7" t="str">
        <f>_xlfn.CONCAT(_xlfn.XLOOKUP("[S05_ImprovementReportArt69]["&amp;ROW(B1189)-ROW($B$1143)&amp;"][Annex1Activity]",Submission!$O:$O,Submission!$H:$N,""))</f>
        <v/>
      </c>
      <c r="E1189" s="367"/>
      <c r="F1189" s="261" t="str">
        <f>_xlfn.CONCAT(_xlfn.XLOOKUP("[S05_ImprovementReportArt69]["&amp;ROW(B1189)-ROW($B$1143)&amp;"][ImprovementReportType]",Submission!$O:$O,Submission!$H:$N,""))</f>
        <v/>
      </c>
      <c r="G1189" s="26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7" t="str">
        <f>_xlfn.CONCAT(_xlfn.XLOOKUP("[S05_ImprovementReportArt69]["&amp;ROW(B1190)-ROW($B$1143)&amp;"][Annex1Activity]",Submission!$O:$O,Submission!$H:$N,""))</f>
        <v/>
      </c>
      <c r="E1190" s="367"/>
      <c r="F1190" s="261" t="str">
        <f>_xlfn.CONCAT(_xlfn.XLOOKUP("[S05_ImprovementReportArt69]["&amp;ROW(B1190)-ROW($B$1143)&amp;"][ImprovementReportType]",Submission!$O:$O,Submission!$H:$N,""))</f>
        <v/>
      </c>
      <c r="G1190" s="26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7" t="str">
        <f>_xlfn.CONCAT(_xlfn.XLOOKUP("[S05_ImprovementReportArt69]["&amp;ROW(B1191)-ROW($B$1143)&amp;"][Annex1Activity]",Submission!$O:$O,Submission!$H:$N,""))</f>
        <v/>
      </c>
      <c r="E1191" s="367"/>
      <c r="F1191" s="261" t="str">
        <f>_xlfn.CONCAT(_xlfn.XLOOKUP("[S05_ImprovementReportArt69]["&amp;ROW(B1191)-ROW($B$1143)&amp;"][ImprovementReportType]",Submission!$O:$O,Submission!$H:$N,""))</f>
        <v/>
      </c>
      <c r="G1191" s="26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7" t="str">
        <f>_xlfn.CONCAT(_xlfn.XLOOKUP("[S05_ImprovementReportArt69]["&amp;ROW(B1192)-ROW($B$1143)&amp;"][Annex1Activity]",Submission!$O:$O,Submission!$H:$N,""))</f>
        <v/>
      </c>
      <c r="E1192" s="367"/>
      <c r="F1192" s="261" t="str">
        <f>_xlfn.CONCAT(_xlfn.XLOOKUP("[S05_ImprovementReportArt69]["&amp;ROW(B1192)-ROW($B$1143)&amp;"][ImprovementReportType]",Submission!$O:$O,Submission!$H:$N,""))</f>
        <v/>
      </c>
      <c r="G1192" s="26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7" t="str">
        <f>_xlfn.CONCAT(_xlfn.XLOOKUP("[S05_ImprovementReportArt69]["&amp;ROW(B1193)-ROW($B$1143)&amp;"][Annex1Activity]",Submission!$O:$O,Submission!$H:$N,""))</f>
        <v/>
      </c>
      <c r="E1193" s="367"/>
      <c r="F1193" s="261" t="str">
        <f>_xlfn.CONCAT(_xlfn.XLOOKUP("[S05_ImprovementReportArt69]["&amp;ROW(B1193)-ROW($B$1143)&amp;"][ImprovementReportType]",Submission!$O:$O,Submission!$H:$N,""))</f>
        <v/>
      </c>
      <c r="G1193" s="26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7" t="str">
        <f>_xlfn.CONCAT(_xlfn.XLOOKUP("[S05_ImprovementReportArt69]["&amp;ROW(B1194)-ROW($B$1143)&amp;"][Annex1Activity]",Submission!$O:$O,Submission!$H:$N,""))</f>
        <v/>
      </c>
      <c r="E1194" s="367"/>
      <c r="F1194" s="261" t="str">
        <f>_xlfn.CONCAT(_xlfn.XLOOKUP("[S05_ImprovementReportArt69]["&amp;ROW(B1194)-ROW($B$1143)&amp;"][ImprovementReportType]",Submission!$O:$O,Submission!$H:$N,""))</f>
        <v/>
      </c>
      <c r="G1194" s="26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7" t="str">
        <f>_xlfn.CONCAT(_xlfn.XLOOKUP("[S05_ImprovementReportArt69]["&amp;ROW(B1195)-ROW($B$1143)&amp;"][Annex1Activity]",Submission!$O:$O,Submission!$H:$N,""))</f>
        <v/>
      </c>
      <c r="E1195" s="367"/>
      <c r="F1195" s="261" t="str">
        <f>_xlfn.CONCAT(_xlfn.XLOOKUP("[S05_ImprovementReportArt69]["&amp;ROW(B1195)-ROW($B$1143)&amp;"][ImprovementReportType]",Submission!$O:$O,Submission!$H:$N,""))</f>
        <v/>
      </c>
      <c r="G1195" s="26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7" t="str">
        <f>_xlfn.CONCAT(_xlfn.XLOOKUP("[S05_ImprovementReportArt69]["&amp;ROW(B1196)-ROW($B$1143)&amp;"][Annex1Activity]",Submission!$O:$O,Submission!$H:$N,""))</f>
        <v/>
      </c>
      <c r="E1196" s="367"/>
      <c r="F1196" s="261" t="str">
        <f>_xlfn.CONCAT(_xlfn.XLOOKUP("[S05_ImprovementReportArt69]["&amp;ROW(B1196)-ROW($B$1143)&amp;"][ImprovementReportType]",Submission!$O:$O,Submission!$H:$N,""))</f>
        <v/>
      </c>
      <c r="G1196" s="26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7" t="str">
        <f>_xlfn.CONCAT(_xlfn.XLOOKUP("[S05_ImprovementReportArt69]["&amp;ROW(B1197)-ROW($B$1143)&amp;"][Annex1Activity]",Submission!$O:$O,Submission!$H:$N,""))</f>
        <v/>
      </c>
      <c r="E1197" s="367"/>
      <c r="F1197" s="261" t="str">
        <f>_xlfn.CONCAT(_xlfn.XLOOKUP("[S05_ImprovementReportArt69]["&amp;ROW(B1197)-ROW($B$1143)&amp;"][ImprovementReportType]",Submission!$O:$O,Submission!$H:$N,""))</f>
        <v/>
      </c>
      <c r="G1197" s="26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7" t="str">
        <f>_xlfn.CONCAT(_xlfn.XLOOKUP("[S05_ImprovementReportArt69]["&amp;ROW(B1198)-ROW($B$1143)&amp;"][Annex1Activity]",Submission!$O:$O,Submission!$H:$N,""))</f>
        <v/>
      </c>
      <c r="E1198" s="367"/>
      <c r="F1198" s="261" t="str">
        <f>_xlfn.CONCAT(_xlfn.XLOOKUP("[S05_ImprovementReportArt69]["&amp;ROW(B1198)-ROW($B$1143)&amp;"][ImprovementReportType]",Submission!$O:$O,Submission!$H:$N,""))</f>
        <v/>
      </c>
      <c r="G1198" s="26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7" t="str">
        <f>_xlfn.CONCAT(_xlfn.XLOOKUP("[S05_ImprovementReportArt69]["&amp;ROW(B1199)-ROW($B$1143)&amp;"][Annex1Activity]",Submission!$O:$O,Submission!$H:$N,""))</f>
        <v/>
      </c>
      <c r="E1199" s="367"/>
      <c r="F1199" s="261" t="str">
        <f>_xlfn.CONCAT(_xlfn.XLOOKUP("[S05_ImprovementReportArt69]["&amp;ROW(B1199)-ROW($B$1143)&amp;"][ImprovementReportType]",Submission!$O:$O,Submission!$H:$N,""))</f>
        <v/>
      </c>
      <c r="G1199" s="26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7" t="str">
        <f>_xlfn.CONCAT(_xlfn.XLOOKUP("[S05_ImprovementReportArt69]["&amp;ROW(B1200)-ROW($B$1143)&amp;"][Annex1Activity]",Submission!$O:$O,Submission!$H:$N,""))</f>
        <v/>
      </c>
      <c r="E1200" s="367"/>
      <c r="F1200" s="261" t="str">
        <f>_xlfn.CONCAT(_xlfn.XLOOKUP("[S05_ImprovementReportArt69]["&amp;ROW(B1200)-ROW($B$1143)&amp;"][ImprovementReportType]",Submission!$O:$O,Submission!$H:$N,""))</f>
        <v/>
      </c>
      <c r="G1200" s="26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7" t="str">
        <f>_xlfn.CONCAT(_xlfn.XLOOKUP("[S05_ImprovementReportArt69]["&amp;ROW(B1201)-ROW($B$1143)&amp;"][Annex1Activity]",Submission!$O:$O,Submission!$H:$N,""))</f>
        <v/>
      </c>
      <c r="E1201" s="367"/>
      <c r="F1201" s="261" t="str">
        <f>_xlfn.CONCAT(_xlfn.XLOOKUP("[S05_ImprovementReportArt69]["&amp;ROW(B1201)-ROW($B$1143)&amp;"][ImprovementReportType]",Submission!$O:$O,Submission!$H:$N,""))</f>
        <v/>
      </c>
      <c r="G1201" s="26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7" t="str">
        <f>_xlfn.CONCAT(_xlfn.XLOOKUP("[S05_ImprovementReportArt69]["&amp;ROW(B1202)-ROW($B$1143)&amp;"][Annex1Activity]",Submission!$O:$O,Submission!$H:$N,""))</f>
        <v/>
      </c>
      <c r="E1202" s="367"/>
      <c r="F1202" s="261" t="str">
        <f>_xlfn.CONCAT(_xlfn.XLOOKUP("[S05_ImprovementReportArt69]["&amp;ROW(B1202)-ROW($B$1143)&amp;"][ImprovementReportType]",Submission!$O:$O,Submission!$H:$N,""))</f>
        <v/>
      </c>
      <c r="G1202" s="26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7" t="str">
        <f>_xlfn.CONCAT(_xlfn.XLOOKUP("[S05_ImprovementReportArt69]["&amp;ROW(B1203)-ROW($B$1143)&amp;"][Annex1Activity]",Submission!$O:$O,Submission!$H:$N,""))</f>
        <v/>
      </c>
      <c r="E1203" s="367"/>
      <c r="F1203" s="261" t="str">
        <f>_xlfn.CONCAT(_xlfn.XLOOKUP("[S05_ImprovementReportArt69]["&amp;ROW(B1203)-ROW($B$1143)&amp;"][ImprovementReportType]",Submission!$O:$O,Submission!$H:$N,""))</f>
        <v/>
      </c>
      <c r="G1203" s="26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7" t="str">
        <f>_xlfn.CONCAT(_xlfn.XLOOKUP("[S05_ImprovementReportArt69]["&amp;ROW(B1204)-ROW($B$1143)&amp;"][Annex1Activity]",Submission!$O:$O,Submission!$H:$N,""))</f>
        <v/>
      </c>
      <c r="E1204" s="367"/>
      <c r="F1204" s="261" t="str">
        <f>_xlfn.CONCAT(_xlfn.XLOOKUP("[S05_ImprovementReportArt69]["&amp;ROW(B1204)-ROW($B$1143)&amp;"][ImprovementReportType]",Submission!$O:$O,Submission!$H:$N,""))</f>
        <v/>
      </c>
      <c r="G1204" s="26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7" t="str">
        <f>_xlfn.CONCAT(_xlfn.XLOOKUP("[S05_ImprovementReportArt69]["&amp;ROW(B1205)-ROW($B$1143)&amp;"][Annex1Activity]",Submission!$O:$O,Submission!$H:$N,""))</f>
        <v/>
      </c>
      <c r="E1205" s="367"/>
      <c r="F1205" s="261" t="str">
        <f>_xlfn.CONCAT(_xlfn.XLOOKUP("[S05_ImprovementReportArt69]["&amp;ROW(B1205)-ROW($B$1143)&amp;"][ImprovementReportType]",Submission!$O:$O,Submission!$H:$N,""))</f>
        <v/>
      </c>
      <c r="G1205" s="26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7" t="str">
        <f>_xlfn.CONCAT(_xlfn.XLOOKUP("[S05_ImprovementReportArt69]["&amp;ROW(B1206)-ROW($B$1143)&amp;"][Annex1Activity]",Submission!$O:$O,Submission!$H:$N,""))</f>
        <v/>
      </c>
      <c r="E1206" s="367"/>
      <c r="F1206" s="261" t="str">
        <f>_xlfn.CONCAT(_xlfn.XLOOKUP("[S05_ImprovementReportArt69]["&amp;ROW(B1206)-ROW($B$1143)&amp;"][ImprovementReportType]",Submission!$O:$O,Submission!$H:$N,""))</f>
        <v/>
      </c>
      <c r="G1206" s="26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7" t="str">
        <f>_xlfn.CONCAT(_xlfn.XLOOKUP("[S05_ImprovementReportArt69]["&amp;ROW(B1207)-ROW($B$1143)&amp;"][Annex1Activity]",Submission!$O:$O,Submission!$H:$N,""))</f>
        <v/>
      </c>
      <c r="E1207" s="367"/>
      <c r="F1207" s="261" t="str">
        <f>_xlfn.CONCAT(_xlfn.XLOOKUP("[S05_ImprovementReportArt69]["&amp;ROW(B1207)-ROW($B$1143)&amp;"][ImprovementReportType]",Submission!$O:$O,Submission!$H:$N,""))</f>
        <v/>
      </c>
      <c r="G1207" s="26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7" t="str">
        <f>_xlfn.CONCAT(_xlfn.XLOOKUP("[S05_ImprovementReportArt69]["&amp;ROW(B1208)-ROW($B$1143)&amp;"][Annex1Activity]",Submission!$O:$O,Submission!$H:$N,""))</f>
        <v/>
      </c>
      <c r="E1208" s="367"/>
      <c r="F1208" s="261" t="str">
        <f>_xlfn.CONCAT(_xlfn.XLOOKUP("[S05_ImprovementReportArt69]["&amp;ROW(B1208)-ROW($B$1143)&amp;"][ImprovementReportType]",Submission!$O:$O,Submission!$H:$N,""))</f>
        <v/>
      </c>
      <c r="G1208" s="26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7" t="str">
        <f>_xlfn.CONCAT(_xlfn.XLOOKUP("[S05_ImprovementReportArt69]["&amp;ROW(B1209)-ROW($B$1143)&amp;"][Annex1Activity]",Submission!$O:$O,Submission!$H:$N,""))</f>
        <v/>
      </c>
      <c r="E1209" s="367"/>
      <c r="F1209" s="261" t="str">
        <f>_xlfn.CONCAT(_xlfn.XLOOKUP("[S05_ImprovementReportArt69]["&amp;ROW(B1209)-ROW($B$1143)&amp;"][ImprovementReportType]",Submission!$O:$O,Submission!$H:$N,""))</f>
        <v/>
      </c>
      <c r="G1209" s="26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7" t="str">
        <f>_xlfn.CONCAT(_xlfn.XLOOKUP("[S05_ImprovementReportArt69]["&amp;ROW(B1210)-ROW($B$1143)&amp;"][Annex1Activity]",Submission!$O:$O,Submission!$H:$N,""))</f>
        <v/>
      </c>
      <c r="E1210" s="367"/>
      <c r="F1210" s="261" t="str">
        <f>_xlfn.CONCAT(_xlfn.XLOOKUP("[S05_ImprovementReportArt69]["&amp;ROW(B1210)-ROW($B$1143)&amp;"][ImprovementReportType]",Submission!$O:$O,Submission!$H:$N,""))</f>
        <v/>
      </c>
      <c r="G1210" s="26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7" t="str">
        <f>_xlfn.CONCAT(_xlfn.XLOOKUP("[S05_ImprovementReportArt69]["&amp;ROW(B1211)-ROW($B$1143)&amp;"][Annex1Activity]",Submission!$O:$O,Submission!$H:$N,""))</f>
        <v/>
      </c>
      <c r="E1211" s="367"/>
      <c r="F1211" s="261" t="str">
        <f>_xlfn.CONCAT(_xlfn.XLOOKUP("[S05_ImprovementReportArt69]["&amp;ROW(B1211)-ROW($B$1143)&amp;"][ImprovementReportType]",Submission!$O:$O,Submission!$H:$N,""))</f>
        <v/>
      </c>
      <c r="G1211" s="26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7" t="str">
        <f>_xlfn.CONCAT(_xlfn.XLOOKUP("[S05_ImprovementReportArt69]["&amp;ROW(B1212)-ROW($B$1143)&amp;"][Annex1Activity]",Submission!$O:$O,Submission!$H:$N,""))</f>
        <v/>
      </c>
      <c r="E1212" s="367"/>
      <c r="F1212" s="261" t="str">
        <f>_xlfn.CONCAT(_xlfn.XLOOKUP("[S05_ImprovementReportArt69]["&amp;ROW(B1212)-ROW($B$1143)&amp;"][ImprovementReportType]",Submission!$O:$O,Submission!$H:$N,""))</f>
        <v/>
      </c>
      <c r="G1212" s="26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7" t="str">
        <f>_xlfn.CONCAT(_xlfn.XLOOKUP("[S05_ImprovementReportArt69]["&amp;ROW(B1213)-ROW($B$1143)&amp;"][Annex1Activity]",Submission!$O:$O,Submission!$H:$N,""))</f>
        <v/>
      </c>
      <c r="E1213" s="367"/>
      <c r="F1213" s="261" t="str">
        <f>_xlfn.CONCAT(_xlfn.XLOOKUP("[S05_ImprovementReportArt69]["&amp;ROW(B1213)-ROW($B$1143)&amp;"][ImprovementReportType]",Submission!$O:$O,Submission!$H:$N,""))</f>
        <v/>
      </c>
      <c r="G1213" s="26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1" t="s">
        <v>895</v>
      </c>
      <c r="D1215" s="361"/>
      <c r="E1215" s="361"/>
      <c r="F1215" s="361"/>
      <c r="G1215" s="361"/>
      <c r="H1215" s="361"/>
      <c r="I1215" s="361"/>
    </row>
    <row r="1216" spans="1:9" ht="15.9" customHeight="1" x14ac:dyDescent="0.3"/>
    <row r="1217" spans="1:12" ht="33" customHeight="1" x14ac:dyDescent="0.3">
      <c r="A1217" s="12" t="s">
        <v>273</v>
      </c>
      <c r="B1217" s="341" t="s">
        <v>896</v>
      </c>
      <c r="C1217" s="311"/>
      <c r="D1217" s="311"/>
      <c r="E1217" s="311"/>
      <c r="F1217" s="311"/>
      <c r="G1217" s="311"/>
      <c r="H1217" s="348"/>
      <c r="I1217" s="41" t="str">
        <f>_xlfn.CONCAT(_xlfn.XLOOKUP("[InherentCarbonTransferred][0][InherentCarbonTransferred]",Submission!$O:$O,Submission!$H:$N,""))</f>
        <v>Yes</v>
      </c>
    </row>
    <row r="1218" spans="1:12" ht="15.9" customHeight="1" x14ac:dyDescent="0.3">
      <c r="A1218" s="12"/>
      <c r="B1218" s="341" t="s">
        <v>884</v>
      </c>
      <c r="C1218" s="311"/>
      <c r="D1218" s="311"/>
      <c r="E1218" s="311"/>
      <c r="F1218" s="311"/>
      <c r="G1218" s="311"/>
      <c r="H1218" s="311"/>
      <c r="I1218" s="311"/>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PL000000000000363</v>
      </c>
      <c r="E1220" s="72" t="str">
        <f>_xlfn.CONCAT(_xlfn.XLOOKUP("[S05_InherentCarbonTransferredDetail]["&amp;ROW(B1220)-ROW($B$1219)&amp;"][InstallationIdReceiving]",Submission!$O:$O,Submission!$H:$N,""))</f>
        <v>PL000000000000896</v>
      </c>
      <c r="F1220" s="124" t="str">
        <f>_xlfn.CONCAT(_xlfn.XLOOKUP("[S05_InherentCarbonTransferredDetail]["&amp;ROW(B1220)-ROW($B$1219)&amp;"][AmountCO2Transferred]",Submission!$O:$O,Submission!$H:$N,""))</f>
        <v>-843</v>
      </c>
      <c r="G1220" s="124" t="str">
        <f>_xlfn.CONCAT(_xlfn.XLOOKUP("[S05_InherentCarbonTransferredDetail]["&amp;ROW(B1220)-ROW($B$1219)&amp;"][InherentCO2Received]",Submission!$O:$O,Submission!$H:$N,""))</f>
        <v>843</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nd</v>
      </c>
      <c r="K1220" s="13"/>
      <c r="L1220" s="13"/>
    </row>
    <row r="1221" spans="1:12" s="147" customFormat="1" ht="41.4" customHeight="1" x14ac:dyDescent="0.3">
      <c r="A1221" s="146"/>
      <c r="C1221" s="71" t="str">
        <f>_xlfn.CONCAT(_xlfn.XLOOKUP("[S05_InherentCarbonTransferredDetail]["&amp;ROW(B1221)-ROW($B$1219)&amp;"][TransferType]",Submission!$O:$O,Submission!$H:$N,""))</f>
        <v>Transfer of inherent CO2 (Article 48)</v>
      </c>
      <c r="D1221" s="72" t="str">
        <f>_xlfn.CONCAT(_xlfn.XLOOKUP("[S05_InherentCarbonTransferredDetail]["&amp;ROW(B1221)-ROW($B$1219)&amp;"][InstallationIdTransferring]",Submission!$O:$O,Submission!$H:$N,""))</f>
        <v>PL000000000000363</v>
      </c>
      <c r="E1221" s="72" t="str">
        <f>_xlfn.CONCAT(_xlfn.XLOOKUP("[S05_InherentCarbonTransferredDetail]["&amp;ROW(B1221)-ROW($B$1219)&amp;"][InstallationIdReceiving]",Submission!$O:$O,Submission!$H:$N,""))</f>
        <v>PL000000000000076</v>
      </c>
      <c r="F1221" s="124" t="str">
        <f>_xlfn.CONCAT(_xlfn.XLOOKUP("[S05_InherentCarbonTransferredDetail]["&amp;ROW(B1221)-ROW($B$1219)&amp;"][AmountCO2Transferred]",Submission!$O:$O,Submission!$H:$N,""))</f>
        <v>-2523</v>
      </c>
      <c r="G1221" s="124" t="str">
        <f>_xlfn.CONCAT(_xlfn.XLOOKUP("[S05_InherentCarbonTransferredDetail]["&amp;ROW(B1221)-ROW($B$1219)&amp;"][InherentCO2Received]",Submission!$O:$O,Submission!$H:$N,""))</f>
        <v>2523.29</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nd</v>
      </c>
      <c r="K1221" s="13"/>
      <c r="L1221" s="13"/>
    </row>
    <row r="1222" spans="1:12" s="147" customFormat="1" ht="41.4" customHeight="1" x14ac:dyDescent="0.3">
      <c r="A1222" s="146"/>
      <c r="C1222" s="71" t="str">
        <f>_xlfn.CONCAT(_xlfn.XLOOKUP("[S05_InherentCarbonTransferredDetail]["&amp;ROW(B1222)-ROW($B$1219)&amp;"][TransferType]",Submission!$O:$O,Submission!$H:$N,""))</f>
        <v>Transfer of inherent CO2 (Article 48)</v>
      </c>
      <c r="D1222" s="72" t="str">
        <f>_xlfn.CONCAT(_xlfn.XLOOKUP("[S05_InherentCarbonTransferredDetail]["&amp;ROW(B1222)-ROW($B$1219)&amp;"][InstallationIdTransferring]",Submission!$O:$O,Submission!$H:$N,""))</f>
        <v>PL000000000000365</v>
      </c>
      <c r="E1222" s="72" t="str">
        <f>_xlfn.CONCAT(_xlfn.XLOOKUP("[S05_InherentCarbonTransferredDetail]["&amp;ROW(B1222)-ROW($B$1219)&amp;"][InstallationIdReceiving]",Submission!$O:$O,Submission!$H:$N,""))</f>
        <v>PL000000000000523</v>
      </c>
      <c r="F1222" s="124" t="str">
        <f>_xlfn.CONCAT(_xlfn.XLOOKUP("[S05_InherentCarbonTransferredDetail]["&amp;ROW(B1222)-ROW($B$1219)&amp;"][AmountCO2Transferred]",Submission!$O:$O,Submission!$H:$N,""))</f>
        <v>-4674</v>
      </c>
      <c r="G1222" s="124" t="str">
        <f>_xlfn.CONCAT(_xlfn.XLOOKUP("[S05_InherentCarbonTransferredDetail]["&amp;ROW(B1222)-ROW($B$1219)&amp;"][InherentCO2Received]",Submission!$O:$O,Submission!$H:$N,""))</f>
        <v>4674</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nd</v>
      </c>
      <c r="K1222" s="13"/>
      <c r="L1222" s="13"/>
    </row>
    <row r="1223" spans="1:12" s="147" customFormat="1" ht="41.4" customHeight="1" x14ac:dyDescent="0.3">
      <c r="A1223" s="146"/>
      <c r="C1223" s="71" t="str">
        <f>_xlfn.CONCAT(_xlfn.XLOOKUP("[S05_InherentCarbonTransferredDetail]["&amp;ROW(B1223)-ROW($B$1219)&amp;"][TransferType]",Submission!$O:$O,Submission!$H:$N,""))</f>
        <v>Transfer of inherent CO2 (Article 48)</v>
      </c>
      <c r="D1223" s="72" t="str">
        <f>_xlfn.CONCAT(_xlfn.XLOOKUP("[S05_InherentCarbonTransferredDetail]["&amp;ROW(B1223)-ROW($B$1219)&amp;"][InstallationIdTransferring]",Submission!$O:$O,Submission!$H:$N,""))</f>
        <v>PL000000000000366</v>
      </c>
      <c r="E1223" s="72" t="str">
        <f>_xlfn.CONCAT(_xlfn.XLOOKUP("[S05_InherentCarbonTransferredDetail]["&amp;ROW(B1223)-ROW($B$1219)&amp;"][InstallationIdReceiving]",Submission!$O:$O,Submission!$H:$N,""))</f>
        <v>PL000000000000338</v>
      </c>
      <c r="F1223" s="124" t="str">
        <f>_xlfn.CONCAT(_xlfn.XLOOKUP("[S05_InherentCarbonTransferredDetail]["&amp;ROW(B1223)-ROW($B$1219)&amp;"][AmountCO2Transferred]",Submission!$O:$O,Submission!$H:$N,""))</f>
        <v>-1125</v>
      </c>
      <c r="G1223" s="124" t="str">
        <f>_xlfn.CONCAT(_xlfn.XLOOKUP("[S05_InherentCarbonTransferredDetail]["&amp;ROW(B1223)-ROW($B$1219)&amp;"][InherentCO2Received]",Submission!$O:$O,Submission!$H:$N,""))</f>
        <v>1125</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nd</v>
      </c>
      <c r="K1223" s="13"/>
      <c r="L1223" s="13"/>
    </row>
    <row r="1224" spans="1:12" s="147" customFormat="1" ht="41.4" customHeight="1" x14ac:dyDescent="0.3">
      <c r="A1224" s="146"/>
      <c r="C1224" s="71" t="str">
        <f>_xlfn.CONCAT(_xlfn.XLOOKUP("[S05_InherentCarbonTransferredDetail]["&amp;ROW(B1224)-ROW($B$1219)&amp;"][TransferType]",Submission!$O:$O,Submission!$H:$N,""))</f>
        <v>Transfer of inherent CO2 (Article 48)</v>
      </c>
      <c r="D1224" s="72" t="str">
        <f>_xlfn.CONCAT(_xlfn.XLOOKUP("[S05_InherentCarbonTransferredDetail]["&amp;ROW(B1224)-ROW($B$1219)&amp;"][InstallationIdTransferring]",Submission!$O:$O,Submission!$H:$N,""))</f>
        <v>PL000000000000367</v>
      </c>
      <c r="E1224" s="72" t="str">
        <f>_xlfn.CONCAT(_xlfn.XLOOKUP("[S05_InherentCarbonTransferredDetail]["&amp;ROW(B1224)-ROW($B$1219)&amp;"][InstallationIdReceiving]",Submission!$O:$O,Submission!$H:$N,""))</f>
        <v>PL000000000000885</v>
      </c>
      <c r="F1224" s="124" t="str">
        <f>_xlfn.CONCAT(_xlfn.XLOOKUP("[S05_InherentCarbonTransferredDetail]["&amp;ROW(B1224)-ROW($B$1219)&amp;"][AmountCO2Transferred]",Submission!$O:$O,Submission!$H:$N,""))</f>
        <v>-140</v>
      </c>
      <c r="G1224" s="124" t="str">
        <f>_xlfn.CONCAT(_xlfn.XLOOKUP("[S05_InherentCarbonTransferredDetail]["&amp;ROW(B1224)-ROW($B$1219)&amp;"][InherentCO2Received]",Submission!$O:$O,Submission!$H:$N,""))</f>
        <v>140</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nd</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Transfer of inherent CO2 (Article 48)</v>
      </c>
      <c r="D1225" s="72" t="str">
        <f>_xlfn.CONCAT(_xlfn.XLOOKUP("[S05_InherentCarbonTransferredDetail]["&amp;ROW(B1225)-ROW($B$1219)&amp;"][InstallationIdTransferring]",Submission!$O:$O,Submission!$H:$N,""))</f>
        <v>PL000000000000367</v>
      </c>
      <c r="E1225" s="72" t="str">
        <f>_xlfn.CONCAT(_xlfn.XLOOKUP("[S05_InherentCarbonTransferredDetail]["&amp;ROW(B1225)-ROW($B$1219)&amp;"][InstallationIdReceiving]",Submission!$O:$O,Submission!$H:$N,""))</f>
        <v>PL000000000000898</v>
      </c>
      <c r="F1225" s="124" t="str">
        <f>_xlfn.CONCAT(_xlfn.XLOOKUP("[S05_InherentCarbonTransferredDetail]["&amp;ROW(B1225)-ROW($B$1219)&amp;"][AmountCO2Transferred]",Submission!$O:$O,Submission!$H:$N,""))</f>
        <v>-1421</v>
      </c>
      <c r="G1225" s="124" t="str">
        <f>_xlfn.CONCAT(_xlfn.XLOOKUP("[S05_InherentCarbonTransferredDetail]["&amp;ROW(B1225)-ROW($B$1219)&amp;"][InherentCO2Received]",Submission!$O:$O,Submission!$H:$N,""))</f>
        <v>1421</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nd</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Transfer of inherent CO2 (Article 48)</v>
      </c>
      <c r="D1226" s="72" t="str">
        <f>_xlfn.CONCAT(_xlfn.XLOOKUP("[S05_InherentCarbonTransferredDetail]["&amp;ROW(B1226)-ROW($B$1219)&amp;"][InstallationIdTransferring]",Submission!$O:$O,Submission!$H:$N,""))</f>
        <v>PL000000000000367</v>
      </c>
      <c r="E1226" s="72" t="str">
        <f>_xlfn.CONCAT(_xlfn.XLOOKUP("[S05_InherentCarbonTransferredDetail]["&amp;ROW(B1226)-ROW($B$1219)&amp;"][InstallationIdReceiving]",Submission!$O:$O,Submission!$H:$N,""))</f>
        <v>PL000000000000848</v>
      </c>
      <c r="F1226" s="124" t="str">
        <f>_xlfn.CONCAT(_xlfn.XLOOKUP("[S05_InherentCarbonTransferredDetail]["&amp;ROW(B1226)-ROW($B$1219)&amp;"][AmountCO2Transferred]",Submission!$O:$O,Submission!$H:$N,""))</f>
        <v>-597</v>
      </c>
      <c r="G1226" s="124" t="str">
        <f>_xlfn.CONCAT(_xlfn.XLOOKUP("[S05_InherentCarbonTransferredDetail]["&amp;ROW(B1226)-ROW($B$1219)&amp;"][InherentCO2Received]",Submission!$O:$O,Submission!$H:$N,""))</f>
        <v>597</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nd</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Transfer of inherent CO2 (Article 48)</v>
      </c>
      <c r="D1227" s="72" t="str">
        <f>_xlfn.CONCAT(_xlfn.XLOOKUP("[S05_InherentCarbonTransferredDetail]["&amp;ROW(B1227)-ROW($B$1219)&amp;"][InstallationIdTransferring]",Submission!$O:$O,Submission!$H:$N,""))</f>
        <v>PL000000000000367</v>
      </c>
      <c r="E1227" s="72" t="str">
        <f>_xlfn.CONCAT(_xlfn.XLOOKUP("[S05_InherentCarbonTransferredDetail]["&amp;ROW(B1227)-ROW($B$1219)&amp;"][InstallationIdReceiving]",Submission!$O:$O,Submission!$H:$N,""))</f>
        <v>PL000000000000457</v>
      </c>
      <c r="F1227" s="124" t="str">
        <f>_xlfn.CONCAT(_xlfn.XLOOKUP("[S05_InherentCarbonTransferredDetail]["&amp;ROW(B1227)-ROW($B$1219)&amp;"][AmountCO2Transferred]",Submission!$O:$O,Submission!$H:$N,""))</f>
        <v>-2184</v>
      </c>
      <c r="G1227" s="124" t="str">
        <f>_xlfn.CONCAT(_xlfn.XLOOKUP("[S05_InherentCarbonTransferredDetail]["&amp;ROW(B1227)-ROW($B$1219)&amp;"][InherentCO2Received]",Submission!$O:$O,Submission!$H:$N,""))</f>
        <v>2184</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nd</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Transfer of inherent CO2 (Article 48)</v>
      </c>
      <c r="D1228" s="72" t="str">
        <f>_xlfn.CONCAT(_xlfn.XLOOKUP("[S05_InherentCarbonTransferredDetail]["&amp;ROW(B1228)-ROW($B$1219)&amp;"][InstallationIdTransferring]",Submission!$O:$O,Submission!$H:$N,""))</f>
        <v>PL000000000000368</v>
      </c>
      <c r="E1228" s="72" t="str">
        <f>_xlfn.CONCAT(_xlfn.XLOOKUP("[S05_InherentCarbonTransferredDetail]["&amp;ROW(B1228)-ROW($B$1219)&amp;"][InstallationIdReceiving]",Submission!$O:$O,Submission!$H:$N,""))</f>
        <v>PL000000000000852</v>
      </c>
      <c r="F1228" s="124" t="str">
        <f>_xlfn.CONCAT(_xlfn.XLOOKUP("[S05_InherentCarbonTransferredDetail]["&amp;ROW(B1228)-ROW($B$1219)&amp;"][AmountCO2Transferred]",Submission!$O:$O,Submission!$H:$N,""))</f>
        <v>-2799</v>
      </c>
      <c r="G1228" s="124" t="str">
        <f>_xlfn.CONCAT(_xlfn.XLOOKUP("[S05_InherentCarbonTransferredDetail]["&amp;ROW(B1228)-ROW($B$1219)&amp;"][InherentCO2Received]",Submission!$O:$O,Submission!$H:$N,""))</f>
        <v>2799</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nd</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Transfer of inherent CO2 (Article 48)</v>
      </c>
      <c r="D1229" s="72" t="str">
        <f>_xlfn.CONCAT(_xlfn.XLOOKUP("[S05_InherentCarbonTransferredDetail]["&amp;ROW(B1229)-ROW($B$1219)&amp;"][InstallationIdTransferring]",Submission!$O:$O,Submission!$H:$N,""))</f>
        <v>PL000000000000370</v>
      </c>
      <c r="E1229" s="72" t="str">
        <f>_xlfn.CONCAT(_xlfn.XLOOKUP("[S05_InherentCarbonTransferredDetail]["&amp;ROW(B1229)-ROW($B$1219)&amp;"][InstallationIdReceiving]",Submission!$O:$O,Submission!$H:$N,""))</f>
        <v>PL000000000000010</v>
      </c>
      <c r="F1229" s="124" t="str">
        <f>_xlfn.CONCAT(_xlfn.XLOOKUP("[S05_InherentCarbonTransferredDetail]["&amp;ROW(B1229)-ROW($B$1219)&amp;"][AmountCO2Transferred]",Submission!$O:$O,Submission!$H:$N,""))</f>
        <v>-14327.79</v>
      </c>
      <c r="G1229" s="124" t="str">
        <f>_xlfn.CONCAT(_xlfn.XLOOKUP("[S05_InherentCarbonTransferredDetail]["&amp;ROW(B1229)-ROW($B$1219)&amp;"][InherentCO2Received]",Submission!$O:$O,Submission!$H:$N,""))</f>
        <v>14327.8</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nd</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Transfer of inherent CO2 (Article 48)</v>
      </c>
      <c r="D1230" s="72" t="str">
        <f>_xlfn.CONCAT(_xlfn.XLOOKUP("[S05_InherentCarbonTransferredDetail]["&amp;ROW(B1230)-ROW($B$1219)&amp;"][InstallationIdTransferring]",Submission!$O:$O,Submission!$H:$N,""))</f>
        <v>PL000000000000370</v>
      </c>
      <c r="E1230" s="72" t="str">
        <f>_xlfn.CONCAT(_xlfn.XLOOKUP("[S05_InherentCarbonTransferredDetail]["&amp;ROW(B1230)-ROW($B$1219)&amp;"][InstallationIdReceiving]",Submission!$O:$O,Submission!$H:$N,""))</f>
        <v>PL000000000000456</v>
      </c>
      <c r="F1230" s="124" t="str">
        <f>_xlfn.CONCAT(_xlfn.XLOOKUP("[S05_InherentCarbonTransferredDetail]["&amp;ROW(B1230)-ROW($B$1219)&amp;"][AmountCO2Transferred]",Submission!$O:$O,Submission!$H:$N,""))</f>
        <v>-12761.63</v>
      </c>
      <c r="G1230" s="124" t="str">
        <f>_xlfn.CONCAT(_xlfn.XLOOKUP("[S05_InherentCarbonTransferredDetail]["&amp;ROW(B1230)-ROW($B$1219)&amp;"][InherentCO2Received]",Submission!$O:$O,Submission!$H:$N,""))</f>
        <v>12761.63</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nd</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Transfer of inherent CO2 (Article 48)</v>
      </c>
      <c r="D1231" s="72" t="str">
        <f>_xlfn.CONCAT(_xlfn.XLOOKUP("[S05_InherentCarbonTransferredDetail]["&amp;ROW(B1231)-ROW($B$1219)&amp;"][InstallationIdTransferring]",Submission!$O:$O,Submission!$H:$N,""))</f>
        <v>PL000000000000370</v>
      </c>
      <c r="E1231" s="72" t="str">
        <f>_xlfn.CONCAT(_xlfn.XLOOKUP("[S05_InherentCarbonTransferredDetail]["&amp;ROW(B1231)-ROW($B$1219)&amp;"][InstallationIdReceiving]",Submission!$O:$O,Submission!$H:$N,""))</f>
        <v>PL000000000000835</v>
      </c>
      <c r="F1231" s="124" t="str">
        <f>_xlfn.CONCAT(_xlfn.XLOOKUP("[S05_InherentCarbonTransferredDetail]["&amp;ROW(B1231)-ROW($B$1219)&amp;"][AmountCO2Transferred]",Submission!$O:$O,Submission!$H:$N,""))</f>
        <v>-2057.49</v>
      </c>
      <c r="G1231" s="124" t="str">
        <f>_xlfn.CONCAT(_xlfn.XLOOKUP("[S05_InherentCarbonTransferredDetail]["&amp;ROW(B1231)-ROW($B$1219)&amp;"][InherentCO2Received]",Submission!$O:$O,Submission!$H:$N,""))</f>
        <v>2057.49</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nd</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Transfer of inherent CO2 (Article 48)</v>
      </c>
      <c r="D1232" s="72" t="str">
        <f>_xlfn.CONCAT(_xlfn.XLOOKUP("[S05_InherentCarbonTransferredDetail]["&amp;ROW(B1232)-ROW($B$1219)&amp;"][InstallationIdTransferring]",Submission!$O:$O,Submission!$H:$N,""))</f>
        <v>PL000000000000370</v>
      </c>
      <c r="E1232" s="72" t="str">
        <f>_xlfn.CONCAT(_xlfn.XLOOKUP("[S05_InherentCarbonTransferredDetail]["&amp;ROW(B1232)-ROW($B$1219)&amp;"][InstallationIdReceiving]",Submission!$O:$O,Submission!$H:$N,""))</f>
        <v>PL000000000000495</v>
      </c>
      <c r="F1232" s="124" t="str">
        <f>_xlfn.CONCAT(_xlfn.XLOOKUP("[S05_InherentCarbonTransferredDetail]["&amp;ROW(B1232)-ROW($B$1219)&amp;"][AmountCO2Transferred]",Submission!$O:$O,Submission!$H:$N,""))</f>
        <v>-1584.49</v>
      </c>
      <c r="G1232" s="124" t="str">
        <f>_xlfn.CONCAT(_xlfn.XLOOKUP("[S05_InherentCarbonTransferredDetail]["&amp;ROW(B1232)-ROW($B$1219)&amp;"][InherentCO2Received]",Submission!$O:$O,Submission!$H:$N,""))</f>
        <v>1584.49</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nd</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Transfer of inherent CO2 (Article 48)</v>
      </c>
      <c r="D1233" s="72" t="str">
        <f>_xlfn.CONCAT(_xlfn.XLOOKUP("[S05_InherentCarbonTransferredDetail]["&amp;ROW(B1233)-ROW($B$1219)&amp;"][InstallationIdTransferring]",Submission!$O:$O,Submission!$H:$N,""))</f>
        <v>PL000000000000370</v>
      </c>
      <c r="E1233" s="72" t="str">
        <f>_xlfn.CONCAT(_xlfn.XLOOKUP("[S05_InherentCarbonTransferredDetail]["&amp;ROW(B1233)-ROW($B$1219)&amp;"][InstallationIdReceiving]",Submission!$O:$O,Submission!$H:$N,""))</f>
        <v>PL000000000203087</v>
      </c>
      <c r="F1233" s="124" t="str">
        <f>_xlfn.CONCAT(_xlfn.XLOOKUP("[S05_InherentCarbonTransferredDetail]["&amp;ROW(B1233)-ROW($B$1219)&amp;"][AmountCO2Transferred]",Submission!$O:$O,Submission!$H:$N,""))</f>
        <v>-1075.92</v>
      </c>
      <c r="G1233" s="124" t="str">
        <f>_xlfn.CONCAT(_xlfn.XLOOKUP("[S05_InherentCarbonTransferredDetail]["&amp;ROW(B1233)-ROW($B$1219)&amp;"][InherentCO2Received]",Submission!$O:$O,Submission!$H:$N,""))</f>
        <v>1077</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nd</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Transfer of inherent CO2 (Article 48)</v>
      </c>
      <c r="D1234" s="72" t="str">
        <f>_xlfn.CONCAT(_xlfn.XLOOKUP("[S05_InherentCarbonTransferredDetail]["&amp;ROW(B1234)-ROW($B$1219)&amp;"][InstallationIdTransferring]",Submission!$O:$O,Submission!$H:$N,""))</f>
        <v>PL000000000000652</v>
      </c>
      <c r="E1234" s="72" t="str">
        <f>_xlfn.CONCAT(_xlfn.XLOOKUP("[S05_InherentCarbonTransferredDetail]["&amp;ROW(B1234)-ROW($B$1219)&amp;"][InstallationIdReceiving]",Submission!$O:$O,Submission!$H:$N,""))</f>
        <v>PL000000000207726</v>
      </c>
      <c r="F1234" s="124" t="str">
        <f>_xlfn.CONCAT(_xlfn.XLOOKUP("[S05_InherentCarbonTransferredDetail]["&amp;ROW(B1234)-ROW($B$1219)&amp;"][AmountCO2Transferred]",Submission!$O:$O,Submission!$H:$N,""))</f>
        <v>-414.06</v>
      </c>
      <c r="G1234" s="124" t="str">
        <f>_xlfn.CONCAT(_xlfn.XLOOKUP("[S05_InherentCarbonTransferredDetail]["&amp;ROW(B1234)-ROW($B$1219)&amp;"][InherentCO2Received]",Submission!$O:$O,Submission!$H:$N,""))</f>
        <v>414.06</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nd</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Transfer of inherent CO2 (Article 48)</v>
      </c>
      <c r="D1235" s="72" t="str">
        <f>_xlfn.CONCAT(_xlfn.XLOOKUP("[S05_InherentCarbonTransferredDetail]["&amp;ROW(B1235)-ROW($B$1219)&amp;"][InstallationIdTransferring]",Submission!$O:$O,Submission!$H:$N,""))</f>
        <v>PL000000000000653</v>
      </c>
      <c r="E1235" s="72" t="str">
        <f>_xlfn.CONCAT(_xlfn.XLOOKUP("[S05_InherentCarbonTransferredDetail]["&amp;ROW(B1235)-ROW($B$1219)&amp;"][InstallationIdReceiving]",Submission!$O:$O,Submission!$H:$N,""))</f>
        <v>PL000000000000375</v>
      </c>
      <c r="F1235" s="124" t="str">
        <f>_xlfn.CONCAT(_xlfn.XLOOKUP("[S05_InherentCarbonTransferredDetail]["&amp;ROW(B1235)-ROW($B$1219)&amp;"][AmountCO2Transferred]",Submission!$O:$O,Submission!$H:$N,""))</f>
        <v>-1066.9</v>
      </c>
      <c r="G1235" s="124" t="str">
        <f>_xlfn.CONCAT(_xlfn.XLOOKUP("[S05_InherentCarbonTransferredDetail]["&amp;ROW(B1235)-ROW($B$1219)&amp;"][InherentCO2Received]",Submission!$O:$O,Submission!$H:$N,""))</f>
        <v>1093.63</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nd</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Transfer of inherent CO2 (Article 48)</v>
      </c>
      <c r="D1236" s="72" t="str">
        <f>_xlfn.CONCAT(_xlfn.XLOOKUP("[S05_InherentCarbonTransferredDetail]["&amp;ROW(B1236)-ROW($B$1219)&amp;"][InstallationIdTransferring]",Submission!$O:$O,Submission!$H:$N,""))</f>
        <v>PL000000000000653</v>
      </c>
      <c r="E1236" s="72" t="str">
        <f>_xlfn.CONCAT(_xlfn.XLOOKUP("[S05_InherentCarbonTransferredDetail]["&amp;ROW(B1236)-ROW($B$1219)&amp;"][InstallationIdReceiving]",Submission!$O:$O,Submission!$H:$N,""))</f>
        <v>PL000000000000886</v>
      </c>
      <c r="F1236" s="124" t="str">
        <f>_xlfn.CONCAT(_xlfn.XLOOKUP("[S05_InherentCarbonTransferredDetail]["&amp;ROW(B1236)-ROW($B$1219)&amp;"][AmountCO2Transferred]",Submission!$O:$O,Submission!$H:$N,""))</f>
        <v>-4110.39</v>
      </c>
      <c r="G1236" s="124" t="str">
        <f>_xlfn.CONCAT(_xlfn.XLOOKUP("[S05_InherentCarbonTransferredDetail]["&amp;ROW(B1236)-ROW($B$1219)&amp;"][InherentCO2Received]",Submission!$O:$O,Submission!$H:$N,""))</f>
        <v>4179.39</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nd</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Transfer of inherent CO2 (Article 48)</v>
      </c>
      <c r="D1237" s="72" t="str">
        <f>_xlfn.CONCAT(_xlfn.XLOOKUP("[S05_InherentCarbonTransferredDetail]["&amp;ROW(B1237)-ROW($B$1219)&amp;"][InstallationIdTransferring]",Submission!$O:$O,Submission!$H:$N,""))</f>
        <v>PL000000000000653</v>
      </c>
      <c r="E1237" s="72" t="str">
        <f>_xlfn.CONCAT(_xlfn.XLOOKUP("[S05_InherentCarbonTransferredDetail]["&amp;ROW(B1237)-ROW($B$1219)&amp;"][InstallationIdReceiving]",Submission!$O:$O,Submission!$H:$N,""))</f>
        <v>PL000000000000887</v>
      </c>
      <c r="F1237" s="124" t="str">
        <f>_xlfn.CONCAT(_xlfn.XLOOKUP("[S05_InherentCarbonTransferredDetail]["&amp;ROW(B1237)-ROW($B$1219)&amp;"][AmountCO2Transferred]",Submission!$O:$O,Submission!$H:$N,""))</f>
        <v>-214.23</v>
      </c>
      <c r="G1237" s="124" t="str">
        <f>_xlfn.CONCAT(_xlfn.XLOOKUP("[S05_InherentCarbonTransferredDetail]["&amp;ROW(B1237)-ROW($B$1219)&amp;"][InherentCO2Received]",Submission!$O:$O,Submission!$H:$N,""))</f>
        <v>219.45</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nd</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Transfer of inherent CO2 (Article 48)</v>
      </c>
      <c r="D1238" s="72" t="str">
        <f>_xlfn.CONCAT(_xlfn.XLOOKUP("[S05_InherentCarbonTransferredDetail]["&amp;ROW(B1238)-ROW($B$1219)&amp;"][InstallationIdTransferring]",Submission!$O:$O,Submission!$H:$N,""))</f>
        <v>PL000000000000653</v>
      </c>
      <c r="E1238" s="72" t="str">
        <f>_xlfn.CONCAT(_xlfn.XLOOKUP("[S05_InherentCarbonTransferredDetail]["&amp;ROW(B1238)-ROW($B$1219)&amp;"][InstallationIdReceiving]",Submission!$O:$O,Submission!$H:$N,""))</f>
        <v>PL000000000000897</v>
      </c>
      <c r="F1238" s="124" t="str">
        <f>_xlfn.CONCAT(_xlfn.XLOOKUP("[S05_InherentCarbonTransferredDetail]["&amp;ROW(B1238)-ROW($B$1219)&amp;"][AmountCO2Transferred]",Submission!$O:$O,Submission!$H:$N,""))</f>
        <v>-4097.47</v>
      </c>
      <c r="G1238" s="124" t="str">
        <f>_xlfn.CONCAT(_xlfn.XLOOKUP("[S05_InherentCarbonTransferredDetail]["&amp;ROW(B1238)-ROW($B$1219)&amp;"][InherentCO2Received]",Submission!$O:$O,Submission!$H:$N,""))</f>
        <v>4179.39</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nd</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Transfer of inherent CO2 (Article 48)</v>
      </c>
      <c r="D1239" s="72" t="str">
        <f>_xlfn.CONCAT(_xlfn.XLOOKUP("[S05_InherentCarbonTransferredDetail]["&amp;ROW(B1239)-ROW($B$1219)&amp;"][InstallationIdTransferring]",Submission!$O:$O,Submission!$H:$N,""))</f>
        <v>PL000000000000653</v>
      </c>
      <c r="E1239" s="72" t="str">
        <f>_xlfn.CONCAT(_xlfn.XLOOKUP("[S05_InherentCarbonTransferredDetail]["&amp;ROW(B1239)-ROW($B$1219)&amp;"][InstallationIdReceiving]",Submission!$O:$O,Submission!$H:$N,""))</f>
        <v>PL000000000000935</v>
      </c>
      <c r="F1239" s="124" t="str">
        <f>_xlfn.CONCAT(_xlfn.XLOOKUP("[S05_InherentCarbonTransferredDetail]["&amp;ROW(B1239)-ROW($B$1219)&amp;"][AmountCO2Transferred]",Submission!$O:$O,Submission!$H:$N,""))</f>
        <v>-5033.94</v>
      </c>
      <c r="G1239" s="124" t="str">
        <f>_xlfn.CONCAT(_xlfn.XLOOKUP("[S05_InherentCarbonTransferredDetail]["&amp;ROW(B1239)-ROW($B$1219)&amp;"][InherentCO2Received]",Submission!$O:$O,Submission!$H:$N,""))</f>
        <v>5033.94</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nd</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Transfer of inherent CO2 (Article 48)</v>
      </c>
      <c r="D1240" s="72" t="str">
        <f>_xlfn.CONCAT(_xlfn.XLOOKUP("[S05_InherentCarbonTransferredDetail]["&amp;ROW(B1240)-ROW($B$1219)&amp;"][InstallationIdTransferring]",Submission!$O:$O,Submission!$H:$N,""))</f>
        <v>PL000000000000653</v>
      </c>
      <c r="E1240" s="72" t="str">
        <f>_xlfn.CONCAT(_xlfn.XLOOKUP("[S05_InherentCarbonTransferredDetail]["&amp;ROW(B1240)-ROW($B$1219)&amp;"][InstallationIdReceiving]",Submission!$O:$O,Submission!$H:$N,""))</f>
        <v>PL000000000000935</v>
      </c>
      <c r="F1240" s="124" t="str">
        <f>_xlfn.CONCAT(_xlfn.XLOOKUP("[S05_InherentCarbonTransferredDetail]["&amp;ROW(B1240)-ROW($B$1219)&amp;"][AmountCO2Transferred]",Submission!$O:$O,Submission!$H:$N,""))</f>
        <v>-5095.66</v>
      </c>
      <c r="G1240" s="124" t="str">
        <f>_xlfn.CONCAT(_xlfn.XLOOKUP("[S05_InherentCarbonTransferredDetail]["&amp;ROW(B1240)-ROW($B$1219)&amp;"][InherentCO2Received]",Submission!$O:$O,Submission!$H:$N,""))</f>
        <v>5095.66</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nd</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Transfer of inherent CO2 (Article 48)</v>
      </c>
      <c r="D1241" s="72" t="str">
        <f>_xlfn.CONCAT(_xlfn.XLOOKUP("[S05_InherentCarbonTransferredDetail]["&amp;ROW(B1241)-ROW($B$1219)&amp;"][InstallationIdTransferring]",Submission!$O:$O,Submission!$H:$N,""))</f>
        <v>PL000000000000653</v>
      </c>
      <c r="E1241" s="72" t="str">
        <f>_xlfn.CONCAT(_xlfn.XLOOKUP("[S05_InherentCarbonTransferredDetail]["&amp;ROW(B1241)-ROW($B$1219)&amp;"][InstallationIdReceiving]",Submission!$O:$O,Submission!$H:$N,""))</f>
        <v>PL000000000207262</v>
      </c>
      <c r="F1241" s="124" t="str">
        <f>_xlfn.CONCAT(_xlfn.XLOOKUP("[S05_InherentCarbonTransferredDetail]["&amp;ROW(B1241)-ROW($B$1219)&amp;"][AmountCO2Transferred]",Submission!$O:$O,Submission!$H:$N,""))</f>
        <v>-14080.51</v>
      </c>
      <c r="G1241" s="124" t="str">
        <f>_xlfn.CONCAT(_xlfn.XLOOKUP("[S05_InherentCarbonTransferredDetail]["&amp;ROW(B1241)-ROW($B$1219)&amp;"][InherentCO2Received]",Submission!$O:$O,Submission!$H:$N,""))</f>
        <v>14080.51</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nd</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Transfer of inherent CO2 (Article 48)</v>
      </c>
      <c r="D1242" s="72" t="str">
        <f>_xlfn.CONCAT(_xlfn.XLOOKUP("[S05_InherentCarbonTransferredDetail]["&amp;ROW(B1242)-ROW($B$1219)&amp;"][InstallationIdTransferring]",Submission!$O:$O,Submission!$H:$N,""))</f>
        <v>PL000000000000653</v>
      </c>
      <c r="E1242" s="72" t="str">
        <f>_xlfn.CONCAT(_xlfn.XLOOKUP("[S05_InherentCarbonTransferredDetail]["&amp;ROW(B1242)-ROW($B$1219)&amp;"][InstallationIdReceiving]",Submission!$O:$O,Submission!$H:$N,""))</f>
        <v>PL000000000000031</v>
      </c>
      <c r="F1242" s="124" t="str">
        <f>_xlfn.CONCAT(_xlfn.XLOOKUP("[S05_InherentCarbonTransferredDetail]["&amp;ROW(B1242)-ROW($B$1219)&amp;"][AmountCO2Transferred]",Submission!$O:$O,Submission!$H:$N,""))</f>
        <v>-843.2</v>
      </c>
      <c r="G1242" s="124" t="str">
        <f>_xlfn.CONCAT(_xlfn.XLOOKUP("[S05_InherentCarbonTransferredDetail]["&amp;ROW(B1242)-ROW($B$1219)&amp;"][InherentCO2Received]",Submission!$O:$O,Submission!$H:$N,""))</f>
        <v>861.84</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nd</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Transfer of inherent CO2 (Article 48)</v>
      </c>
      <c r="D1243" s="72" t="str">
        <f>_xlfn.CONCAT(_xlfn.XLOOKUP("[S05_InherentCarbonTransferredDetail]["&amp;ROW(B1243)-ROW($B$1219)&amp;"][InstallationIdTransferring]",Submission!$O:$O,Submission!$H:$N,""))</f>
        <v>PL000000000000886</v>
      </c>
      <c r="E1243" s="72" t="str">
        <f>_xlfn.CONCAT(_xlfn.XLOOKUP("[S05_InherentCarbonTransferredDetail]["&amp;ROW(B1243)-ROW($B$1219)&amp;"][InstallationIdReceiving]",Submission!$O:$O,Submission!$H:$N,""))</f>
        <v>PL000000000000375</v>
      </c>
      <c r="F1243" s="124" t="str">
        <f>_xlfn.CONCAT(_xlfn.XLOOKUP("[S05_InherentCarbonTransferredDetail]["&amp;ROW(B1243)-ROW($B$1219)&amp;"][AmountCO2Transferred]",Submission!$O:$O,Submission!$H:$N,""))</f>
        <v>-6891.36</v>
      </c>
      <c r="G1243" s="124" t="str">
        <f>_xlfn.CONCAT(_xlfn.XLOOKUP("[S05_InherentCarbonTransferredDetail]["&amp;ROW(B1243)-ROW($B$1219)&amp;"][InherentCO2Received]",Submission!$O:$O,Submission!$H:$N,""))</f>
        <v>6891.36</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nd</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Transfer of inherent CO2 (Article 48)</v>
      </c>
      <c r="D1244" s="72" t="str">
        <f>_xlfn.CONCAT(_xlfn.XLOOKUP("[S05_InherentCarbonTransferredDetail]["&amp;ROW(B1244)-ROW($B$1219)&amp;"][InstallationIdTransferring]",Submission!$O:$O,Submission!$H:$N,""))</f>
        <v>PL000000000000886</v>
      </c>
      <c r="E1244" s="72" t="str">
        <f>_xlfn.CONCAT(_xlfn.XLOOKUP("[S05_InherentCarbonTransferredDetail]["&amp;ROW(B1244)-ROW($B$1219)&amp;"][InstallationIdReceiving]",Submission!$O:$O,Submission!$H:$N,""))</f>
        <v>PL000000000000375</v>
      </c>
      <c r="F1244" s="124" t="str">
        <f>_xlfn.CONCAT(_xlfn.XLOOKUP("[S05_InherentCarbonTransferredDetail]["&amp;ROW(B1244)-ROW($B$1219)&amp;"][AmountCO2Transferred]",Submission!$O:$O,Submission!$H:$N,""))</f>
        <v>-3579.68</v>
      </c>
      <c r="G1244" s="124" t="str">
        <f>_xlfn.CONCAT(_xlfn.XLOOKUP("[S05_InherentCarbonTransferredDetail]["&amp;ROW(B1244)-ROW($B$1219)&amp;"][InherentCO2Received]",Submission!$O:$O,Submission!$H:$N,""))</f>
        <v>3579.68</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nd</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Transfer of inherent CO2 (Article 48)</v>
      </c>
      <c r="D1245" s="72" t="str">
        <f>_xlfn.CONCAT(_xlfn.XLOOKUP("[S05_InherentCarbonTransferredDetail]["&amp;ROW(B1245)-ROW($B$1219)&amp;"][InstallationIdTransferring]",Submission!$O:$O,Submission!$H:$N,""))</f>
        <v>PL000000000000886</v>
      </c>
      <c r="E1245" s="72" t="str">
        <f>_xlfn.CONCAT(_xlfn.XLOOKUP("[S05_InherentCarbonTransferredDetail]["&amp;ROW(B1245)-ROW($B$1219)&amp;"][InstallationIdReceiving]",Submission!$O:$O,Submission!$H:$N,""))</f>
        <v>PL000000000000887</v>
      </c>
      <c r="F1245" s="124" t="str">
        <f>_xlfn.CONCAT(_xlfn.XLOOKUP("[S05_InherentCarbonTransferredDetail]["&amp;ROW(B1245)-ROW($B$1219)&amp;"][AmountCO2Transferred]",Submission!$O:$O,Submission!$H:$N,""))</f>
        <v>-1394.49</v>
      </c>
      <c r="G1245" s="124" t="str">
        <f>_xlfn.CONCAT(_xlfn.XLOOKUP("[S05_InherentCarbonTransferredDetail]["&amp;ROW(B1245)-ROW($B$1219)&amp;"][InherentCO2Received]",Submission!$O:$O,Submission!$H:$N,""))</f>
        <v>1394.49</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nd</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Transfer of inherent CO2 (Article 48)</v>
      </c>
      <c r="D1246" s="72" t="str">
        <f>_xlfn.CONCAT(_xlfn.XLOOKUP("[S05_InherentCarbonTransferredDetail]["&amp;ROW(B1246)-ROW($B$1219)&amp;"][InstallationIdTransferring]",Submission!$O:$O,Submission!$H:$N,""))</f>
        <v>PL000000000000886</v>
      </c>
      <c r="E1246" s="72" t="str">
        <f>_xlfn.CONCAT(_xlfn.XLOOKUP("[S05_InherentCarbonTransferredDetail]["&amp;ROW(B1246)-ROW($B$1219)&amp;"][InstallationIdReceiving]",Submission!$O:$O,Submission!$H:$N,""))</f>
        <v>PL000000000000897</v>
      </c>
      <c r="F1246" s="124" t="str">
        <f>_xlfn.CONCAT(_xlfn.XLOOKUP("[S05_InherentCarbonTransferredDetail]["&amp;ROW(B1246)-ROW($B$1219)&amp;"][AmountCO2Transferred]",Submission!$O:$O,Submission!$H:$N,""))</f>
        <v>-19935.14</v>
      </c>
      <c r="G1246" s="124" t="str">
        <f>_xlfn.CONCAT(_xlfn.XLOOKUP("[S05_InherentCarbonTransferredDetail]["&amp;ROW(B1246)-ROW($B$1219)&amp;"][InherentCO2Received]",Submission!$O:$O,Submission!$H:$N,""))</f>
        <v>19935.14</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nd</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Transfer of inherent CO2 (Article 48)</v>
      </c>
      <c r="D1247" s="72" t="str">
        <f>_xlfn.CONCAT(_xlfn.XLOOKUP("[S05_InherentCarbonTransferredDetail]["&amp;ROW(B1247)-ROW($B$1219)&amp;"][InstallationIdTransferring]",Submission!$O:$O,Submission!$H:$N,""))</f>
        <v>PL000000000000886</v>
      </c>
      <c r="E1247" s="72" t="str">
        <f>_xlfn.CONCAT(_xlfn.XLOOKUP("[S05_InherentCarbonTransferredDetail]["&amp;ROW(B1247)-ROW($B$1219)&amp;"][InstallationIdReceiving]",Submission!$O:$O,Submission!$H:$N,""))</f>
        <v>PL000000000000887</v>
      </c>
      <c r="F1247" s="124" t="str">
        <f>_xlfn.CONCAT(_xlfn.XLOOKUP("[S05_InherentCarbonTransferredDetail]["&amp;ROW(B1247)-ROW($B$1219)&amp;"][AmountCO2Transferred]",Submission!$O:$O,Submission!$H:$N,""))</f>
        <v>-698.65</v>
      </c>
      <c r="G1247" s="124" t="str">
        <f>_xlfn.CONCAT(_xlfn.XLOOKUP("[S05_InherentCarbonTransferredDetail]["&amp;ROW(B1247)-ROW($B$1219)&amp;"][InherentCO2Received]",Submission!$O:$O,Submission!$H:$N,""))</f>
        <v>698.65</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nd</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Transfer of inherent CO2 (Article 48)</v>
      </c>
      <c r="D1248" s="72" t="str">
        <f>_xlfn.CONCAT(_xlfn.XLOOKUP("[S05_InherentCarbonTransferredDetail]["&amp;ROW(B1248)-ROW($B$1219)&amp;"][InstallationIdTransferring]",Submission!$O:$O,Submission!$H:$N,""))</f>
        <v>PL000000000000886</v>
      </c>
      <c r="E1248" s="72" t="str">
        <f>_xlfn.CONCAT(_xlfn.XLOOKUP("[S05_InherentCarbonTransferredDetail]["&amp;ROW(B1248)-ROW($B$1219)&amp;"][InstallationIdReceiving]",Submission!$O:$O,Submission!$H:$N,""))</f>
        <v>PL000000000000897</v>
      </c>
      <c r="F1248" s="124" t="str">
        <f>_xlfn.CONCAT(_xlfn.XLOOKUP("[S05_InherentCarbonTransferredDetail]["&amp;ROW(B1248)-ROW($B$1219)&amp;"][AmountCO2Transferred]",Submission!$O:$O,Submission!$H:$N,""))</f>
        <v>-20469.36</v>
      </c>
      <c r="G1248" s="124" t="str">
        <f>_xlfn.CONCAT(_xlfn.XLOOKUP("[S05_InherentCarbonTransferredDetail]["&amp;ROW(B1248)-ROW($B$1219)&amp;"][InherentCO2Received]",Submission!$O:$O,Submission!$H:$N,""))</f>
        <v>20469.36</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nd</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Transfer of inherent CO2 (Article 48)</v>
      </c>
      <c r="D1249" s="72" t="str">
        <f>_xlfn.CONCAT(_xlfn.XLOOKUP("[S05_InherentCarbonTransferredDetail]["&amp;ROW(B1249)-ROW($B$1219)&amp;"][InstallationIdTransferring]",Submission!$O:$O,Submission!$H:$N,""))</f>
        <v>PL000000000000886</v>
      </c>
      <c r="E1249" s="72" t="str">
        <f>_xlfn.CONCAT(_xlfn.XLOOKUP("[S05_InherentCarbonTransferredDetail]["&amp;ROW(B1249)-ROW($B$1219)&amp;"][InstallationIdReceiving]",Submission!$O:$O,Submission!$H:$N,""))</f>
        <v>PL000000000000031</v>
      </c>
      <c r="F1249" s="124" t="str">
        <f>_xlfn.CONCAT(_xlfn.XLOOKUP("[S05_InherentCarbonTransferredDetail]["&amp;ROW(B1249)-ROW($B$1219)&amp;"][AmountCO2Transferred]",Submission!$O:$O,Submission!$H:$N,""))</f>
        <v>-1375646.89</v>
      </c>
      <c r="G1249" s="124" t="str">
        <f>_xlfn.CONCAT(_xlfn.XLOOKUP("[S05_InherentCarbonTransferredDetail]["&amp;ROW(B1249)-ROW($B$1219)&amp;"][InherentCO2Received]",Submission!$O:$O,Submission!$H:$N,""))</f>
        <v>1375646.89</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nd</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Transfer of inherent CO2 (Article 48)</v>
      </c>
      <c r="D1250" s="72" t="str">
        <f>_xlfn.CONCAT(_xlfn.XLOOKUP("[S05_InherentCarbonTransferredDetail]["&amp;ROW(B1250)-ROW($B$1219)&amp;"][InstallationIdTransferring]",Submission!$O:$O,Submission!$H:$N,""))</f>
        <v>PL000000000203105</v>
      </c>
      <c r="E1250" s="72" t="str">
        <f>_xlfn.CONCAT(_xlfn.XLOOKUP("[S05_InherentCarbonTransferredDetail]["&amp;ROW(B1250)-ROW($B$1219)&amp;"][InstallationIdReceiving]",Submission!$O:$O,Submission!$H:$N,""))</f>
        <v>PL000000000000683</v>
      </c>
      <c r="F1250" s="124" t="str">
        <f>_xlfn.CONCAT(_xlfn.XLOOKUP("[S05_InherentCarbonTransferredDetail]["&amp;ROW(B1250)-ROW($B$1219)&amp;"][AmountCO2Transferred]",Submission!$O:$O,Submission!$H:$N,""))</f>
        <v>-116837.51</v>
      </c>
      <c r="G1250" s="124" t="str">
        <f>_xlfn.CONCAT(_xlfn.XLOOKUP("[S05_InherentCarbonTransferredDetail]["&amp;ROW(B1250)-ROW($B$1219)&amp;"][InherentCO2Received]",Submission!$O:$O,Submission!$H:$N,""))</f>
        <v>116837.51</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nd</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Transfer of inherent CO2 (Article 48)</v>
      </c>
      <c r="D1251" s="72" t="str">
        <f>_xlfn.CONCAT(_xlfn.XLOOKUP("[S05_InherentCarbonTransferredDetail]["&amp;ROW(B1251)-ROW($B$1219)&amp;"][InstallationIdTransferring]",Submission!$O:$O,Submission!$H:$N,""))</f>
        <v>PL000000000202510</v>
      </c>
      <c r="E1251" s="72" t="str">
        <f>_xlfn.CONCAT(_xlfn.XLOOKUP("[S05_InherentCarbonTransferredDetail]["&amp;ROW(B1251)-ROW($B$1219)&amp;"][InstallationIdReceiving]",Submission!$O:$O,Submission!$H:$N,""))</f>
        <v>PL000000000000289</v>
      </c>
      <c r="F1251" s="124" t="str">
        <f>_xlfn.CONCAT(_xlfn.XLOOKUP("[S05_InherentCarbonTransferredDetail]["&amp;ROW(B1251)-ROW($B$1219)&amp;"][AmountCO2Transferred]",Submission!$O:$O,Submission!$H:$N,""))</f>
        <v>-1164</v>
      </c>
      <c r="G1251" s="124" t="str">
        <f>_xlfn.CONCAT(_xlfn.XLOOKUP("[S05_InherentCarbonTransferredDetail]["&amp;ROW(B1251)-ROW($B$1219)&amp;"][InherentCO2Received]",Submission!$O:$O,Submission!$H:$N,""))</f>
        <v>1164</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nd</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1" t="s">
        <v>904</v>
      </c>
      <c r="D1318" s="362"/>
      <c r="E1318" s="362"/>
      <c r="F1318" s="362"/>
      <c r="G1318" s="362"/>
      <c r="H1318" s="362"/>
      <c r="I1318" s="362"/>
    </row>
    <row r="1319" spans="1:12" ht="15.9" customHeight="1" x14ac:dyDescent="0.3">
      <c r="B1319" s="16"/>
      <c r="C1319" s="282" t="s">
        <v>905</v>
      </c>
      <c r="D1319" s="283"/>
      <c r="E1319" s="283"/>
      <c r="F1319" s="283"/>
      <c r="G1319" s="283"/>
      <c r="H1319" s="283"/>
      <c r="I1319" s="283"/>
    </row>
    <row r="1320" spans="1:12" ht="28.2" customHeight="1" x14ac:dyDescent="0.3">
      <c r="B1320" s="16"/>
      <c r="C1320" s="282" t="s">
        <v>906</v>
      </c>
      <c r="D1320" s="387"/>
      <c r="E1320" s="387"/>
      <c r="F1320" s="387"/>
      <c r="G1320" s="387"/>
      <c r="H1320" s="387"/>
      <c r="I1320" s="387"/>
    </row>
    <row r="1321" spans="1:12" ht="29.4" customHeight="1" x14ac:dyDescent="0.3">
      <c r="B1321" s="16"/>
      <c r="C1321" s="282" t="s">
        <v>907</v>
      </c>
      <c r="D1321" s="387"/>
      <c r="E1321" s="387"/>
      <c r="F1321" s="387"/>
      <c r="G1321" s="387"/>
      <c r="H1321" s="387"/>
      <c r="I1321" s="387"/>
    </row>
    <row r="1322" spans="1:12" ht="28.2" customHeight="1" x14ac:dyDescent="0.3">
      <c r="B1322" s="16"/>
      <c r="C1322" s="282" t="s">
        <v>908</v>
      </c>
      <c r="D1322" s="282"/>
      <c r="E1322" s="282"/>
      <c r="F1322" s="282"/>
      <c r="G1322" s="282"/>
      <c r="H1322" s="282"/>
      <c r="I1322" s="282"/>
    </row>
    <row r="1323" spans="1:12" ht="15.9" customHeight="1" x14ac:dyDescent="0.3"/>
    <row r="1324" spans="1:12" ht="31.95" customHeight="1" x14ac:dyDescent="0.3">
      <c r="A1324" s="12" t="s">
        <v>283</v>
      </c>
      <c r="B1324" s="341" t="s">
        <v>909</v>
      </c>
      <c r="C1324" s="311"/>
      <c r="D1324" s="311"/>
      <c r="E1324" s="311"/>
      <c r="F1324" s="311"/>
      <c r="G1324" s="311"/>
      <c r="H1324" s="348"/>
      <c r="I1324" s="41" t="str">
        <f>_xlfn.CONCAT(_xlfn.XLOOKUP("[ContinuousEmissionsMeasurement][0][ContinuousEmissionsMeasurement]",Submission!$O:$O,Submission!$H:$N,""))</f>
        <v>Yes</v>
      </c>
    </row>
    <row r="1325" spans="1:12" s="58" customFormat="1" ht="36" customHeight="1" x14ac:dyDescent="0.3">
      <c r="A1325" s="57"/>
      <c r="B1325" s="267" t="s">
        <v>910</v>
      </c>
      <c r="C1325" s="268"/>
      <c r="D1325" s="268"/>
      <c r="E1325" s="268"/>
      <c r="F1325" s="268"/>
      <c r="G1325" s="268"/>
      <c r="H1325" s="268"/>
      <c r="I1325" s="268"/>
    </row>
    <row r="1326" spans="1:12" ht="46.95" customHeight="1" x14ac:dyDescent="0.3">
      <c r="B1326" s="23"/>
      <c r="C1326" s="320" t="s">
        <v>911</v>
      </c>
      <c r="D1326" s="321"/>
      <c r="E1326" s="320" t="s">
        <v>912</v>
      </c>
      <c r="F1326" s="321"/>
      <c r="G1326" s="46" t="s">
        <v>913</v>
      </c>
      <c r="H1326" s="46" t="s">
        <v>914</v>
      </c>
      <c r="I1326" s="46" t="s">
        <v>915</v>
      </c>
    </row>
    <row r="1327" spans="1:12" ht="15.9" customHeight="1" x14ac:dyDescent="0.3">
      <c r="A1327" s="13"/>
      <c r="B1327" s="23"/>
      <c r="C1327" s="261" t="str">
        <f>_xlfn.CONCAT(_xlfn.XLOOKUP("[S05_ContinuousEmissionsMeasurementDetail][1][InstallationIDCO2]",Submission!$O:$O,Submission!$H:$N,""))</f>
        <v/>
      </c>
      <c r="D1327" s="263"/>
      <c r="E1327" s="261" t="str">
        <f>_xlfn.CONCAT(_xlfn.XLOOKUP("[S05_ContinuousEmissionsMeasurementDetail][1][InstallationIDN2O]",Submission!$O:$O,Submission!$H:$N,""))</f>
        <v>PL000000000203087</v>
      </c>
      <c r="F1327" s="263"/>
      <c r="G1327" s="127" t="str">
        <f>_xlfn.CONCAT(_xlfn.XLOOKUP("[S05_ContinuousEmissionsMeasurementDetail][1][TotalEmissionsCO2E]",Submission!$O:$O,Submission!$H:$N,""))</f>
        <v>802555</v>
      </c>
      <c r="H1327" s="127" t="str">
        <f>_xlfn.CONCAT(_xlfn.XLOOKUP("[S05_ContinuousEmissionsMeasurementDetail][1][ContinuousMeasurementTotalEmissions]",Submission!$O:$O,Submission!$H:$N,""))</f>
        <v>28275.010421086</v>
      </c>
      <c r="I1327" s="72" t="str">
        <f>_xlfn.CONCAT(_xlfn.XLOOKUP("[S05_ContinuousEmissionsMeasurementDetail][1][FlueGasContainBiomass]",Submission!$O:$O,Submission!$H:$N,""))</f>
        <v>No</v>
      </c>
    </row>
    <row r="1328" spans="1:12" ht="15.9" customHeight="1" x14ac:dyDescent="0.3">
      <c r="A1328" s="13"/>
      <c r="B1328" s="23"/>
      <c r="C1328" s="261" t="str">
        <f>_xlfn.CONCAT(_xlfn.XLOOKUP("[S05_ContinuousEmissionsMeasurementDetail][2][InstallationIDCO2]",Submission!$O:$O,Submission!$H:$N,""))</f>
        <v/>
      </c>
      <c r="D1328" s="263"/>
      <c r="E1328" s="261" t="str">
        <f>_xlfn.CONCAT(_xlfn.XLOOKUP("[S05_ContinuousEmissionsMeasurementDetail][2][InstallationIDN2O]",Submission!$O:$O,Submission!$H:$N,""))</f>
        <v>PL000000000203087</v>
      </c>
      <c r="F1328" s="263"/>
      <c r="G1328" s="127" t="str">
        <f>_xlfn.CONCAT(_xlfn.XLOOKUP("[S05_ContinuousEmissionsMeasurementDetail][2][TotalEmissionsCO2E]",Submission!$O:$O,Submission!$H:$N,""))</f>
        <v>802555</v>
      </c>
      <c r="H1328" s="127" t="str">
        <f>_xlfn.CONCAT(_xlfn.XLOOKUP("[S05_ContinuousEmissionsMeasurementDetail][2][ContinuousMeasurementTotalEmissions]",Submission!$O:$O,Submission!$H:$N,""))</f>
        <v>114700.306724111</v>
      </c>
      <c r="I1328" s="72" t="str">
        <f>_xlfn.CONCAT(_xlfn.XLOOKUP("[S05_ContinuousEmissionsMeasurementDetail][2][FlueGasContainBiomass]",Submission!$O:$O,Submission!$H:$N,""))</f>
        <v>No</v>
      </c>
    </row>
    <row r="1329" spans="1:9" ht="15.9" customHeight="1" x14ac:dyDescent="0.3">
      <c r="A1329" s="13"/>
      <c r="B1329" s="23"/>
      <c r="C1329" s="261" t="str">
        <f>_xlfn.CONCAT(_xlfn.XLOOKUP("[S05_ContinuousEmissionsMeasurementDetail][3][InstallationIDCO2]",Submission!$O:$O,Submission!$H:$N,""))</f>
        <v/>
      </c>
      <c r="D1329" s="263"/>
      <c r="E1329" s="261" t="str">
        <f>_xlfn.CONCAT(_xlfn.XLOOKUP("[S05_ContinuousEmissionsMeasurementDetail][3][InstallationIDN2O]",Submission!$O:$O,Submission!$H:$N,""))</f>
        <v>PL000000000202510</v>
      </c>
      <c r="F1329" s="263"/>
      <c r="G1329" s="127" t="str">
        <f>_xlfn.CONCAT(_xlfn.XLOOKUP("[S05_ContinuousEmissionsMeasurementDetail][3][TotalEmissionsCO2E]",Submission!$O:$O,Submission!$H:$N,""))</f>
        <v>2251769</v>
      </c>
      <c r="H1329" s="127" t="str">
        <f>_xlfn.CONCAT(_xlfn.XLOOKUP("[S05_ContinuousEmissionsMeasurementDetail][3][ContinuousMeasurementTotalEmissions]",Submission!$O:$O,Submission!$H:$N,""))</f>
        <v>47166.9879911421</v>
      </c>
      <c r="I1329" s="72" t="str">
        <f>_xlfn.CONCAT(_xlfn.XLOOKUP("[S05_ContinuousEmissionsMeasurementDetail][3][FlueGasContainBiomass]",Submission!$O:$O,Submission!$H:$N,""))</f>
        <v>No</v>
      </c>
    </row>
    <row r="1330" spans="1:9" ht="15.9" customHeight="1" x14ac:dyDescent="0.3">
      <c r="A1330" s="13"/>
      <c r="B1330" s="23"/>
      <c r="C1330" s="261" t="str">
        <f>_xlfn.CONCAT(_xlfn.XLOOKUP("[S05_ContinuousEmissionsMeasurementDetail][4][InstallationIDCO2]",Submission!$O:$O,Submission!$H:$N,""))</f>
        <v/>
      </c>
      <c r="D1330" s="263"/>
      <c r="E1330" s="261" t="str">
        <f>_xlfn.CONCAT(_xlfn.XLOOKUP("[S05_ContinuousEmissionsMeasurementDetail][4][InstallationIDN2O]",Submission!$O:$O,Submission!$H:$N,""))</f>
        <v>PL000000000202510</v>
      </c>
      <c r="F1330" s="263"/>
      <c r="G1330" s="127" t="str">
        <f>_xlfn.CONCAT(_xlfn.XLOOKUP("[S05_ContinuousEmissionsMeasurementDetail][4][TotalEmissionsCO2E]",Submission!$O:$O,Submission!$H:$N,""))</f>
        <v>2251769</v>
      </c>
      <c r="H1330" s="127" t="str">
        <f>_xlfn.CONCAT(_xlfn.XLOOKUP("[S05_ContinuousEmissionsMeasurementDetail][4][ContinuousMeasurementTotalEmissions]",Submission!$O:$O,Submission!$H:$N,""))</f>
        <v>89564.1461298633</v>
      </c>
      <c r="I1330" s="72" t="str">
        <f>_xlfn.CONCAT(_xlfn.XLOOKUP("[S05_ContinuousEmissionsMeasurementDetail][4][FlueGasContainBiomass]",Submission!$O:$O,Submission!$H:$N,""))</f>
        <v>No</v>
      </c>
    </row>
    <row r="1331" spans="1:9" ht="15.9" customHeight="1" x14ac:dyDescent="0.3">
      <c r="A1331" s="13"/>
      <c r="B1331" s="23"/>
      <c r="C1331" s="261" t="str">
        <f>_xlfn.CONCAT(_xlfn.XLOOKUP("[S05_ContinuousEmissionsMeasurementDetail][5][InstallationIDCO2]",Submission!$O:$O,Submission!$H:$N,""))</f>
        <v/>
      </c>
      <c r="D1331" s="263"/>
      <c r="E1331" s="261" t="str">
        <f>_xlfn.CONCAT(_xlfn.XLOOKUP("[S05_ContinuousEmissionsMeasurementDetail][5][InstallationIDN2O]",Submission!$O:$O,Submission!$H:$N,""))</f>
        <v>PL000000000202510</v>
      </c>
      <c r="F1331" s="263"/>
      <c r="G1331" s="127" t="str">
        <f>_xlfn.CONCAT(_xlfn.XLOOKUP("[S05_ContinuousEmissionsMeasurementDetail][5][TotalEmissionsCO2E]",Submission!$O:$O,Submission!$H:$N,""))</f>
        <v>2251769</v>
      </c>
      <c r="H1331" s="127" t="str">
        <f>_xlfn.CONCAT(_xlfn.XLOOKUP("[S05_ContinuousEmissionsMeasurementDetail][5][ContinuousMeasurementTotalEmissions]",Submission!$O:$O,Submission!$H:$N,""))</f>
        <v>45268.4673800013</v>
      </c>
      <c r="I1331" s="72" t="str">
        <f>_xlfn.CONCAT(_xlfn.XLOOKUP("[S05_ContinuousEmissionsMeasurementDetail][5][FlueGasContainBiomass]",Submission!$O:$O,Submission!$H:$N,""))</f>
        <v>No</v>
      </c>
    </row>
    <row r="1332" spans="1:9" ht="15.9" customHeight="1" x14ac:dyDescent="0.3">
      <c r="A1332" s="13"/>
      <c r="B1332" s="23"/>
      <c r="C1332" s="261" t="str">
        <f>_xlfn.CONCAT(_xlfn.XLOOKUP("[S05_ContinuousEmissionsMeasurementDetail][6][InstallationIDCO2]",Submission!$O:$O,Submission!$H:$N,""))</f>
        <v/>
      </c>
      <c r="D1332" s="263"/>
      <c r="E1332" s="261" t="str">
        <f>_xlfn.CONCAT(_xlfn.XLOOKUP("[S05_ContinuousEmissionsMeasurementDetail][6][InstallationIDN2O]",Submission!$O:$O,Submission!$H:$N,""))</f>
        <v>PL000000000202510</v>
      </c>
      <c r="F1332" s="263"/>
      <c r="G1332" s="127" t="str">
        <f>_xlfn.CONCAT(_xlfn.XLOOKUP("[S05_ContinuousEmissionsMeasurementDetail][6][TotalEmissionsCO2E]",Submission!$O:$O,Submission!$H:$N,""))</f>
        <v>2251769</v>
      </c>
      <c r="H1332" s="127" t="str">
        <f>_xlfn.CONCAT(_xlfn.XLOOKUP("[S05_ContinuousEmissionsMeasurementDetail][6][ContinuousMeasurementTotalEmissions]",Submission!$O:$O,Submission!$H:$N,""))</f>
        <v>47396.0036714582</v>
      </c>
      <c r="I1332" s="72" t="str">
        <f>_xlfn.CONCAT(_xlfn.XLOOKUP("[S05_ContinuousEmissionsMeasurementDetail][6][FlueGasContainBiomass]",Submission!$O:$O,Submission!$H:$N,""))</f>
        <v>No</v>
      </c>
    </row>
    <row r="1333" spans="1:9" ht="15.9" customHeight="1" x14ac:dyDescent="0.3">
      <c r="A1333" s="13"/>
      <c r="B1333" s="23"/>
      <c r="C1333" s="261" t="str">
        <f>_xlfn.CONCAT(_xlfn.XLOOKUP("[S05_ContinuousEmissionsMeasurementDetail][7][InstallationIDCO2]",Submission!$O:$O,Submission!$H:$N,""))</f>
        <v/>
      </c>
      <c r="D1333" s="263"/>
      <c r="E1333" s="261" t="str">
        <f>_xlfn.CONCAT(_xlfn.XLOOKUP("[S05_ContinuousEmissionsMeasurementDetail][7][InstallationIDN2O]",Submission!$O:$O,Submission!$H:$N,""))</f>
        <v>PL000000000203112</v>
      </c>
      <c r="F1333" s="263"/>
      <c r="G1333" s="127" t="str">
        <f>_xlfn.CONCAT(_xlfn.XLOOKUP("[S05_ContinuousEmissionsMeasurementDetail][7][TotalEmissionsCO2E]",Submission!$O:$O,Submission!$H:$N,""))</f>
        <v>423138</v>
      </c>
      <c r="H1333" s="127" t="str">
        <f>_xlfn.CONCAT(_xlfn.XLOOKUP("[S05_ContinuousEmissionsMeasurementDetail][7][ContinuousMeasurementTotalEmissions]",Submission!$O:$O,Submission!$H:$N,""))</f>
        <v>18001.7482960469</v>
      </c>
      <c r="I1333" s="72" t="str">
        <f>_xlfn.CONCAT(_xlfn.XLOOKUP("[S05_ContinuousEmissionsMeasurementDetail][7][FlueGasContainBiomass]",Submission!$O:$O,Submission!$H:$N,""))</f>
        <v>No</v>
      </c>
    </row>
    <row r="1334" spans="1:9" ht="15.9" customHeight="1" x14ac:dyDescent="0.3">
      <c r="A1334" s="13"/>
      <c r="B1334" s="23"/>
      <c r="C1334" s="261" t="str">
        <f>_xlfn.CONCAT(_xlfn.XLOOKUP("[S05_ContinuousEmissionsMeasurementDetail][8][InstallationIDCO2]",Submission!$O:$O,Submission!$H:$N,""))</f>
        <v/>
      </c>
      <c r="D1334" s="263"/>
      <c r="E1334" s="261" t="str">
        <f>_xlfn.CONCAT(_xlfn.XLOOKUP("[S05_ContinuousEmissionsMeasurementDetail][8][InstallationIDN2O]",Submission!$O:$O,Submission!$H:$N,""))</f>
        <v>PL000000000202698</v>
      </c>
      <c r="F1334" s="263"/>
      <c r="G1334" s="127" t="str">
        <f>_xlfn.CONCAT(_xlfn.XLOOKUP("[S05_ContinuousEmissionsMeasurementDetail][8][TotalEmissionsCO2E]",Submission!$O:$O,Submission!$H:$N,""))</f>
        <v>72522</v>
      </c>
      <c r="H1334" s="127" t="str">
        <f>_xlfn.CONCAT(_xlfn.XLOOKUP("[S05_ContinuousEmissionsMeasurementDetail][8][ContinuousMeasurementTotalEmissions]",Submission!$O:$O,Submission!$H:$N,""))</f>
        <v>33960.0234535001</v>
      </c>
      <c r="I1334" s="72" t="str">
        <f>_xlfn.CONCAT(_xlfn.XLOOKUP("[S05_ContinuousEmissionsMeasurementDetail][8][FlueGasContainBiomass]",Submission!$O:$O,Submission!$H:$N,""))</f>
        <v>No</v>
      </c>
    </row>
    <row r="1335" spans="1:9" ht="15.9" hidden="1" customHeight="1" outlineLevel="1" x14ac:dyDescent="0.3">
      <c r="A1335" s="13"/>
      <c r="B1335" s="23"/>
      <c r="C1335" s="261" t="str">
        <f>_xlfn.CONCAT(_xlfn.XLOOKUP("[S05_ContinuousEmissionsMeasurementDetail][9][InstallationIDCO2]",Submission!$O:$O,Submission!$H:$N,""))</f>
        <v/>
      </c>
      <c r="D1335" s="263"/>
      <c r="E1335" s="261" t="str">
        <f>_xlfn.CONCAT(_xlfn.XLOOKUP("[S05_ContinuousEmissionsMeasurementDetail][9][InstallationIDN2O]",Submission!$O:$O,Submission!$H:$N,""))</f>
        <v>PL000000000202698</v>
      </c>
      <c r="F1335" s="263"/>
      <c r="G1335" s="127" t="str">
        <f>_xlfn.CONCAT(_xlfn.XLOOKUP("[S05_ContinuousEmissionsMeasurementDetail][9][TotalEmissionsCO2E]",Submission!$O:$O,Submission!$H:$N,""))</f>
        <v>72522</v>
      </c>
      <c r="H1335" s="127" t="str">
        <f>_xlfn.CONCAT(_xlfn.XLOOKUP("[S05_ContinuousEmissionsMeasurementDetail][9][ContinuousMeasurementTotalEmissions]",Submission!$O:$O,Submission!$H:$N,""))</f>
        <v>38562.2865095001</v>
      </c>
      <c r="I1335" s="72" t="str">
        <f>_xlfn.CONCAT(_xlfn.XLOOKUP("[S05_ContinuousEmissionsMeasurementDetail][9][FlueGasContainBiomass]",Submission!$O:$O,Submission!$H:$N,""))</f>
        <v>No</v>
      </c>
    </row>
    <row r="1336" spans="1:9" ht="15.9" hidden="1" customHeight="1" outlineLevel="1" x14ac:dyDescent="0.3">
      <c r="A1336" s="13"/>
      <c r="B1336" s="23"/>
      <c r="C1336" s="261" t="str">
        <f>_xlfn.CONCAT(_xlfn.XLOOKUP("[S05_ContinuousEmissionsMeasurementDetail][10][InstallationIDCO2]",Submission!$O:$O,Submission!$H:$N,""))</f>
        <v/>
      </c>
      <c r="D1336" s="263"/>
      <c r="E1336" s="261" t="str">
        <f>_xlfn.CONCAT(_xlfn.XLOOKUP("[S05_ContinuousEmissionsMeasurementDetail][10][InstallationIDN2O]",Submission!$O:$O,Submission!$H:$N,""))</f>
        <v/>
      </c>
      <c r="F1336" s="263"/>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61" t="str">
        <f>_xlfn.CONCAT(_xlfn.XLOOKUP("[S05_ContinuousEmissionsMeasurementDetail][11][InstallationIDCO2]",Submission!$O:$O,Submission!$H:$N,""))</f>
        <v/>
      </c>
      <c r="D1337" s="263"/>
      <c r="E1337" s="261" t="str">
        <f>_xlfn.CONCAT(_xlfn.XLOOKUP("[S05_ContinuousEmissionsMeasurementDetail][11][InstallationIDN2O]",Submission!$O:$O,Submission!$H:$N,""))</f>
        <v/>
      </c>
      <c r="F1337" s="263"/>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61" t="str">
        <f>_xlfn.CONCAT(_xlfn.XLOOKUP("[S05_ContinuousEmissionsMeasurementDetail][12][InstallationIDCO2]",Submission!$O:$O,Submission!$H:$N,""))</f>
        <v/>
      </c>
      <c r="D1338" s="263"/>
      <c r="E1338" s="261" t="str">
        <f>_xlfn.CONCAT(_xlfn.XLOOKUP("[S05_ContinuousEmissionsMeasurementDetail][12][InstallationIDN2O]",Submission!$O:$O,Submission!$H:$N,""))</f>
        <v/>
      </c>
      <c r="F1338" s="263"/>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61" t="str">
        <f>_xlfn.CONCAT(_xlfn.XLOOKUP("[S05_ContinuousEmissionsMeasurementDetail][13][InstallationIDCO2]",Submission!$O:$O,Submission!$H:$N,""))</f>
        <v/>
      </c>
      <c r="D1339" s="263"/>
      <c r="E1339" s="261" t="str">
        <f>_xlfn.CONCAT(_xlfn.XLOOKUP("[S05_ContinuousEmissionsMeasurementDetail][13][InstallationIDN2O]",Submission!$O:$O,Submission!$H:$N,""))</f>
        <v/>
      </c>
      <c r="F1339" s="263"/>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61" t="str">
        <f>_xlfn.CONCAT(_xlfn.XLOOKUP("[S05_ContinuousEmissionsMeasurementDetail][14][InstallationIDCO2]",Submission!$O:$O,Submission!$H:$N,""))</f>
        <v/>
      </c>
      <c r="D1340" s="263"/>
      <c r="E1340" s="261" t="str">
        <f>_xlfn.CONCAT(_xlfn.XLOOKUP("[S05_ContinuousEmissionsMeasurementDetail][14][InstallationIDN2O]",Submission!$O:$O,Submission!$H:$N,""))</f>
        <v/>
      </c>
      <c r="F1340" s="263"/>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61" t="str">
        <f>_xlfn.CONCAT(_xlfn.XLOOKUP("[S05_ContinuousEmissionsMeasurementDetail][15][InstallationIDCO2]",Submission!$O:$O,Submission!$H:$N,""))</f>
        <v/>
      </c>
      <c r="D1341" s="263"/>
      <c r="E1341" s="261" t="str">
        <f>_xlfn.CONCAT(_xlfn.XLOOKUP("[S05_ContinuousEmissionsMeasurementDetail][15][InstallationIDN2O]",Submission!$O:$O,Submission!$H:$N,""))</f>
        <v/>
      </c>
      <c r="F1341" s="263"/>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61" t="str">
        <f>_xlfn.CONCAT(_xlfn.XLOOKUP("[S05_ContinuousEmissionsMeasurementDetail][16][InstallationIDCO2]",Submission!$O:$O,Submission!$H:$N,""))</f>
        <v/>
      </c>
      <c r="D1342" s="263"/>
      <c r="E1342" s="261" t="str">
        <f>_xlfn.CONCAT(_xlfn.XLOOKUP("[S05_ContinuousEmissionsMeasurementDetail][16][InstallationIDN2O]",Submission!$O:$O,Submission!$H:$N,""))</f>
        <v/>
      </c>
      <c r="F1342" s="263"/>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61" t="str">
        <f>_xlfn.CONCAT(_xlfn.XLOOKUP("[S05_ContinuousEmissionsMeasurementDetail][17][InstallationIDCO2]",Submission!$O:$O,Submission!$H:$N,""))</f>
        <v/>
      </c>
      <c r="D1343" s="263"/>
      <c r="E1343" s="261" t="str">
        <f>_xlfn.CONCAT(_xlfn.XLOOKUP("[S05_ContinuousEmissionsMeasurementDetail][17][InstallationIDN2O]",Submission!$O:$O,Submission!$H:$N,""))</f>
        <v/>
      </c>
      <c r="F1343" s="263"/>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61" t="str">
        <f>_xlfn.CONCAT(_xlfn.XLOOKUP("[S05_ContinuousEmissionsMeasurementDetail][18][InstallationIDCO2]",Submission!$O:$O,Submission!$H:$N,""))</f>
        <v/>
      </c>
      <c r="D1344" s="263"/>
      <c r="E1344" s="261" t="str">
        <f>_xlfn.CONCAT(_xlfn.XLOOKUP("[S05_ContinuousEmissionsMeasurementDetail][18][InstallationIDN2O]",Submission!$O:$O,Submission!$H:$N,""))</f>
        <v/>
      </c>
      <c r="F1344" s="263"/>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61" t="str">
        <f>_xlfn.CONCAT(_xlfn.XLOOKUP("[S05_ContinuousEmissionsMeasurementDetail][19][InstallationIDCO2]",Submission!$O:$O,Submission!$H:$N,""))</f>
        <v/>
      </c>
      <c r="D1345" s="263"/>
      <c r="E1345" s="261" t="str">
        <f>_xlfn.CONCAT(_xlfn.XLOOKUP("[S05_ContinuousEmissionsMeasurementDetail][19][InstallationIDN2O]",Submission!$O:$O,Submission!$H:$N,""))</f>
        <v/>
      </c>
      <c r="F1345" s="263"/>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61" t="str">
        <f>_xlfn.CONCAT(_xlfn.XLOOKUP("[S05_ContinuousEmissionsMeasurementDetail][20][InstallationIDCO2]",Submission!$O:$O,Submission!$H:$N,""))</f>
        <v/>
      </c>
      <c r="D1346" s="263"/>
      <c r="E1346" s="261" t="str">
        <f>_xlfn.CONCAT(_xlfn.XLOOKUP("[S05_ContinuousEmissionsMeasurementDetail][20][InstallationIDN2O]",Submission!$O:$O,Submission!$H:$N,""))</f>
        <v/>
      </c>
      <c r="F1346" s="263"/>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61" t="str">
        <f>_xlfn.CONCAT(_xlfn.XLOOKUP("[S05_ContinuousEmissionsMeasurementDetail][21][InstallationIDCO2]",Submission!$O:$O,Submission!$H:$N,""))</f>
        <v/>
      </c>
      <c r="D1347" s="263"/>
      <c r="E1347" s="261" t="str">
        <f>_xlfn.CONCAT(_xlfn.XLOOKUP("[S05_ContinuousEmissionsMeasurementDetail][21][InstallationIDN2O]",Submission!$O:$O,Submission!$H:$N,""))</f>
        <v/>
      </c>
      <c r="F1347" s="263"/>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61" t="str">
        <f>_xlfn.CONCAT(_xlfn.XLOOKUP("[S05_ContinuousEmissionsMeasurementDetail][22][InstallationIDCO2]",Submission!$O:$O,Submission!$H:$N,""))</f>
        <v/>
      </c>
      <c r="D1348" s="263"/>
      <c r="E1348" s="261" t="str">
        <f>_xlfn.CONCAT(_xlfn.XLOOKUP("[S05_ContinuousEmissionsMeasurementDetail][22][InstallationIDN2O]",Submission!$O:$O,Submission!$H:$N,""))</f>
        <v/>
      </c>
      <c r="F1348" s="263"/>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61" t="str">
        <f>_xlfn.CONCAT(_xlfn.XLOOKUP("[S05_ContinuousEmissionsMeasurementDetail][23][InstallationIDCO2]",Submission!$O:$O,Submission!$H:$N,""))</f>
        <v/>
      </c>
      <c r="D1349" s="263"/>
      <c r="E1349" s="261" t="str">
        <f>_xlfn.CONCAT(_xlfn.XLOOKUP("[S05_ContinuousEmissionsMeasurementDetail][23][InstallationIDN2O]",Submission!$O:$O,Submission!$H:$N,""))</f>
        <v/>
      </c>
      <c r="F1349" s="263"/>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61" t="str">
        <f>_xlfn.CONCAT(_xlfn.XLOOKUP("[S05_ContinuousEmissionsMeasurementDetail][24][InstallationIDCO2]",Submission!$O:$O,Submission!$H:$N,""))</f>
        <v/>
      </c>
      <c r="D1350" s="263"/>
      <c r="E1350" s="261" t="str">
        <f>_xlfn.CONCAT(_xlfn.XLOOKUP("[S05_ContinuousEmissionsMeasurementDetail][24][InstallationIDN2O]",Submission!$O:$O,Submission!$H:$N,""))</f>
        <v/>
      </c>
      <c r="F1350" s="263"/>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61" t="str">
        <f>_xlfn.CONCAT(_xlfn.XLOOKUP("[S05_ContinuousEmissionsMeasurementDetail][25][InstallationIDCO2]",Submission!$O:$O,Submission!$H:$N,""))</f>
        <v/>
      </c>
      <c r="D1351" s="263"/>
      <c r="E1351" s="261" t="str">
        <f>_xlfn.CONCAT(_xlfn.XLOOKUP("[S05_ContinuousEmissionsMeasurementDetail][25][InstallationIDN2O]",Submission!$O:$O,Submission!$H:$N,""))</f>
        <v/>
      </c>
      <c r="F1351" s="263"/>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61" t="str">
        <f>_xlfn.CONCAT(_xlfn.XLOOKUP("[S05_ContinuousEmissionsMeasurementDetail][26][InstallationIDCO2]",Submission!$O:$O,Submission!$H:$N,""))</f>
        <v/>
      </c>
      <c r="D1352" s="263"/>
      <c r="E1352" s="261" t="str">
        <f>_xlfn.CONCAT(_xlfn.XLOOKUP("[S05_ContinuousEmissionsMeasurementDetail][26][InstallationIDN2O]",Submission!$O:$O,Submission!$H:$N,""))</f>
        <v/>
      </c>
      <c r="F1352" s="263"/>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61" t="str">
        <f>_xlfn.CONCAT(_xlfn.XLOOKUP("[S05_ContinuousEmissionsMeasurementDetail][27][InstallationIDCO2]",Submission!$O:$O,Submission!$H:$N,""))</f>
        <v/>
      </c>
      <c r="D1353" s="263"/>
      <c r="E1353" s="261" t="str">
        <f>_xlfn.CONCAT(_xlfn.XLOOKUP("[S05_ContinuousEmissionsMeasurementDetail][27][InstallationIDN2O]",Submission!$O:$O,Submission!$H:$N,""))</f>
        <v/>
      </c>
      <c r="F1353" s="263"/>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61" t="str">
        <f>_xlfn.CONCAT(_xlfn.XLOOKUP("[S05_ContinuousEmissionsMeasurementDetail][28][InstallationIDCO2]",Submission!$O:$O,Submission!$H:$N,""))</f>
        <v/>
      </c>
      <c r="D1354" s="263"/>
      <c r="E1354" s="261" t="str">
        <f>_xlfn.CONCAT(_xlfn.XLOOKUP("[S05_ContinuousEmissionsMeasurementDetail][28][InstallationIDN2O]",Submission!$O:$O,Submission!$H:$N,""))</f>
        <v/>
      </c>
      <c r="F1354" s="263"/>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61" t="str">
        <f>_xlfn.CONCAT(_xlfn.XLOOKUP("[S05_ContinuousEmissionsMeasurementDetail][29][InstallationIDCO2]",Submission!$O:$O,Submission!$H:$N,""))</f>
        <v/>
      </c>
      <c r="D1355" s="263"/>
      <c r="E1355" s="261" t="str">
        <f>_xlfn.CONCAT(_xlfn.XLOOKUP("[S05_ContinuousEmissionsMeasurementDetail][29][InstallationIDN2O]",Submission!$O:$O,Submission!$H:$N,""))</f>
        <v/>
      </c>
      <c r="F1355" s="263"/>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61" t="str">
        <f>_xlfn.CONCAT(_xlfn.XLOOKUP("[S05_ContinuousEmissionsMeasurementDetail][30][InstallationIDCO2]",Submission!$O:$O,Submission!$H:$N,""))</f>
        <v/>
      </c>
      <c r="D1356" s="263"/>
      <c r="E1356" s="261" t="str">
        <f>_xlfn.CONCAT(_xlfn.XLOOKUP("[S05_ContinuousEmissionsMeasurementDetail][30][InstallationIDN2O]",Submission!$O:$O,Submission!$H:$N,""))</f>
        <v/>
      </c>
      <c r="F1356" s="263"/>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61" t="str">
        <f>_xlfn.CONCAT(_xlfn.XLOOKUP("[S05_ContinuousEmissionsMeasurementDetail][31][InstallationIDCO2]",Submission!$O:$O,Submission!$H:$N,""))</f>
        <v/>
      </c>
      <c r="D1357" s="263"/>
      <c r="E1357" s="261" t="str">
        <f>_xlfn.CONCAT(_xlfn.XLOOKUP("[S05_ContinuousEmissionsMeasurementDetail][31][InstallationIDN2O]",Submission!$O:$O,Submission!$H:$N,""))</f>
        <v/>
      </c>
      <c r="F1357" s="263"/>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61" t="str">
        <f>_xlfn.CONCAT(_xlfn.XLOOKUP("[S05_ContinuousEmissionsMeasurementDetail][32][InstallationIDCO2]",Submission!$O:$O,Submission!$H:$N,""))</f>
        <v/>
      </c>
      <c r="D1358" s="263"/>
      <c r="E1358" s="261" t="str">
        <f>_xlfn.CONCAT(_xlfn.XLOOKUP("[S05_ContinuousEmissionsMeasurementDetail][32][InstallationIDN2O]",Submission!$O:$O,Submission!$H:$N,""))</f>
        <v/>
      </c>
      <c r="F1358" s="263"/>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61" t="str">
        <f>_xlfn.CONCAT(_xlfn.XLOOKUP("[S05_ContinuousEmissionsMeasurementDetail][33][InstallationIDCO2]",Submission!$O:$O,Submission!$H:$N,""))</f>
        <v/>
      </c>
      <c r="D1359" s="263"/>
      <c r="E1359" s="261" t="str">
        <f>_xlfn.CONCAT(_xlfn.XLOOKUP("[S05_ContinuousEmissionsMeasurementDetail][33][InstallationIDN2O]",Submission!$O:$O,Submission!$H:$N,""))</f>
        <v/>
      </c>
      <c r="F1359" s="263"/>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61" t="str">
        <f>_xlfn.CONCAT(_xlfn.XLOOKUP("[S05_ContinuousEmissionsMeasurementDetail][34][InstallationIDCO2]",Submission!$O:$O,Submission!$H:$N,""))</f>
        <v/>
      </c>
      <c r="D1360" s="263"/>
      <c r="E1360" s="261" t="str">
        <f>_xlfn.CONCAT(_xlfn.XLOOKUP("[S05_ContinuousEmissionsMeasurementDetail][34][InstallationIDN2O]",Submission!$O:$O,Submission!$H:$N,""))</f>
        <v/>
      </c>
      <c r="F1360" s="263"/>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61" t="str">
        <f>_xlfn.CONCAT(_xlfn.XLOOKUP("[S05_ContinuousEmissionsMeasurementDetail][35][InstallationIDCO2]",Submission!$O:$O,Submission!$H:$N,""))</f>
        <v/>
      </c>
      <c r="D1361" s="263"/>
      <c r="E1361" s="261" t="str">
        <f>_xlfn.CONCAT(_xlfn.XLOOKUP("[S05_ContinuousEmissionsMeasurementDetail][35][InstallationIDN2O]",Submission!$O:$O,Submission!$H:$N,""))</f>
        <v/>
      </c>
      <c r="F1361" s="263"/>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61" t="str">
        <f>_xlfn.CONCAT(_xlfn.XLOOKUP("[S05_ContinuousEmissionsMeasurementDetail][36][InstallationIDCO2]",Submission!$O:$O,Submission!$H:$N,""))</f>
        <v/>
      </c>
      <c r="D1362" s="263"/>
      <c r="E1362" s="261" t="str">
        <f>_xlfn.CONCAT(_xlfn.XLOOKUP("[S05_ContinuousEmissionsMeasurementDetail][36][InstallationIDN2O]",Submission!$O:$O,Submission!$H:$N,""))</f>
        <v/>
      </c>
      <c r="F1362" s="263"/>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61" t="str">
        <f>_xlfn.CONCAT(_xlfn.XLOOKUP("[S05_ContinuousEmissionsMeasurementDetail][37][InstallationIDCO2]",Submission!$O:$O,Submission!$H:$N,""))</f>
        <v/>
      </c>
      <c r="D1363" s="263"/>
      <c r="E1363" s="261" t="str">
        <f>_xlfn.CONCAT(_xlfn.XLOOKUP("[S05_ContinuousEmissionsMeasurementDetail][37][InstallationIDN2O]",Submission!$O:$O,Submission!$H:$N,""))</f>
        <v/>
      </c>
      <c r="F1363" s="263"/>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61" t="str">
        <f>_xlfn.CONCAT(_xlfn.XLOOKUP("[S05_ContinuousEmissionsMeasurementDetail][38][InstallationIDCO2]",Submission!$O:$O,Submission!$H:$N,""))</f>
        <v/>
      </c>
      <c r="D1364" s="263"/>
      <c r="E1364" s="261" t="str">
        <f>_xlfn.CONCAT(_xlfn.XLOOKUP("[S05_ContinuousEmissionsMeasurementDetail][38][InstallationIDN2O]",Submission!$O:$O,Submission!$H:$N,""))</f>
        <v/>
      </c>
      <c r="F1364" s="263"/>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61" t="str">
        <f>_xlfn.CONCAT(_xlfn.XLOOKUP("[S05_ContinuousEmissionsMeasurementDetail][39][InstallationIDCO2]",Submission!$O:$O,Submission!$H:$N,""))</f>
        <v/>
      </c>
      <c r="D1365" s="263"/>
      <c r="E1365" s="261" t="str">
        <f>_xlfn.CONCAT(_xlfn.XLOOKUP("[S05_ContinuousEmissionsMeasurementDetail][39][InstallationIDN2O]",Submission!$O:$O,Submission!$H:$N,""))</f>
        <v/>
      </c>
      <c r="F1365" s="263"/>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61" t="str">
        <f>_xlfn.CONCAT(_xlfn.XLOOKUP("[S05_ContinuousEmissionsMeasurementDetail][40][InstallationIDCO2]",Submission!$O:$O,Submission!$H:$N,""))</f>
        <v/>
      </c>
      <c r="D1366" s="263"/>
      <c r="E1366" s="261" t="str">
        <f>_xlfn.CONCAT(_xlfn.XLOOKUP("[S05_ContinuousEmissionsMeasurementDetail][40][InstallationIDN2O]",Submission!$O:$O,Submission!$H:$N,""))</f>
        <v/>
      </c>
      <c r="F1366" s="263"/>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61" t="str">
        <f>_xlfn.CONCAT(_xlfn.XLOOKUP("[S05_ContinuousEmissionsMeasurementDetail][41][InstallationIDCO2]",Submission!$O:$O,Submission!$H:$N,""))</f>
        <v/>
      </c>
      <c r="D1367" s="263"/>
      <c r="E1367" s="261" t="str">
        <f>_xlfn.CONCAT(_xlfn.XLOOKUP("[S05_ContinuousEmissionsMeasurementDetail][41][InstallationIDN2O]",Submission!$O:$O,Submission!$H:$N,""))</f>
        <v/>
      </c>
      <c r="F1367" s="263"/>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61" t="str">
        <f>_xlfn.CONCAT(_xlfn.XLOOKUP("[S05_ContinuousEmissionsMeasurementDetail][42][InstallationIDCO2]",Submission!$O:$O,Submission!$H:$N,""))</f>
        <v/>
      </c>
      <c r="D1368" s="263"/>
      <c r="E1368" s="261" t="str">
        <f>_xlfn.CONCAT(_xlfn.XLOOKUP("[S05_ContinuousEmissionsMeasurementDetail][42][InstallationIDN2O]",Submission!$O:$O,Submission!$H:$N,""))</f>
        <v/>
      </c>
      <c r="F1368" s="263"/>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61" t="str">
        <f>_xlfn.CONCAT(_xlfn.XLOOKUP("[S05_ContinuousEmissionsMeasurementDetail][43][InstallationIDCO2]",Submission!$O:$O,Submission!$H:$N,""))</f>
        <v/>
      </c>
      <c r="D1369" s="263"/>
      <c r="E1369" s="261" t="str">
        <f>_xlfn.CONCAT(_xlfn.XLOOKUP("[S05_ContinuousEmissionsMeasurementDetail][43][InstallationIDN2O]",Submission!$O:$O,Submission!$H:$N,""))</f>
        <v/>
      </c>
      <c r="F1369" s="263"/>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61" t="str">
        <f>_xlfn.CONCAT(_xlfn.XLOOKUP("[S05_ContinuousEmissionsMeasurementDetail][44][InstallationIDCO2]",Submission!$O:$O,Submission!$H:$N,""))</f>
        <v/>
      </c>
      <c r="D1370" s="263"/>
      <c r="E1370" s="261" t="str">
        <f>_xlfn.CONCAT(_xlfn.XLOOKUP("[S05_ContinuousEmissionsMeasurementDetail][44][InstallationIDN2O]",Submission!$O:$O,Submission!$H:$N,""))</f>
        <v/>
      </c>
      <c r="F1370" s="263"/>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61" t="str">
        <f>_xlfn.CONCAT(_xlfn.XLOOKUP("[S05_ContinuousEmissionsMeasurementDetail][45][InstallationIDCO2]",Submission!$O:$O,Submission!$H:$N,""))</f>
        <v/>
      </c>
      <c r="D1371" s="263"/>
      <c r="E1371" s="261" t="str">
        <f>_xlfn.CONCAT(_xlfn.XLOOKUP("[S05_ContinuousEmissionsMeasurementDetail][45][InstallationIDN2O]",Submission!$O:$O,Submission!$H:$N,""))</f>
        <v/>
      </c>
      <c r="F1371" s="263"/>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61" t="str">
        <f>_xlfn.CONCAT(_xlfn.XLOOKUP("[S05_ContinuousEmissionsMeasurementDetail][46][InstallationIDCO2]",Submission!$O:$O,Submission!$H:$N,""))</f>
        <v/>
      </c>
      <c r="D1372" s="263"/>
      <c r="E1372" s="261" t="str">
        <f>_xlfn.CONCAT(_xlfn.XLOOKUP("[S05_ContinuousEmissionsMeasurementDetail][46][InstallationIDN2O]",Submission!$O:$O,Submission!$H:$N,""))</f>
        <v/>
      </c>
      <c r="F1372" s="263"/>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61" t="str">
        <f>_xlfn.CONCAT(_xlfn.XLOOKUP("[S05_ContinuousEmissionsMeasurementDetail][47][InstallationIDCO2]",Submission!$O:$O,Submission!$H:$N,""))</f>
        <v/>
      </c>
      <c r="D1373" s="263"/>
      <c r="E1373" s="261" t="str">
        <f>_xlfn.CONCAT(_xlfn.XLOOKUP("[S05_ContinuousEmissionsMeasurementDetail][47][InstallationIDN2O]",Submission!$O:$O,Submission!$H:$N,""))</f>
        <v/>
      </c>
      <c r="F1373" s="263"/>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61" t="str">
        <f>_xlfn.CONCAT(_xlfn.XLOOKUP("[S05_ContinuousEmissionsMeasurementDetail][48][InstallationIDCO2]",Submission!$O:$O,Submission!$H:$N,""))</f>
        <v/>
      </c>
      <c r="D1374" s="263"/>
      <c r="E1374" s="261" t="str">
        <f>_xlfn.CONCAT(_xlfn.XLOOKUP("[S05_ContinuousEmissionsMeasurementDetail][48][InstallationIDN2O]",Submission!$O:$O,Submission!$H:$N,""))</f>
        <v/>
      </c>
      <c r="F1374" s="263"/>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61" t="str">
        <f>_xlfn.CONCAT(_xlfn.XLOOKUP("[S05_ContinuousEmissionsMeasurementDetail][49][InstallationIDCO2]",Submission!$O:$O,Submission!$H:$N,""))</f>
        <v/>
      </c>
      <c r="D1375" s="263"/>
      <c r="E1375" s="261" t="str">
        <f>_xlfn.CONCAT(_xlfn.XLOOKUP("[S05_ContinuousEmissionsMeasurementDetail][49][InstallationIDN2O]",Submission!$O:$O,Submission!$H:$N,""))</f>
        <v/>
      </c>
      <c r="F1375" s="263"/>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61" t="str">
        <f>_xlfn.CONCAT(_xlfn.XLOOKUP("[S05_ContinuousEmissionsMeasurementDetail][50][InstallationIDCO2]",Submission!$O:$O,Submission!$H:$N,""))</f>
        <v/>
      </c>
      <c r="D1376" s="263"/>
      <c r="E1376" s="261" t="str">
        <f>_xlfn.CONCAT(_xlfn.XLOOKUP("[S05_ContinuousEmissionsMeasurementDetail][50][InstallationIDN2O]",Submission!$O:$O,Submission!$H:$N,""))</f>
        <v/>
      </c>
      <c r="F1376" s="263"/>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1" t="s">
        <v>916</v>
      </c>
      <c r="D1378" s="362"/>
      <c r="E1378" s="362"/>
      <c r="F1378" s="362"/>
      <c r="G1378" s="362"/>
      <c r="H1378" s="362"/>
      <c r="I1378" s="362"/>
    </row>
    <row r="1379" spans="1:11" ht="15.9" customHeight="1" x14ac:dyDescent="0.3">
      <c r="C1379" s="376"/>
      <c r="D1379" s="377"/>
      <c r="E1379" s="377"/>
      <c r="F1379" s="377"/>
      <c r="G1379" s="377"/>
      <c r="H1379" s="377"/>
      <c r="I1379" s="377"/>
      <c r="J1379" s="377"/>
    </row>
    <row r="1380" spans="1:11" ht="15.9" customHeight="1" x14ac:dyDescent="0.3">
      <c r="A1380" s="12" t="s">
        <v>287</v>
      </c>
      <c r="B1380" s="278" t="s">
        <v>917</v>
      </c>
      <c r="C1380" s="279"/>
      <c r="D1380" s="279"/>
      <c r="E1380" s="279"/>
      <c r="F1380" s="279"/>
      <c r="G1380" s="279"/>
      <c r="H1380" s="279"/>
      <c r="I1380" s="279"/>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42" t="s">
        <v>919</v>
      </c>
      <c r="D1382" s="342"/>
      <c r="E1382" s="342"/>
      <c r="F1382" s="342"/>
      <c r="G1382" s="342"/>
      <c r="H1382" s="342"/>
      <c r="I1382" s="342"/>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42</v>
      </c>
      <c r="F1389" s="126" t="str">
        <f>_xlfn.CONCAT(_xlfn.XLOOKUP("[S05_BiomassInstallations][1][EmissionsBiomassSustainabilitySatisfied]",Submission!$O:$O,Submission!$H:$N,""))</f>
        <v>2729626.11927087</v>
      </c>
      <c r="G1389" s="126" t="str">
        <f>_xlfn.CONCAT(_xlfn.XLOOKUP("[S05_BiomassInstallations][1][EmissionsBiomassSustainabilityNotSatisfied]",Submission!$O:$O,Submission!$H:$N,""))</f>
        <v>0</v>
      </c>
      <c r="H1389" s="126" t="str">
        <f>_xlfn.CONCAT(_xlfn.XLOOKUP("[S05_BiomassInstallations][1][EmissionsFossil]",Submission!$O:$O,Submission!$H:$N,""))</f>
        <v>700796.266473838</v>
      </c>
      <c r="I1389" s="126" t="str">
        <f>_xlfn.CONCAT(_xlfn.XLOOKUP("[S05_BiomassInstallations][1][EnergyZeroRatedBiomass]",Submission!$O:$O,Submission!$H:$N,""))</f>
        <v>24500.373437022</v>
      </c>
      <c r="J1389" s="126" t="str">
        <f>_xlfn.CONCAT(_xlfn.XLOOKUP("[S05_BiomassInstallations][1][EnergyNonZeroRatedBiomass]",Submission!$O:$O,Submission!$H:$N,""))</f>
        <v>0</v>
      </c>
      <c r="K1389" s="126" t="str">
        <f>_xlfn.CONCAT(_xlfn.XLOOKUP("[S05_BiomassInstallations][1][EnergyFossil]",Submission!$O:$O,Submission!$H:$N,""))</f>
        <v>9250.30257205131</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33</v>
      </c>
      <c r="F1390" s="126" t="str">
        <f>_xlfn.CONCAT(_xlfn.XLOOKUP("[S05_BiomassInstallations][2][EmissionsBiomassSustainabilitySatisfied]",Submission!$O:$O,Submission!$H:$N,""))</f>
        <v>2513842.29731971</v>
      </c>
      <c r="G1390" s="126" t="str">
        <f>_xlfn.CONCAT(_xlfn.XLOOKUP("[S05_BiomassInstallations][2][EmissionsBiomassSustainabilityNotSatisfied]",Submission!$O:$O,Submission!$H:$N,""))</f>
        <v>0</v>
      </c>
      <c r="H1390" s="126" t="str">
        <f>_xlfn.CONCAT(_xlfn.XLOOKUP("[S05_BiomassInstallations][2][EmissionsFossil]",Submission!$O:$O,Submission!$H:$N,""))</f>
        <v>4982394.20424354</v>
      </c>
      <c r="I1390" s="126" t="str">
        <f>_xlfn.CONCAT(_xlfn.XLOOKUP("[S05_BiomassInstallations][2][EnergyZeroRatedBiomass]",Submission!$O:$O,Submission!$H:$N,""))</f>
        <v>23355.3699871538</v>
      </c>
      <c r="J1390" s="126" t="str">
        <f>_xlfn.CONCAT(_xlfn.XLOOKUP("[S05_BiomassInstallations][2][EnergyNonZeroRatedBiomass]",Submission!$O:$O,Submission!$H:$N,""))</f>
        <v>0</v>
      </c>
      <c r="K1390" s="126" t="str">
        <f>_xlfn.CONCAT(_xlfn.XLOOKUP("[S05_BiomassInstallations][2][EnergyFossil]",Submission!$O:$O,Submission!$H:$N,""))</f>
        <v>53853.6582777175</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9</v>
      </c>
      <c r="F1391" s="126" t="str">
        <f>_xlfn.CONCAT(_xlfn.XLOOKUP("[S05_BiomassInstallations][3][EmissionsBiomassSustainabilitySatisfied]",Submission!$O:$O,Submission!$H:$N,""))</f>
        <v>4173636.357</v>
      </c>
      <c r="G1391" s="126" t="str">
        <f>_xlfn.CONCAT(_xlfn.XLOOKUP("[S05_BiomassInstallations][3][EmissionsBiomassSustainabilityNotSatisfied]",Submission!$O:$O,Submission!$H:$N,""))</f>
        <v>0</v>
      </c>
      <c r="H1391" s="126" t="str">
        <f>_xlfn.CONCAT(_xlfn.XLOOKUP("[S05_BiomassInstallations][3][EmissionsFossil]",Submission!$O:$O,Submission!$H:$N,""))</f>
        <v>15360253.889753</v>
      </c>
      <c r="I1391" s="126" t="str">
        <f>_xlfn.CONCAT(_xlfn.XLOOKUP("[S05_BiomassInstallations][3][EnergyZeroRatedBiomass]",Submission!$O:$O,Submission!$H:$N,""))</f>
        <v>38008.92304</v>
      </c>
      <c r="J1391" s="126" t="str">
        <f>_xlfn.CONCAT(_xlfn.XLOOKUP("[S05_BiomassInstallations][3][EnergyNonZeroRatedBiomass]",Submission!$O:$O,Submission!$H:$N,""))</f>
        <v>0</v>
      </c>
      <c r="K1391" s="126" t="str">
        <f>_xlfn.CONCAT(_xlfn.XLOOKUP("[S05_BiomassInstallations][3][EnergyFossil]",Submission!$O:$O,Submission!$H:$N,""))</f>
        <v>163980.488928402</v>
      </c>
    </row>
    <row r="1392" spans="1:11" ht="44.4" customHeight="1" x14ac:dyDescent="0.3">
      <c r="A1392" s="12"/>
      <c r="C1392" s="125" t="str">
        <f>_xlfn.CONCAT(_xlfn.XLOOKUP("[S05_BiomassInstallations][4][Annex1Activity]",Submission!$O:$O,Submission!$H:$N,""))</f>
        <v>28 - Production or processing of non-ferrous metals as specified in Annex I of Directive 2003/87/EC</v>
      </c>
      <c r="D1392" s="128" t="str">
        <f>_xlfn.CONCAT(_xlfn.XLOOKUP("[S05_BiomassInstallations][4][BiomassInstallationCategory]",Submission!$O:$O,Submission!$H:$N,""))</f>
        <v>Category B</v>
      </c>
      <c r="E1392" s="126" t="str">
        <f>_xlfn.CONCAT(_xlfn.XLOOKUP("[S05_BiomassInstallations][4][NumberUsingBiomass]",Submission!$O:$O,Submission!$H:$N,""))</f>
        <v>2</v>
      </c>
      <c r="F1392" s="126" t="str">
        <f>_xlfn.CONCAT(_xlfn.XLOOKUP("[S05_BiomassInstallations][4][EmissionsBiomassSustainabilitySatisfied]",Submission!$O:$O,Submission!$H:$N,""))</f>
        <v>38368.4962380209</v>
      </c>
      <c r="G1392" s="126" t="str">
        <f>_xlfn.CONCAT(_xlfn.XLOOKUP("[S05_BiomassInstallations][4][EmissionsBiomassSustainabilityNotSatisfied]",Submission!$O:$O,Submission!$H:$N,""))</f>
        <v>0</v>
      </c>
      <c r="H1392" s="126" t="str">
        <f>_xlfn.CONCAT(_xlfn.XLOOKUP("[S05_BiomassInstallations][4][EmissionsFossil]",Submission!$O:$O,Submission!$H:$N,""))</f>
        <v>286343.907530365</v>
      </c>
      <c r="I1392" s="126" t="str">
        <f>_xlfn.CONCAT(_xlfn.XLOOKUP("[S05_BiomassInstallations][4][EnergyZeroRatedBiomass]",Submission!$O:$O,Submission!$H:$N,""))</f>
        <v>510.970145</v>
      </c>
      <c r="J1392" s="126" t="str">
        <f>_xlfn.CONCAT(_xlfn.XLOOKUP("[S05_BiomassInstallations][4][EnergyNonZeroRatedBiomass]",Submission!$O:$O,Submission!$H:$N,""))</f>
        <v>0</v>
      </c>
      <c r="K1392" s="126" t="str">
        <f>_xlfn.CONCAT(_xlfn.XLOOKUP("[S05_BiomassInstallations][4][EnergyFossil]",Submission!$O:$O,Submission!$H:$N,""))</f>
        <v>3600.98530449368</v>
      </c>
    </row>
    <row r="1393" spans="1:11" ht="44.4" customHeight="1" x14ac:dyDescent="0.3">
      <c r="A1393" s="12"/>
      <c r="C1393" s="125" t="str">
        <f>_xlfn.CONCAT(_xlfn.XLOOKUP("[S05_BiomassInstallations][5][Annex1Activity]",Submission!$O:$O,Submission!$H:$N,""))</f>
        <v>28 - Production or processing of non-ferrous metals as specified in Annex I of Directive 2003/87/EC</v>
      </c>
      <c r="D1393" s="128" t="str">
        <f>_xlfn.CONCAT(_xlfn.XLOOKUP("[S05_BiomassInstallations][5][BiomassInstallationCategory]",Submission!$O:$O,Submission!$H:$N,""))</f>
        <v>Category C</v>
      </c>
      <c r="E1393" s="126" t="str">
        <f>_xlfn.CONCAT(_xlfn.XLOOKUP("[S05_BiomassInstallations][5][NumberUsingBiomass]",Submission!$O:$O,Submission!$H:$N,""))</f>
        <v>1</v>
      </c>
      <c r="F1393" s="126" t="str">
        <f>_xlfn.CONCAT(_xlfn.XLOOKUP("[S05_BiomassInstallations][5][EmissionsBiomassSustainabilitySatisfied]",Submission!$O:$O,Submission!$H:$N,""))</f>
        <v>2544</v>
      </c>
      <c r="G1393" s="126" t="str">
        <f>_xlfn.CONCAT(_xlfn.XLOOKUP("[S05_BiomassInstallations][5][EmissionsBiomassSustainabilityNotSatisfied]",Submission!$O:$O,Submission!$H:$N,""))</f>
        <v>0</v>
      </c>
      <c r="H1393" s="126" t="str">
        <f>_xlfn.CONCAT(_xlfn.XLOOKUP("[S05_BiomassInstallations][5][EmissionsFossil]",Submission!$O:$O,Submission!$H:$N,""))</f>
        <v>1006823</v>
      </c>
      <c r="I1393" s="126" t="str">
        <f>_xlfn.CONCAT(_xlfn.XLOOKUP("[S05_BiomassInstallations][5][EnergyZeroRatedBiomass]",Submission!$O:$O,Submission!$H:$N,""))</f>
        <v>9.282546064</v>
      </c>
      <c r="J1393" s="126" t="str">
        <f>_xlfn.CONCAT(_xlfn.XLOOKUP("[S05_BiomassInstallations][5][EnergyNonZeroRatedBiomass]",Submission!$O:$O,Submission!$H:$N,""))</f>
        <v>0</v>
      </c>
      <c r="K1393" s="126" t="str">
        <f>_xlfn.CONCAT(_xlfn.XLOOKUP("[S05_BiomassInstallations][5][EnergyFossil]",Submission!$O:$O,Submission!$H:$N,""))</f>
        <v>3522.85</v>
      </c>
    </row>
    <row r="1394" spans="1:11" ht="44.4" customHeight="1" x14ac:dyDescent="0.3">
      <c r="A1394" s="12"/>
      <c r="C1394" s="125" t="str">
        <f>_xlfn.CONCAT(_xlfn.XLOOKUP("[S05_BiomassInstallations][6][Annex1Activity]",Submission!$O:$O,Submission!$H:$N,""))</f>
        <v>32 - Manufacture of ceramic products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8</v>
      </c>
      <c r="F1394" s="126" t="str">
        <f>_xlfn.CONCAT(_xlfn.XLOOKUP("[S05_BiomassInstallations][6][EmissionsBiomassSustainabilitySatisfied]",Submission!$O:$O,Submission!$H:$N,""))</f>
        <v>62429.4751502451</v>
      </c>
      <c r="G1394" s="126" t="str">
        <f>_xlfn.CONCAT(_xlfn.XLOOKUP("[S05_BiomassInstallations][6][EmissionsBiomassSustainabilityNotSatisfied]",Submission!$O:$O,Submission!$H:$N,""))</f>
        <v>0</v>
      </c>
      <c r="H1394" s="126" t="str">
        <f>_xlfn.CONCAT(_xlfn.XLOOKUP("[S05_BiomassInstallations][6][EmissionsFossil]",Submission!$O:$O,Submission!$H:$N,""))</f>
        <v>215044.304953479</v>
      </c>
      <c r="I1394" s="126" t="str">
        <f>_xlfn.CONCAT(_xlfn.XLOOKUP("[S05_BiomassInstallations][6][EnergyZeroRatedBiomass]",Submission!$O:$O,Submission!$H:$N,""))</f>
        <v>466.548331052411</v>
      </c>
      <c r="J1394" s="126" t="str">
        <f>_xlfn.CONCAT(_xlfn.XLOOKUP("[S05_BiomassInstallations][6][EnergyNonZeroRatedBiomass]",Submission!$O:$O,Submission!$H:$N,""))</f>
        <v>0</v>
      </c>
      <c r="K1394" s="126" t="str">
        <f>_xlfn.CONCAT(_xlfn.XLOOKUP("[S05_BiomassInstallations][6][EnergyFossil]",Submission!$O:$O,Submission!$H:$N,""))</f>
        <v>2015.98127651804</v>
      </c>
    </row>
    <row r="1395" spans="1:11" ht="44.4" customHeight="1" x14ac:dyDescent="0.3">
      <c r="A1395" s="12"/>
      <c r="C1395" s="125" t="str">
        <f>_xlfn.CONCAT(_xlfn.XLOOKUP("[S05_BiomassInstallations][7][Annex1Activity]",Submission!$O:$O,Submission!$H:$N,""))</f>
        <v>29 - Production of cement clinker in rotary kilns as specified in Annex I of Directive 2003/87/ EC</v>
      </c>
      <c r="D1395" s="128" t="str">
        <f>_xlfn.CONCAT(_xlfn.XLOOKUP("[S05_BiomassInstallations][7][BiomassInstallationCategory]",Submission!$O:$O,Submission!$H:$N,""))</f>
        <v>Category B</v>
      </c>
      <c r="E1395" s="126" t="str">
        <f>_xlfn.CONCAT(_xlfn.XLOOKUP("[S05_BiomassInstallations][7][NumberUsingBiomass]",Submission!$O:$O,Submission!$H:$N,""))</f>
        <v>2</v>
      </c>
      <c r="F1395" s="126" t="str">
        <f>_xlfn.CONCAT(_xlfn.XLOOKUP("[S05_BiomassInstallations][7][EmissionsBiomassSustainabilitySatisfied]",Submission!$O:$O,Submission!$H:$N,""))</f>
        <v>68065.7743678077</v>
      </c>
      <c r="G1395" s="126" t="str">
        <f>_xlfn.CONCAT(_xlfn.XLOOKUP("[S05_BiomassInstallations][7][EmissionsBiomassSustainabilityNotSatisfied]",Submission!$O:$O,Submission!$H:$N,""))</f>
        <v>0</v>
      </c>
      <c r="H1395" s="126" t="str">
        <f>_xlfn.CONCAT(_xlfn.XLOOKUP("[S05_BiomassInstallations][7][EmissionsFossil]",Submission!$O:$O,Submission!$H:$N,""))</f>
        <v>619855.779874005</v>
      </c>
      <c r="I1395" s="126" t="str">
        <f>_xlfn.CONCAT(_xlfn.XLOOKUP("[S05_BiomassInstallations][7][EnergyZeroRatedBiomass]",Submission!$O:$O,Submission!$H:$N,""))</f>
        <v>827.706444534823</v>
      </c>
      <c r="J1395" s="126" t="str">
        <f>_xlfn.CONCAT(_xlfn.XLOOKUP("[S05_BiomassInstallations][7][EnergyNonZeroRatedBiomass]",Submission!$O:$O,Submission!$H:$N,""))</f>
        <v>0</v>
      </c>
      <c r="K1395" s="126" t="str">
        <f>_xlfn.CONCAT(_xlfn.XLOOKUP("[S05_BiomassInstallations][7][EnergyFossil]",Submission!$O:$O,Submission!$H:$N,""))</f>
        <v>2271.61609033219</v>
      </c>
    </row>
    <row r="1396" spans="1:11" ht="44.4" customHeight="1" x14ac:dyDescent="0.3">
      <c r="A1396" s="12"/>
      <c r="C1396" s="125" t="str">
        <f>_xlfn.CONCAT(_xlfn.XLOOKUP("[S05_BiomassInstallations][8][Annex1Activity]",Submission!$O:$O,Submission!$H:$N,""))</f>
        <v>29 - Production of cement clinker in rotary kilns as specified in Annex I of Directive 2003/87/ EC</v>
      </c>
      <c r="D1396" s="128" t="str">
        <f>_xlfn.CONCAT(_xlfn.XLOOKUP("[S05_BiomassInstallations][8][BiomassInstallationCategory]",Submission!$O:$O,Submission!$H:$N,""))</f>
        <v>Category C</v>
      </c>
      <c r="E1396" s="126" t="str">
        <f>_xlfn.CONCAT(_xlfn.XLOOKUP("[S05_BiomassInstallations][8][NumberUsingBiomass]",Submission!$O:$O,Submission!$H:$N,""))</f>
        <v>7</v>
      </c>
      <c r="F1396" s="126" t="str">
        <f>_xlfn.CONCAT(_xlfn.XLOOKUP("[S05_BiomassInstallations][8][EmissionsBiomassSustainabilitySatisfied]",Submission!$O:$O,Submission!$H:$N,""))</f>
        <v>1261823.69728835</v>
      </c>
      <c r="G1396" s="126" t="str">
        <f>_xlfn.CONCAT(_xlfn.XLOOKUP("[S05_BiomassInstallations][8][EmissionsBiomassSustainabilityNotSatisfied]",Submission!$O:$O,Submission!$H:$N,""))</f>
        <v>0</v>
      </c>
      <c r="H1396" s="126" t="str">
        <f>_xlfn.CONCAT(_xlfn.XLOOKUP("[S05_BiomassInstallations][8][EmissionsFossil]",Submission!$O:$O,Submission!$H:$N,""))</f>
        <v>9978098.53015438</v>
      </c>
      <c r="I1396" s="126" t="str">
        <f>_xlfn.CONCAT(_xlfn.XLOOKUP("[S05_BiomassInstallations][8][EnergyZeroRatedBiomass]",Submission!$O:$O,Submission!$H:$N,""))</f>
        <v>14469.8992331054</v>
      </c>
      <c r="J1396" s="126" t="str">
        <f>_xlfn.CONCAT(_xlfn.XLOOKUP("[S05_BiomassInstallations][8][EnergyNonZeroRatedBiomass]",Submission!$O:$O,Submission!$H:$N,""))</f>
        <v>0</v>
      </c>
      <c r="K1396" s="126" t="str">
        <f>_xlfn.CONCAT(_xlfn.XLOOKUP("[S05_BiomassInstallations][8][EnergyFossil]",Submission!$O:$O,Submission!$H:$N,""))</f>
        <v>33650.2282483675</v>
      </c>
    </row>
    <row r="1397" spans="1:11" ht="44.4" customHeight="1" x14ac:dyDescent="0.3">
      <c r="A1397" s="12"/>
      <c r="C1397" s="125" t="str">
        <f>_xlfn.CONCAT(_xlfn.XLOOKUP("[S05_BiomassInstallations][9][Annex1Activity]",Submission!$O:$O,Submission!$H:$N,""))</f>
        <v>33 - Manufacture of mineral wool insulation material using glass, rock or slag as specified in Annex I of Directive 2003/87/EC</v>
      </c>
      <c r="D1397" s="128" t="str">
        <f>_xlfn.CONCAT(_xlfn.XLOOKUP("[S05_BiomassInstallations][9][BiomassInstallationCategory]",Submission!$O:$O,Submission!$H:$N,""))</f>
        <v>Category A</v>
      </c>
      <c r="E1397" s="126" t="str">
        <f>_xlfn.CONCAT(_xlfn.XLOOKUP("[S05_BiomassInstallations][9][NumberUsingBiomass]",Submission!$O:$O,Submission!$H:$N,""))</f>
        <v>1</v>
      </c>
      <c r="F1397" s="126" t="str">
        <f>_xlfn.CONCAT(_xlfn.XLOOKUP("[S05_BiomassInstallations][9][EmissionsBiomassSustainabilitySatisfied]",Submission!$O:$O,Submission!$H:$N,""))</f>
        <v>22.643712</v>
      </c>
      <c r="G1397" s="126" t="str">
        <f>_xlfn.CONCAT(_xlfn.XLOOKUP("[S05_BiomassInstallations][9][EmissionsBiomassSustainabilityNotSatisfied]",Submission!$O:$O,Submission!$H:$N,""))</f>
        <v>0</v>
      </c>
      <c r="H1397" s="126" t="str">
        <f>_xlfn.CONCAT(_xlfn.XLOOKUP("[S05_BiomassInstallations][9][EmissionsFossil]",Submission!$O:$O,Submission!$H:$N,""))</f>
        <v>35830.175499456</v>
      </c>
      <c r="I1397" s="126" t="str">
        <f>_xlfn.CONCAT(_xlfn.XLOOKUP("[S05_BiomassInstallations][9][EnergyZeroRatedBiomass]",Submission!$O:$O,Submission!$H:$N,""))</f>
        <v>0.2</v>
      </c>
      <c r="J1397" s="126" t="str">
        <f>_xlfn.CONCAT(_xlfn.XLOOKUP("[S05_BiomassInstallations][9][EnergyNonZeroRatedBiomass]",Submission!$O:$O,Submission!$H:$N,""))</f>
        <v>0</v>
      </c>
      <c r="K1397" s="126" t="str">
        <f>_xlfn.CONCAT(_xlfn.XLOOKUP("[S05_BiomassInstallations][9][EnergyFossil]",Submission!$O:$O,Submission!$H:$N,""))</f>
        <v>373.07048114</v>
      </c>
    </row>
    <row r="1398" spans="1:11" ht="44.4" customHeight="1" x14ac:dyDescent="0.3">
      <c r="A1398" s="12"/>
      <c r="C1398" s="125" t="str">
        <f>_xlfn.CONCAT(_xlfn.XLOOKUP("[S05_BiomassInstallations][10][Annex1Activity]",Submission!$O:$O,Submission!$H:$N,""))</f>
        <v xml:space="preserve">36 - Production of paper or cardboard as specified in Annex I of Directive 2003/87/EC </v>
      </c>
      <c r="D1398" s="128" t="str">
        <f>_xlfn.CONCAT(_xlfn.XLOOKUP("[S05_BiomassInstallations][10][BiomassInstallationCategory]",Submission!$O:$O,Submission!$H:$N,""))</f>
        <v>Category A</v>
      </c>
      <c r="E1398" s="126" t="str">
        <f>_xlfn.CONCAT(_xlfn.XLOOKUP("[S05_BiomassInstallations][10][NumberUsingBiomass]",Submission!$O:$O,Submission!$H:$N,""))</f>
        <v>4</v>
      </c>
      <c r="F1398" s="126" t="str">
        <f>_xlfn.CONCAT(_xlfn.XLOOKUP("[S05_BiomassInstallations][10][EmissionsBiomassSustainabilitySatisfied]",Submission!$O:$O,Submission!$H:$N,""))</f>
        <v>160546.11858624</v>
      </c>
      <c r="G1398" s="126" t="str">
        <f>_xlfn.CONCAT(_xlfn.XLOOKUP("[S05_BiomassInstallations][10][EmissionsBiomassSustainabilityNotSatisfied]",Submission!$O:$O,Submission!$H:$N,""))</f>
        <v>0</v>
      </c>
      <c r="H1398" s="126" t="str">
        <f>_xlfn.CONCAT(_xlfn.XLOOKUP("[S05_BiomassInstallations][10][EmissionsFossil]",Submission!$O:$O,Submission!$H:$N,""))</f>
        <v>74424.2047460033</v>
      </c>
      <c r="I1398" s="126" t="str">
        <f>_xlfn.CONCAT(_xlfn.XLOOKUP("[S05_BiomassInstallations][10][EnergyZeroRatedBiomass]",Submission!$O:$O,Submission!$H:$N,""))</f>
        <v>2612.81918034</v>
      </c>
      <c r="J1398" s="126" t="str">
        <f>_xlfn.CONCAT(_xlfn.XLOOKUP("[S05_BiomassInstallations][10][EnergyNonZeroRatedBiomass]",Submission!$O:$O,Submission!$H:$N,""))</f>
        <v>0</v>
      </c>
      <c r="K1398" s="126" t="str">
        <f>_xlfn.CONCAT(_xlfn.XLOOKUP("[S05_BiomassInstallations][10][EnergyFossil]",Submission!$O:$O,Submission!$H:$N,""))</f>
        <v>924.68072182</v>
      </c>
    </row>
    <row r="1399" spans="1:11" ht="44.4" customHeight="1" x14ac:dyDescent="0.3">
      <c r="A1399" s="12"/>
      <c r="C1399" s="125" t="str">
        <f>_xlfn.CONCAT(_xlfn.XLOOKUP("[S05_BiomassInstallations][11][Annex1Activity]",Submission!$O:$O,Submission!$H:$N,""))</f>
        <v xml:space="preserve">36 - Production of paper or cardboard as specified in Annex I of Directive 2003/87/EC </v>
      </c>
      <c r="D1399" s="128" t="str">
        <f>_xlfn.CONCAT(_xlfn.XLOOKUP("[S05_BiomassInstallations][11][BiomassInstallationCategory]",Submission!$O:$O,Submission!$H:$N,""))</f>
        <v>Category B</v>
      </c>
      <c r="E1399" s="126" t="str">
        <f>_xlfn.CONCAT(_xlfn.XLOOKUP("[S05_BiomassInstallations][11][NumberUsingBiomass]",Submission!$O:$O,Submission!$H:$N,""))</f>
        <v>2</v>
      </c>
      <c r="F1399" s="126" t="str">
        <f>_xlfn.CONCAT(_xlfn.XLOOKUP("[S05_BiomassInstallations][11][EmissionsBiomassSustainabilitySatisfied]",Submission!$O:$O,Submission!$H:$N,""))</f>
        <v>2199901.95428872</v>
      </c>
      <c r="G1399" s="126" t="str">
        <f>_xlfn.CONCAT(_xlfn.XLOOKUP("[S05_BiomassInstallations][11][EmissionsBiomassSustainabilityNotSatisfied]",Submission!$O:$O,Submission!$H:$N,""))</f>
        <v>0</v>
      </c>
      <c r="H1399" s="126" t="str">
        <f>_xlfn.CONCAT(_xlfn.XLOOKUP("[S05_BiomassInstallations][11][EmissionsFossil]",Submission!$O:$O,Submission!$H:$N,""))</f>
        <v>222796.567697768</v>
      </c>
      <c r="I1399" s="126" t="str">
        <f>_xlfn.CONCAT(_xlfn.XLOOKUP("[S05_BiomassInstallations][11][EnergyZeroRatedBiomass]",Submission!$O:$O,Submission!$H:$N,""))</f>
        <v>20953.8160352854</v>
      </c>
      <c r="J1399" s="126" t="str">
        <f>_xlfn.CONCAT(_xlfn.XLOOKUP("[S05_BiomassInstallations][11][EnergyNonZeroRatedBiomass]",Submission!$O:$O,Submission!$H:$N,""))</f>
        <v>0</v>
      </c>
      <c r="K1399" s="126" t="str">
        <f>_xlfn.CONCAT(_xlfn.XLOOKUP("[S05_BiomassInstallations][11][EnergyFossil]",Submission!$O:$O,Submission!$H:$N,""))</f>
        <v>2714.24036079628</v>
      </c>
    </row>
    <row r="1400" spans="1:11" ht="44.4" customHeight="1" x14ac:dyDescent="0.3">
      <c r="A1400" s="12"/>
      <c r="C1400" s="125" t="str">
        <f>_xlfn.CONCAT(_xlfn.XLOOKUP("[S05_BiomassInstallations][12][Annex1Activity]",Submission!$O:$O,Submission!$H:$N,""))</f>
        <v xml:space="preserve">36 - Production of paper or cardboard as specified in Annex I of Directive 2003/87/EC </v>
      </c>
      <c r="D1400" s="128" t="str">
        <f>_xlfn.CONCAT(_xlfn.XLOOKUP("[S05_BiomassInstallations][12][BiomassInstallationCategory]",Submission!$O:$O,Submission!$H:$N,""))</f>
        <v>Category C</v>
      </c>
      <c r="E1400" s="126" t="str">
        <f>_xlfn.CONCAT(_xlfn.XLOOKUP("[S05_BiomassInstallations][12][NumberUsingBiomass]",Submission!$O:$O,Submission!$H:$N,""))</f>
        <v>1</v>
      </c>
      <c r="F1400" s="126" t="str">
        <f>_xlfn.CONCAT(_xlfn.XLOOKUP("[S05_BiomassInstallations][12][EmissionsBiomassSustainabilitySatisfied]",Submission!$O:$O,Submission!$H:$N,""))</f>
        <v>886610.134701102</v>
      </c>
      <c r="G1400" s="126" t="str">
        <f>_xlfn.CONCAT(_xlfn.XLOOKUP("[S05_BiomassInstallations][12][EmissionsBiomassSustainabilityNotSatisfied]",Submission!$O:$O,Submission!$H:$N,""))</f>
        <v>0</v>
      </c>
      <c r="H1400" s="126" t="str">
        <f>_xlfn.CONCAT(_xlfn.XLOOKUP("[S05_BiomassInstallations][12][EmissionsFossil]",Submission!$O:$O,Submission!$H:$N,""))</f>
        <v>609312.64632783</v>
      </c>
      <c r="I1400" s="126" t="str">
        <f>_xlfn.CONCAT(_xlfn.XLOOKUP("[S05_BiomassInstallations][12][EnergyZeroRatedBiomass]",Submission!$O:$O,Submission!$H:$N,""))</f>
        <v>11720.03159</v>
      </c>
      <c r="J1400" s="126" t="str">
        <f>_xlfn.CONCAT(_xlfn.XLOOKUP("[S05_BiomassInstallations][12][EnergyNonZeroRatedBiomass]",Submission!$O:$O,Submission!$H:$N,""))</f>
        <v>0</v>
      </c>
      <c r="K1400" s="126" t="str">
        <f>_xlfn.CONCAT(_xlfn.XLOOKUP("[S05_BiomassInstallations][12][EnergyFossil]",Submission!$O:$O,Submission!$H:$N,""))</f>
        <v>6845.637670942</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10" t="s">
        <v>932</v>
      </c>
      <c r="C1441" s="311"/>
      <c r="D1441" s="311"/>
      <c r="E1441" s="311"/>
      <c r="F1441" s="311"/>
      <c r="G1441" s="311"/>
      <c r="H1441" s="311"/>
      <c r="I1441" s="311"/>
    </row>
    <row r="1442" spans="1:9" ht="32.4" customHeight="1" x14ac:dyDescent="0.3">
      <c r="B1442" s="23"/>
      <c r="C1442" s="261" t="str">
        <f>_xlfn.CONCAT(_xlfn.XLOOKUP("[SustainabilityComplianceDemonstrate][0][SustainabilityComplianceDemonstrate]",Submission!$O:$O,Submission!$H:$N,""))</f>
        <v>Zgodnie z art. 28c ustawy z dnia 25 sierpnia 2006 r. o biokomponentach i biopaliwach ciekłych (t.j. Dz. U. z 2022 poz. 403) dokumentami potwierdzającymi spełnianie przez biomasę lub biokomponent kryteriów zrównoważonego rozwoju mogą być: dokumenty wystawione przez producenta rolnego przewidziane przez uznany system certyfikacji, poświadczenia lub świadectwa, o których mowa w ustawie. Ponadto mogą to być również dokumenty wystawione w: innym niż Rzeczpospolita Polska państwie członkowskim Unii Europejskiej, w państwie członkowskim Europejskiego Porozumienia o Wolnym Handlu (EFTA) – stronie umowy o Europejskim Obszarze Gospodarczym lub w kraju trzecim, pod warunkiem, że zostały wystawione w ramach uznanego systemu certyfikacji; w kraju trzecim, pod warunkiem że Unia Europejska zawarła z tym krajem umowę, na mocy której uznaje się, że biomasa wytworzona w tym kraju spełnia kryteria zrównoważonego rozwoju.</v>
      </c>
      <c r="D1442" s="372"/>
      <c r="E1442" s="372"/>
      <c r="F1442" s="372"/>
      <c r="G1442" s="372"/>
      <c r="H1442" s="372"/>
      <c r="I1442" s="262"/>
    </row>
    <row r="1443" spans="1:9" ht="15.9" customHeight="1" x14ac:dyDescent="0.3">
      <c r="B1443" s="23"/>
      <c r="D1443" s="11"/>
      <c r="E1443" s="11"/>
      <c r="F1443" s="11"/>
      <c r="G1443" s="11"/>
    </row>
    <row r="1444" spans="1:9" ht="33" customHeight="1" x14ac:dyDescent="0.3">
      <c r="A1444" s="12" t="s">
        <v>299</v>
      </c>
      <c r="B1444" s="278" t="s">
        <v>933</v>
      </c>
      <c r="C1444" s="279"/>
      <c r="D1444" s="279"/>
      <c r="E1444" s="279"/>
      <c r="F1444" s="279"/>
      <c r="G1444" s="279"/>
      <c r="H1444" s="279"/>
      <c r="I1444" s="279"/>
    </row>
    <row r="1445" spans="1:9" ht="15.9" customHeight="1" x14ac:dyDescent="0.3">
      <c r="A1445" s="13"/>
      <c r="C1445" s="405"/>
      <c r="D1445" s="405"/>
      <c r="E1445" s="405"/>
      <c r="F1445" s="405"/>
      <c r="G1445" s="360" t="s">
        <v>934</v>
      </c>
      <c r="H1445" s="360"/>
      <c r="I1445" s="360"/>
    </row>
    <row r="1446" spans="1:9" ht="15.9" customHeight="1" x14ac:dyDescent="0.3">
      <c r="A1446" s="13"/>
      <c r="C1446" s="402" t="s">
        <v>935</v>
      </c>
      <c r="D1446" s="403"/>
      <c r="E1446" s="403"/>
      <c r="F1446" s="403"/>
      <c r="G1446" s="404" t="str">
        <f>_xlfn.CONCAT(_xlfn.XLOOKUP("[WasteFuelFossilCO2][0][WasteFuelFossilCO2]",Submission!$O:$O,Submission!$H:$N,""))</f>
        <v>2738208.4091</v>
      </c>
      <c r="H1446" s="404"/>
      <c r="I1446" s="404"/>
    </row>
    <row r="1447" spans="1:9" ht="15.9" customHeight="1" x14ac:dyDescent="0.3">
      <c r="B1447" s="14"/>
      <c r="C1447" s="19"/>
      <c r="E1447" s="11"/>
      <c r="F1447" s="11"/>
      <c r="G1447" s="11"/>
      <c r="H1447" s="11"/>
    </row>
    <row r="1448" spans="1:9" ht="15.9" customHeight="1" x14ac:dyDescent="0.3">
      <c r="A1448" s="12" t="s">
        <v>308</v>
      </c>
      <c r="B1448" s="376" t="s">
        <v>936</v>
      </c>
      <c r="C1448" s="377"/>
      <c r="D1448" s="377"/>
      <c r="E1448" s="377"/>
      <c r="F1448" s="377"/>
      <c r="G1448" s="377"/>
      <c r="H1448" s="377"/>
      <c r="I1448" s="377"/>
    </row>
    <row r="1449" spans="1:9" ht="32.1" customHeight="1" x14ac:dyDescent="0.3">
      <c r="A1449" s="12"/>
      <c r="B1449" s="341" t="s">
        <v>937</v>
      </c>
      <c r="C1449" s="311"/>
      <c r="D1449" s="311"/>
      <c r="E1449" s="311"/>
      <c r="F1449" s="311"/>
      <c r="G1449" s="311"/>
      <c r="H1449" s="348"/>
      <c r="I1449" s="41" t="str">
        <f>_xlfn.CONCAT(_xlfn.XLOOKUP("[SimplifiedMonitoringArt13][0][SimplifiedMonitoringArt13]",Submission!$O:$O,Submission!$H:$N,""))</f>
        <v>No</v>
      </c>
    </row>
    <row r="1450" spans="1:9" ht="15.9" customHeight="1" x14ac:dyDescent="0.3">
      <c r="B1450" s="278" t="s">
        <v>938</v>
      </c>
      <c r="C1450" s="279"/>
      <c r="D1450" s="279"/>
      <c r="E1450" s="279"/>
      <c r="F1450" s="279"/>
      <c r="G1450" s="279"/>
      <c r="H1450" s="279"/>
      <c r="I1450" s="279"/>
    </row>
    <row r="1451" spans="1:9" ht="15.9" customHeight="1" x14ac:dyDescent="0.3">
      <c r="A1451" s="13"/>
      <c r="C1451" s="360" t="s">
        <v>939</v>
      </c>
      <c r="D1451" s="360"/>
      <c r="E1451" s="360"/>
      <c r="F1451" s="360"/>
      <c r="G1451" s="360" t="s">
        <v>940</v>
      </c>
      <c r="H1451" s="360"/>
      <c r="I1451" s="360"/>
    </row>
    <row r="1452" spans="1:9" ht="26.4" customHeight="1" x14ac:dyDescent="0.3">
      <c r="A1452" s="13"/>
      <c r="C1452" s="277" t="str">
        <f>_xlfn.CONCAT(_xlfn.XLOOKUP("[S05_SimplifiedMonitoringArt13Detail][1][Art13RiskAssessmentType]",Submission!$O:$O,Submission!$H:$N,""))</f>
        <v/>
      </c>
      <c r="D1452" s="356"/>
      <c r="E1452" s="356"/>
      <c r="F1452" s="263"/>
      <c r="G1452" s="357" t="str">
        <f>_xlfn.CONCAT(_xlfn.XLOOKUP("[S05_SimplifiedMonitoringArt13Detail][1][Art13RiskAssessmentPrinciples]",Submission!$O:$O,Submission!$H:$N,""))</f>
        <v/>
      </c>
      <c r="H1452" s="357"/>
      <c r="I1452" s="357"/>
    </row>
    <row r="1453" spans="1:9" ht="26.4" customHeight="1" x14ac:dyDescent="0.3">
      <c r="A1453" s="13"/>
      <c r="C1453" s="277" t="str">
        <f>_xlfn.CONCAT(_xlfn.XLOOKUP("[S05_SimplifiedMonitoringArt13Detail][2][Art13RiskAssessmentType]",Submission!$O:$O,Submission!$H:$N,""))</f>
        <v/>
      </c>
      <c r="D1453" s="356"/>
      <c r="E1453" s="356"/>
      <c r="F1453" s="263"/>
      <c r="G1453" s="357" t="str">
        <f>_xlfn.CONCAT(_xlfn.XLOOKUP("[S05_SimplifiedMonitoringArt13Detail][2][Art13RiskAssessmentPrinciples]",Submission!$O:$O,Submission!$H:$N,""))</f>
        <v/>
      </c>
      <c r="H1453" s="357"/>
      <c r="I1453" s="357"/>
    </row>
    <row r="1454" spans="1:9" ht="26.4" hidden="1" customHeight="1" outlineLevel="1" x14ac:dyDescent="0.3">
      <c r="A1454" s="13"/>
      <c r="C1454" s="277" t="str">
        <f>_xlfn.CONCAT(_xlfn.XLOOKUP("[S05_SimplifiedMonitoringArt13Detail][3][Art13RiskAssessmentType]",Submission!$O:$O,Submission!$H:$N,""))</f>
        <v/>
      </c>
      <c r="D1454" s="356"/>
      <c r="E1454" s="356"/>
      <c r="F1454" s="263"/>
      <c r="G1454" s="357" t="str">
        <f>_xlfn.CONCAT(_xlfn.XLOOKUP("[S05_SimplifiedMonitoringArt13Detail][3][Art13RiskAssessmentPrinciples]",Submission!$O:$O,Submission!$H:$N,""))</f>
        <v/>
      </c>
      <c r="H1454" s="357"/>
      <c r="I1454" s="357"/>
    </row>
    <row r="1455" spans="1:9" ht="26.4" hidden="1" customHeight="1" outlineLevel="1" x14ac:dyDescent="0.3">
      <c r="A1455" s="13"/>
      <c r="C1455" s="277" t="str">
        <f>_xlfn.CONCAT(_xlfn.XLOOKUP("[S05_SimplifiedMonitoringArt13Detail][4][Art13RiskAssessmentType]",Submission!$O:$O,Submission!$H:$N,""))</f>
        <v/>
      </c>
      <c r="D1455" s="356"/>
      <c r="E1455" s="356"/>
      <c r="F1455" s="263"/>
      <c r="G1455" s="357" t="str">
        <f>_xlfn.CONCAT(_xlfn.XLOOKUP("[S05_SimplifiedMonitoringArt13Detail][4][Art13RiskAssessmentPrinciples]",Submission!$O:$O,Submission!$H:$N,""))</f>
        <v/>
      </c>
      <c r="H1455" s="357"/>
      <c r="I1455" s="357"/>
    </row>
    <row r="1456" spans="1:9" ht="26.4" hidden="1" customHeight="1" outlineLevel="1" x14ac:dyDescent="0.3">
      <c r="A1456" s="13"/>
      <c r="C1456" s="277" t="str">
        <f>_xlfn.CONCAT(_xlfn.XLOOKUP("[S05_SimplifiedMonitoringArt13Detail][5][Art13RiskAssessmentType]",Submission!$O:$O,Submission!$H:$N,""))</f>
        <v/>
      </c>
      <c r="D1456" s="356"/>
      <c r="E1456" s="356"/>
      <c r="F1456" s="263"/>
      <c r="G1456" s="357" t="str">
        <f>_xlfn.CONCAT(_xlfn.XLOOKUP("[S05_SimplifiedMonitoringArt13Detail][5][Art13RiskAssessmentPrinciples]",Submission!$O:$O,Submission!$H:$N,""))</f>
        <v/>
      </c>
      <c r="H1456" s="357"/>
      <c r="I1456" s="357"/>
    </row>
    <row r="1457" spans="1:9" ht="15.9" customHeight="1" collapsed="1" x14ac:dyDescent="0.3">
      <c r="C1457" s="358" t="s">
        <v>941</v>
      </c>
      <c r="D1457" s="359"/>
      <c r="E1457" s="359"/>
      <c r="F1457" s="359"/>
      <c r="G1457" s="359"/>
      <c r="H1457" s="359"/>
      <c r="I1457" s="359"/>
    </row>
    <row r="1458" spans="1:9" ht="15.9" customHeight="1" x14ac:dyDescent="0.3"/>
    <row r="1459" spans="1:9" ht="18.899999999999999" customHeight="1" x14ac:dyDescent="0.35">
      <c r="A1459" s="48" t="s">
        <v>942</v>
      </c>
      <c r="B1459" s="313" t="s">
        <v>97</v>
      </c>
      <c r="C1459" s="313"/>
      <c r="D1459" s="313"/>
      <c r="E1459" s="313"/>
      <c r="F1459" s="313"/>
      <c r="G1459" s="313"/>
      <c r="H1459" s="313"/>
      <c r="I1459" s="314"/>
    </row>
    <row r="1460" spans="1:9" ht="15.9" customHeight="1" x14ac:dyDescent="0.3">
      <c r="A1460" s="12" t="s">
        <v>313</v>
      </c>
      <c r="B1460" s="315" t="s">
        <v>943</v>
      </c>
      <c r="C1460" s="316"/>
      <c r="D1460" s="316"/>
      <c r="E1460" s="316"/>
      <c r="F1460" s="316"/>
      <c r="G1460" s="316"/>
      <c r="H1460" s="316"/>
      <c r="I1460" s="316"/>
    </row>
    <row r="1461" spans="1:9" ht="26.1" customHeight="1" x14ac:dyDescent="0.3">
      <c r="C1461" s="360" t="s">
        <v>944</v>
      </c>
      <c r="D1461" s="360"/>
      <c r="E1461" s="360" t="s">
        <v>945</v>
      </c>
      <c r="F1461" s="360"/>
      <c r="G1461" s="320" t="s">
        <v>946</v>
      </c>
      <c r="H1461" s="373"/>
      <c r="I1461" s="321"/>
    </row>
    <row r="1462" spans="1:9" ht="15.9" customHeight="1" x14ac:dyDescent="0.3">
      <c r="C1462" s="386" t="s">
        <v>947</v>
      </c>
      <c r="D1462" s="386"/>
      <c r="E1462" s="413" t="str">
        <f>_xlfn.CONCAT(_xlfn.XLOOKUP("[S05_AircraftMethodFuelConsumption][1][CountAircraftOperators]",Submission!$O:$O,Submission!$H:$N,""))</f>
        <v>1</v>
      </c>
      <c r="F1462" s="413"/>
      <c r="G1462" s="416" t="str">
        <f>_xlfn.CONCAT(_xlfn.XLOOKUP("[S05_AircraftMethodFuelConsumption][1][SmallEmittersShare]",Submission!$O:$O,Submission!$H:$N,""))</f>
        <v>0</v>
      </c>
      <c r="H1462" s="416"/>
      <c r="I1462" s="416"/>
    </row>
    <row r="1463" spans="1:9" ht="15.9" customHeight="1" x14ac:dyDescent="0.3">
      <c r="A1463" s="13"/>
      <c r="C1463" s="386" t="s">
        <v>948</v>
      </c>
      <c r="D1463" s="386"/>
      <c r="E1463" s="413" t="str">
        <f>_xlfn.CONCAT(_xlfn.XLOOKUP("[S05_AircraftMethodFuelConsumption][2][CountAircraftOperators]",Submission!$O:$O,Submission!$H:$N,""))</f>
        <v>4</v>
      </c>
      <c r="F1463" s="413"/>
      <c r="G1463" s="416" t="str">
        <f>_xlfn.CONCAT(_xlfn.XLOOKUP("[S05_AircraftMethodFuelConsumption][2][SmallEmittersShare]",Submission!$O:$O,Submission!$H:$N,""))</f>
        <v>0</v>
      </c>
      <c r="H1463" s="416"/>
      <c r="I1463" s="416"/>
    </row>
    <row r="1464" spans="1:9" ht="15.9" customHeight="1" x14ac:dyDescent="0.3">
      <c r="A1464" s="13"/>
      <c r="C1464" s="386" t="s">
        <v>949</v>
      </c>
      <c r="D1464" s="386"/>
      <c r="E1464" s="413" t="str">
        <f>_xlfn.CONCAT(_xlfn.XLOOKUP("[S05_AircraftMethodFuelConsumption][3][CountAircraftOperators]",Submission!$O:$O,Submission!$H:$N,""))</f>
        <v>0</v>
      </c>
      <c r="F1464" s="413"/>
      <c r="G1464" s="416" t="str">
        <f>_xlfn.CONCAT(_xlfn.XLOOKUP("[S05_AircraftMethodFuelConsumption][3][SmallEmittersShare]",Submission!$O:$O,Submission!$H:$N,""))</f>
        <v>0</v>
      </c>
      <c r="H1464" s="416"/>
      <c r="I1464" s="416"/>
    </row>
    <row r="1465" spans="1:9" ht="15.9" customHeight="1" x14ac:dyDescent="0.3"/>
    <row r="1466" spans="1:9" ht="19.2" customHeight="1" x14ac:dyDescent="0.3">
      <c r="A1466" s="12" t="s">
        <v>318</v>
      </c>
      <c r="B1466" s="278" t="s">
        <v>950</v>
      </c>
      <c r="C1466" s="279"/>
      <c r="D1466" s="279"/>
      <c r="E1466" s="279"/>
      <c r="F1466" s="279"/>
      <c r="G1466" s="279"/>
      <c r="H1466" s="279"/>
      <c r="I1466" s="279"/>
    </row>
    <row r="1467" spans="1:9" ht="15" customHeight="1" x14ac:dyDescent="0.3">
      <c r="A1467" s="12"/>
      <c r="B1467" s="36" t="s">
        <v>8</v>
      </c>
      <c r="C1467" s="414" t="s">
        <v>951</v>
      </c>
      <c r="D1467" s="414"/>
      <c r="E1467" s="414"/>
      <c r="F1467" s="414"/>
      <c r="G1467" s="414"/>
      <c r="H1467" s="414"/>
      <c r="I1467" s="414"/>
    </row>
    <row r="1468" spans="1:9" ht="14.4" customHeight="1" x14ac:dyDescent="0.3">
      <c r="A1468" s="12"/>
      <c r="B1468" s="36" t="s">
        <v>8</v>
      </c>
      <c r="C1468" s="414" t="s">
        <v>952</v>
      </c>
      <c r="D1468" s="414"/>
      <c r="E1468" s="414"/>
      <c r="F1468" s="414"/>
      <c r="G1468" s="414"/>
      <c r="H1468" s="414"/>
      <c r="I1468" s="414"/>
    </row>
    <row r="1469" spans="1:9" ht="14.4" customHeight="1" x14ac:dyDescent="0.3">
      <c r="A1469" s="12"/>
      <c r="B1469" s="36" t="s">
        <v>8</v>
      </c>
      <c r="C1469" s="414" t="s">
        <v>953</v>
      </c>
      <c r="D1469" s="414"/>
      <c r="E1469" s="414"/>
      <c r="F1469" s="414"/>
      <c r="G1469" s="414"/>
      <c r="H1469" s="414"/>
      <c r="I1469" s="414"/>
    </row>
    <row r="1470" spans="1:9" ht="16.2" customHeight="1" x14ac:dyDescent="0.3">
      <c r="A1470" s="12"/>
      <c r="B1470" s="36" t="s">
        <v>8</v>
      </c>
      <c r="C1470" s="415" t="s">
        <v>954</v>
      </c>
      <c r="D1470" s="415"/>
      <c r="E1470" s="415"/>
      <c r="F1470" s="415"/>
      <c r="G1470" s="415"/>
      <c r="H1470" s="415"/>
      <c r="I1470" s="415"/>
    </row>
    <row r="1471" spans="1:9" ht="15.6" customHeight="1" x14ac:dyDescent="0.3">
      <c r="C1471" s="383"/>
      <c r="D1471" s="384"/>
      <c r="E1471" s="384"/>
      <c r="F1471" s="384"/>
      <c r="G1471" s="374" t="s">
        <v>955</v>
      </c>
      <c r="H1471" s="375"/>
      <c r="I1471" s="375"/>
    </row>
    <row r="1472" spans="1:9" ht="28.5" customHeight="1" x14ac:dyDescent="0.3">
      <c r="C1472" s="385" t="s">
        <v>956</v>
      </c>
      <c r="D1472" s="386"/>
      <c r="E1472" s="386"/>
      <c r="F1472" s="386"/>
      <c r="G1472" s="382" t="str">
        <f>_xlfn.CONCAT(_xlfn.XLOOKUP("[S05_TotalFlightEmissions][1][TotalFlightEmissions]",Submission!$O:$O,Submission!$H:$N,""))</f>
        <v>487570</v>
      </c>
      <c r="H1472" s="382"/>
      <c r="I1472" s="382"/>
    </row>
    <row r="1473" spans="1:10" ht="28.95" customHeight="1" x14ac:dyDescent="0.3">
      <c r="C1473" s="385" t="s">
        <v>957</v>
      </c>
      <c r="D1473" s="385"/>
      <c r="E1473" s="385"/>
      <c r="F1473" s="385"/>
      <c r="G1473" s="382" t="str">
        <f>_xlfn.CONCAT(_xlfn.XLOOKUP("[S05_TotalFlightEmissions][2][TotalFlightEmissions]",Submission!$O:$O,Submission!$H:$N,""))</f>
        <v>47745</v>
      </c>
      <c r="H1473" s="382"/>
      <c r="I1473" s="382"/>
    </row>
    <row r="1474" spans="1:10" ht="28.95" customHeight="1" x14ac:dyDescent="0.3">
      <c r="C1474" s="385" t="s">
        <v>958</v>
      </c>
      <c r="D1474" s="385"/>
      <c r="E1474" s="385"/>
      <c r="F1474" s="385"/>
      <c r="G1474" s="382" t="str">
        <f>_xlfn.CONCAT(_xlfn.XLOOKUP("[S05_TotalFlightEmissions][3][TotalFlightEmissions]",Submission!$O:$O,Submission!$H:$N,""))</f>
        <v>1560544.291</v>
      </c>
      <c r="H1474" s="382"/>
      <c r="I1474" s="382"/>
    </row>
    <row r="1475" spans="1:10" ht="28.95" customHeight="1" x14ac:dyDescent="0.3">
      <c r="C1475" s="385" t="s">
        <v>959</v>
      </c>
      <c r="D1475" s="385"/>
      <c r="E1475" s="385"/>
      <c r="F1475" s="385"/>
      <c r="G1475" s="382" t="str">
        <f>_xlfn.CONCAT(_xlfn.XLOOKUP("[S05_TotalFlightEmissions][4][TotalFlightEmissions]",Submission!$O:$O,Submission!$H:$N,""))</f>
        <v>1294002.487</v>
      </c>
      <c r="H1475" s="382"/>
      <c r="I1475" s="382"/>
    </row>
    <row r="1476" spans="1:10" ht="28.95" customHeight="1" x14ac:dyDescent="0.3">
      <c r="C1476" s="385" t="s">
        <v>960</v>
      </c>
      <c r="D1476" s="385"/>
      <c r="E1476" s="385"/>
      <c r="F1476" s="385"/>
      <c r="G1476" s="382" t="str">
        <f>_xlfn.CONCAT(_xlfn.XLOOKUP("[S05_TotalFlightEmissions][5][TotalFlightEmissions]",Submission!$O:$O,Submission!$H:$N,""))</f>
        <v>10389</v>
      </c>
      <c r="H1476" s="382"/>
      <c r="I1476" s="382"/>
    </row>
    <row r="1477" spans="1:10" ht="17.399999999999999" customHeight="1" x14ac:dyDescent="0.3">
      <c r="C1477" s="37"/>
      <c r="D1477" s="37"/>
      <c r="E1477" s="37"/>
      <c r="F1477" s="37"/>
      <c r="G1477" s="11"/>
      <c r="H1477" s="11"/>
      <c r="I1477" s="11"/>
    </row>
    <row r="1478" spans="1:10" ht="28.2" customHeight="1" x14ac:dyDescent="0.3">
      <c r="C1478" s="412" t="s">
        <v>961</v>
      </c>
      <c r="D1478" s="412"/>
      <c r="E1478" s="412"/>
      <c r="F1478" s="412"/>
      <c r="G1478" s="412"/>
      <c r="H1478" s="412"/>
      <c r="I1478" s="412"/>
    </row>
    <row r="1479" spans="1:10" ht="15.9" customHeight="1" x14ac:dyDescent="0.3">
      <c r="C1479" s="406" t="s">
        <v>962</v>
      </c>
      <c r="D1479" s="407"/>
      <c r="E1479" s="407"/>
      <c r="F1479" s="407"/>
      <c r="G1479" s="408" t="str">
        <f>_xlfn.CONCAT(_xlfn.XLOOKUP("[CountOperatorsThirdCountries][0][CountOperatorsThirdCountries]",Submission!$O:$O,Submission!$H:$N,""))</f>
        <v>6</v>
      </c>
      <c r="H1479" s="408"/>
      <c r="I1479" s="408"/>
    </row>
    <row r="1480" spans="1:10" ht="15.9" customHeight="1" x14ac:dyDescent="0.3">
      <c r="C1480" s="37"/>
      <c r="D1480" s="11"/>
      <c r="E1480" s="11"/>
      <c r="F1480" s="11"/>
      <c r="G1480" s="11"/>
      <c r="H1480" s="11"/>
      <c r="I1480" s="11"/>
      <c r="J1480" s="11"/>
    </row>
    <row r="1481" spans="1:10" ht="15.9" customHeight="1" x14ac:dyDescent="0.3">
      <c r="A1481" s="12" t="s">
        <v>326</v>
      </c>
      <c r="B1481" s="278" t="s">
        <v>963</v>
      </c>
      <c r="C1481" s="279"/>
      <c r="D1481" s="279"/>
      <c r="E1481" s="279"/>
      <c r="F1481" s="279"/>
      <c r="G1481" s="279"/>
      <c r="H1481" s="279"/>
      <c r="I1481" s="279"/>
    </row>
    <row r="1482" spans="1:10" ht="15.9" customHeight="1" x14ac:dyDescent="0.3">
      <c r="B1482" s="15" t="s">
        <v>8</v>
      </c>
      <c r="C1482" s="342" t="s">
        <v>964</v>
      </c>
      <c r="D1482" s="363"/>
      <c r="E1482" s="363"/>
      <c r="F1482" s="363"/>
      <c r="G1482" s="363"/>
      <c r="H1482" s="363"/>
      <c r="I1482" s="363"/>
    </row>
    <row r="1483" spans="1:10" ht="15.9" customHeight="1" x14ac:dyDescent="0.3">
      <c r="B1483" s="15" t="s">
        <v>8</v>
      </c>
      <c r="C1483" s="342" t="s">
        <v>965</v>
      </c>
      <c r="D1483" s="363"/>
      <c r="E1483" s="363"/>
      <c r="F1483" s="363"/>
      <c r="G1483" s="363"/>
      <c r="H1483" s="363"/>
      <c r="I1483" s="363"/>
    </row>
    <row r="1484" spans="1:10" ht="16.5" customHeight="1" x14ac:dyDescent="0.3">
      <c r="B1484" s="15" t="s">
        <v>8</v>
      </c>
      <c r="C1484" s="342" t="s">
        <v>966</v>
      </c>
      <c r="D1484" s="363"/>
      <c r="E1484" s="363"/>
      <c r="F1484" s="363"/>
      <c r="G1484" s="363"/>
      <c r="H1484" s="363"/>
      <c r="I1484" s="363"/>
    </row>
    <row r="1485" spans="1:10" ht="42.6" customHeight="1" x14ac:dyDescent="0.3">
      <c r="C1485" s="374" t="s">
        <v>967</v>
      </c>
      <c r="D1485" s="374"/>
      <c r="E1485" s="374" t="s">
        <v>968</v>
      </c>
      <c r="F1485" s="375"/>
      <c r="G1485" s="374" t="s">
        <v>969</v>
      </c>
      <c r="H1485" s="374"/>
      <c r="I1485" s="374"/>
    </row>
    <row r="1486" spans="1:10" ht="15.9" customHeight="1" x14ac:dyDescent="0.3">
      <c r="C1486" s="409" t="str">
        <f>_xlfn.CONCAT(_xlfn.XLOOKUP("[CountOperatorsUsingBiofuels][0][CountOperatorsUsingBiofuels]",Submission!$O:$O,Submission!$H:$N,""))</f>
        <v>0</v>
      </c>
      <c r="D1486" s="409"/>
      <c r="E1486" s="410" t="str">
        <f>_xlfn.CONCAT(_xlfn.XLOOKUP("[EmissionsBiofuelsSustainabilitySatisfied][0][EmissionsBiofuelsSustainabilitySatisfied]",Submission!$O:$O,Submission!$H:$N,""))</f>
        <v>0</v>
      </c>
      <c r="F1486" s="410"/>
      <c r="G1486" s="411" t="str">
        <f>_xlfn.CONCAT(_xlfn.XLOOKUP("[EmissionsBiofuelsSustainabilityNotSatisfied][0][EmissionsBiofuelsSustainabilityNotSatisfied]",Submission!$O:$O,Submission!$H:$N,""))</f>
        <v>0</v>
      </c>
      <c r="H1486" s="411"/>
      <c r="I1486" s="411"/>
    </row>
    <row r="1487" spans="1:10" ht="15.9" customHeight="1" x14ac:dyDescent="0.3">
      <c r="D1487" s="11"/>
      <c r="E1487" s="11"/>
      <c r="F1487" s="11"/>
      <c r="G1487" s="11"/>
    </row>
    <row r="1488" spans="1:10" ht="17.25" customHeight="1" x14ac:dyDescent="0.3">
      <c r="A1488" s="12" t="s">
        <v>332</v>
      </c>
      <c r="B1488" s="278" t="s">
        <v>963</v>
      </c>
      <c r="C1488" s="279"/>
      <c r="D1488" s="279"/>
      <c r="E1488" s="279"/>
      <c r="F1488" s="279"/>
      <c r="G1488" s="279"/>
      <c r="H1488" s="279"/>
      <c r="I1488" s="279"/>
    </row>
    <row r="1489" spans="1:9" ht="16.5" customHeight="1" x14ac:dyDescent="0.3">
      <c r="A1489" s="12"/>
      <c r="B1489" s="15" t="s">
        <v>8</v>
      </c>
      <c r="C1489" s="342" t="s">
        <v>970</v>
      </c>
      <c r="D1489" s="363"/>
      <c r="E1489" s="363"/>
      <c r="F1489" s="363"/>
      <c r="G1489" s="363"/>
      <c r="H1489" s="363"/>
      <c r="I1489" s="363"/>
    </row>
    <row r="1490" spans="1:9" ht="30" customHeight="1" x14ac:dyDescent="0.3">
      <c r="A1490" s="12"/>
      <c r="B1490" s="15" t="s">
        <v>8</v>
      </c>
      <c r="C1490" s="342" t="s">
        <v>971</v>
      </c>
      <c r="D1490" s="363"/>
      <c r="E1490" s="363"/>
      <c r="F1490" s="363"/>
      <c r="G1490" s="363"/>
      <c r="H1490" s="363"/>
      <c r="I1490" s="363"/>
    </row>
    <row r="1491" spans="1:9" ht="15" customHeight="1" x14ac:dyDescent="0.3">
      <c r="A1491" s="12"/>
      <c r="B1491" s="15" t="s">
        <v>8</v>
      </c>
      <c r="C1491" s="342" t="s">
        <v>972</v>
      </c>
      <c r="D1491" s="363"/>
      <c r="E1491" s="363"/>
      <c r="F1491" s="363"/>
      <c r="G1491" s="363"/>
      <c r="H1491" s="363"/>
      <c r="I1491" s="363"/>
    </row>
    <row r="1492" spans="1:9" ht="16.5" customHeight="1" x14ac:dyDescent="0.3">
      <c r="A1492" s="12"/>
      <c r="B1492" s="15" t="s">
        <v>8</v>
      </c>
      <c r="C1492" s="330" t="s">
        <v>973</v>
      </c>
      <c r="D1492" s="365"/>
      <c r="E1492" s="365"/>
      <c r="F1492" s="365"/>
      <c r="G1492" s="365"/>
      <c r="H1492" s="365"/>
      <c r="I1492" s="365"/>
    </row>
    <row r="1493" spans="1:9" s="58" customFormat="1" ht="32.25" customHeight="1" x14ac:dyDescent="0.3">
      <c r="A1493" s="75"/>
      <c r="C1493" s="272" t="s">
        <v>974</v>
      </c>
      <c r="D1493" s="273"/>
      <c r="E1493" s="273"/>
      <c r="F1493" s="273"/>
      <c r="G1493" s="274"/>
      <c r="H1493" s="354" t="str">
        <f>_xlfn.CONCAT(_xlfn.XLOOKUP("[S05_SmallEmittersTool][1][CountSmallEmitters]",Submission!$O:$O,Submission!$H:$N,""))</f>
        <v>2</v>
      </c>
      <c r="I1493" s="364"/>
    </row>
    <row r="1494" spans="1:9" s="58" customFormat="1" ht="32.25" customHeight="1" x14ac:dyDescent="0.3">
      <c r="A1494" s="75"/>
      <c r="C1494" s="272" t="s">
        <v>975</v>
      </c>
      <c r="D1494" s="273"/>
      <c r="E1494" s="273"/>
      <c r="F1494" s="273"/>
      <c r="G1494" s="274"/>
      <c r="H1494" s="354" t="str">
        <f>_xlfn.CONCAT(_xlfn.XLOOKUP("[S05_SmallEmittersTool][2][CountSmallEmitters]",Submission!$O:$O,Submission!$H:$N,""))</f>
        <v>2</v>
      </c>
      <c r="I1494" s="364"/>
    </row>
    <row r="1495" spans="1:9" s="58" customFormat="1" ht="32.25" customHeight="1" x14ac:dyDescent="0.3">
      <c r="A1495" s="75"/>
      <c r="C1495" s="272" t="s">
        <v>976</v>
      </c>
      <c r="D1495" s="273"/>
      <c r="E1495" s="273"/>
      <c r="F1495" s="273"/>
      <c r="G1495" s="274"/>
      <c r="H1495" s="354" t="str">
        <f>_xlfn.CONCAT(_xlfn.XLOOKUP("[S05_SmallEmittersTool][3][CountSmallEmitters]",Submission!$O:$O,Submission!$H:$N,""))</f>
        <v>5</v>
      </c>
      <c r="I1495" s="364"/>
    </row>
    <row r="1496" spans="1:9" s="58" customFormat="1" ht="32.25" customHeight="1" x14ac:dyDescent="0.3">
      <c r="A1496" s="75"/>
      <c r="C1496" s="272" t="s">
        <v>977</v>
      </c>
      <c r="D1496" s="273"/>
      <c r="E1496" s="273"/>
      <c r="F1496" s="273"/>
      <c r="G1496" s="274"/>
      <c r="H1496" s="354" t="str">
        <f>_xlfn.CONCAT(_xlfn.XLOOKUP("[S05_SmallEmittersTool][4][CountSmallEmitters]",Submission!$O:$O,Submission!$H:$N,""))</f>
        <v>7</v>
      </c>
      <c r="I1496" s="364"/>
    </row>
    <row r="1497" spans="1:9" ht="15.9" customHeight="1" x14ac:dyDescent="0.3">
      <c r="D1497" s="11"/>
      <c r="E1497" s="11"/>
      <c r="F1497" s="11"/>
      <c r="G1497" s="11"/>
    </row>
    <row r="1498" spans="1:9" ht="32.1" customHeight="1" x14ac:dyDescent="0.3">
      <c r="A1498" s="12" t="s">
        <v>337</v>
      </c>
      <c r="B1498" s="278" t="s">
        <v>978</v>
      </c>
      <c r="C1498" s="279"/>
      <c r="D1498" s="279"/>
      <c r="E1498" s="279"/>
      <c r="F1498" s="279"/>
      <c r="G1498" s="279"/>
      <c r="H1498" s="279"/>
      <c r="I1498" s="279"/>
    </row>
    <row r="1499" spans="1:9" ht="15.9" customHeight="1" x14ac:dyDescent="0.3">
      <c r="A1499" s="13"/>
      <c r="C1499" s="317" t="s">
        <v>979</v>
      </c>
      <c r="D1499" s="318"/>
      <c r="E1499" s="318"/>
      <c r="F1499" s="319"/>
      <c r="G1499" s="317" t="s">
        <v>980</v>
      </c>
      <c r="H1499" s="318"/>
      <c r="I1499" s="319"/>
    </row>
    <row r="1500" spans="1:9" ht="15.9" customHeight="1" x14ac:dyDescent="0.3">
      <c r="A1500" s="13"/>
      <c r="C1500" s="354" t="str">
        <f>_xlfn.CONCAT(_xlfn.XLOOKUP("[AircraftImprovementReportRequired][0][AircraftImprovementReportRequired]",Submission!$O:$O,Submission!$H:$N,""))</f>
        <v>0</v>
      </c>
      <c r="D1500" s="366"/>
      <c r="E1500" s="366"/>
      <c r="F1500" s="364"/>
      <c r="G1500" s="354" t="str">
        <f>_xlfn.CONCAT(_xlfn.XLOOKUP("[AircraftImprovementReportSubmitted][0][AircraftImprovementReportSubmitted]",Submission!$O:$O,Submission!$H:$N,""))</f>
        <v>0</v>
      </c>
      <c r="H1500" s="366"/>
      <c r="I1500" s="364"/>
    </row>
    <row r="1501" spans="1:9" ht="15.9" customHeight="1" x14ac:dyDescent="0.3">
      <c r="A1501" s="13"/>
      <c r="C1501" s="29"/>
      <c r="D1501" s="29"/>
    </row>
    <row r="1502" spans="1:9" ht="15.9" customHeight="1" x14ac:dyDescent="0.3">
      <c r="A1502" s="12" t="s">
        <v>343</v>
      </c>
      <c r="B1502" s="395" t="s">
        <v>981</v>
      </c>
      <c r="C1502" s="377"/>
      <c r="D1502" s="377"/>
      <c r="E1502" s="377"/>
      <c r="F1502" s="377"/>
      <c r="G1502" s="377"/>
      <c r="H1502" s="377"/>
      <c r="I1502" s="377"/>
    </row>
    <row r="1503" spans="1:9" ht="32.1" customHeight="1" x14ac:dyDescent="0.3">
      <c r="A1503" s="13"/>
      <c r="B1503" s="341" t="s">
        <v>937</v>
      </c>
      <c r="C1503" s="311"/>
      <c r="D1503" s="311"/>
      <c r="E1503" s="311"/>
      <c r="F1503" s="311"/>
      <c r="G1503" s="311"/>
      <c r="H1503" s="348"/>
      <c r="I1503" s="41" t="str">
        <f>_xlfn.CONCAT(_xlfn.XLOOKUP("[AircraftSimplifiedMonitoringArt13][0][AircraftSimplifiedMonitoringArt13]",Submission!$O:$O,Submission!$H:$N,""))</f>
        <v>No</v>
      </c>
    </row>
    <row r="1504" spans="1:9" ht="15.9" customHeight="1" x14ac:dyDescent="0.3">
      <c r="A1504" s="12"/>
      <c r="B1504" s="278" t="s">
        <v>982</v>
      </c>
      <c r="C1504" s="279"/>
      <c r="D1504" s="279"/>
      <c r="E1504" s="279"/>
      <c r="F1504" s="279"/>
      <c r="G1504" s="279"/>
      <c r="H1504" s="279"/>
      <c r="I1504" s="279"/>
    </row>
    <row r="1505" spans="1:9" ht="15.9" customHeight="1" x14ac:dyDescent="0.3">
      <c r="A1505" s="13"/>
      <c r="C1505" s="360" t="s">
        <v>939</v>
      </c>
      <c r="D1505" s="360"/>
      <c r="E1505" s="360"/>
      <c r="F1505" s="360"/>
      <c r="G1505" s="360" t="s">
        <v>940</v>
      </c>
      <c r="H1505" s="360"/>
      <c r="I1505" s="360"/>
    </row>
    <row r="1506" spans="1:9" ht="26.4" customHeight="1" x14ac:dyDescent="0.3">
      <c r="A1506" s="13"/>
      <c r="C1506" s="277" t="str">
        <f>_xlfn.CONCAT(_xlfn.XLOOKUP("[S05_AircraftSimplifiedMonitoringArt13Detail][1][AircraftRiskAssessmentType]",Submission!$O:$O,Submission!$H:$N,""))</f>
        <v/>
      </c>
      <c r="D1506" s="356"/>
      <c r="E1506" s="356"/>
      <c r="F1506" s="263"/>
      <c r="G1506" s="357" t="str">
        <f>_xlfn.CONCAT(_xlfn.XLOOKUP("[S05_AircraftSimplifiedMonitoringArt13Detail][1][AircraftGeneralRiskAssessmentPrinciples]",Submission!$O:$O,Submission!$H:$N,""))</f>
        <v/>
      </c>
      <c r="H1506" s="357"/>
      <c r="I1506" s="357"/>
    </row>
    <row r="1507" spans="1:9" ht="26.4" customHeight="1" x14ac:dyDescent="0.3">
      <c r="A1507" s="13"/>
      <c r="C1507" s="277" t="str">
        <f>_xlfn.CONCAT(_xlfn.XLOOKUP("[S05_AircraftSimplifiedMonitoringArt13Detail][2][AircraftRiskAssessmentType]",Submission!$O:$O,Submission!$H:$N,""))</f>
        <v/>
      </c>
      <c r="D1507" s="356"/>
      <c r="E1507" s="356"/>
      <c r="F1507" s="263"/>
      <c r="G1507" s="357" t="str">
        <f>_xlfn.CONCAT(_xlfn.XLOOKUP("[S05_AircraftSimplifiedMonitoringArt13Detail][2][AircraftGeneralRiskAssessmentPrinciples]",Submission!$O:$O,Submission!$H:$N,""))</f>
        <v/>
      </c>
      <c r="H1507" s="357"/>
      <c r="I1507" s="357"/>
    </row>
    <row r="1508" spans="1:9" ht="26.4" hidden="1" customHeight="1" outlineLevel="1" x14ac:dyDescent="0.3">
      <c r="A1508" s="13"/>
      <c r="C1508" s="277" t="str">
        <f>_xlfn.CONCAT(_xlfn.XLOOKUP("[S05_AircraftSimplifiedMonitoringArt13Detail][3][AircraftRiskAssessmentType]",Submission!$O:$O,Submission!$H:$N,""))</f>
        <v/>
      </c>
      <c r="D1508" s="356"/>
      <c r="E1508" s="356"/>
      <c r="F1508" s="263"/>
      <c r="G1508" s="357" t="str">
        <f>_xlfn.CONCAT(_xlfn.XLOOKUP("[S05_AircraftSimplifiedMonitoringArt13Detail][3][AircraftGeneralRiskAssessmentPrinciples]",Submission!$O:$O,Submission!$H:$N,""))</f>
        <v/>
      </c>
      <c r="H1508" s="357"/>
      <c r="I1508" s="357"/>
    </row>
    <row r="1509" spans="1:9" ht="26.4" hidden="1" customHeight="1" outlineLevel="1" x14ac:dyDescent="0.3">
      <c r="A1509" s="13"/>
      <c r="C1509" s="277" t="str">
        <f>_xlfn.CONCAT(_xlfn.XLOOKUP("[S05_AircraftSimplifiedMonitoringArt13Detail][4][AircraftRiskAssessmentType]",Submission!$O:$O,Submission!$H:$N,""))</f>
        <v/>
      </c>
      <c r="D1509" s="356"/>
      <c r="E1509" s="356"/>
      <c r="F1509" s="263"/>
      <c r="G1509" s="357" t="str">
        <f>_xlfn.CONCAT(_xlfn.XLOOKUP("[S05_AircraftSimplifiedMonitoringArt13Detail][4][AircraftGeneralRiskAssessmentPrinciples]",Submission!$O:$O,Submission!$H:$N,""))</f>
        <v/>
      </c>
      <c r="H1509" s="357"/>
      <c r="I1509" s="357"/>
    </row>
    <row r="1510" spans="1:9" ht="26.4" hidden="1" customHeight="1" outlineLevel="1" x14ac:dyDescent="0.3">
      <c r="A1510" s="13"/>
      <c r="C1510" s="277" t="str">
        <f>_xlfn.CONCAT(_xlfn.XLOOKUP("[S05_AircraftSimplifiedMonitoringArt13Detail][5][AircraftRiskAssessmentType]",Submission!$O:$O,Submission!$H:$N,""))</f>
        <v/>
      </c>
      <c r="D1510" s="356"/>
      <c r="E1510" s="356"/>
      <c r="F1510" s="263"/>
      <c r="G1510" s="357" t="str">
        <f>_xlfn.CONCAT(_xlfn.XLOOKUP("[S05_AircraftSimplifiedMonitoringArt13Detail][5][AircraftGeneralRiskAssessmentPrinciples]",Submission!$O:$O,Submission!$H:$N,""))</f>
        <v/>
      </c>
      <c r="H1510" s="357"/>
      <c r="I1510" s="357"/>
    </row>
    <row r="1511" spans="1:9" ht="15.9" customHeight="1" collapsed="1" x14ac:dyDescent="0.3">
      <c r="C1511" s="358" t="s">
        <v>941</v>
      </c>
      <c r="D1511" s="359"/>
      <c r="E1511" s="359"/>
      <c r="F1511" s="359"/>
      <c r="G1511" s="359"/>
      <c r="H1511" s="359"/>
      <c r="I1511" s="359"/>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56" activePane="bottomLeft" state="frozen"/>
      <selection sqref="A1:I1"/>
      <selection pane="bottomLeft" activeCell="G10" sqref="G10"/>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5" t="s">
        <v>983</v>
      </c>
      <c r="C3" s="455"/>
      <c r="D3" s="455"/>
      <c r="E3" s="455"/>
      <c r="F3" s="455"/>
      <c r="G3" s="455"/>
      <c r="H3" s="455"/>
      <c r="I3" s="455"/>
    </row>
    <row r="4" spans="1:9" s="7" customFormat="1" ht="18.899999999999999" customHeight="1" x14ac:dyDescent="0.3">
      <c r="A4" s="115" t="s">
        <v>984</v>
      </c>
      <c r="B4" s="456" t="s">
        <v>145</v>
      </c>
      <c r="C4" s="456"/>
      <c r="D4" s="456"/>
      <c r="E4" s="456"/>
      <c r="F4" s="456"/>
      <c r="G4" s="456"/>
      <c r="H4" s="456"/>
      <c r="I4" s="457"/>
    </row>
    <row r="5" spans="1:9" ht="34.200000000000003" customHeight="1" x14ac:dyDescent="0.3">
      <c r="A5" s="12" t="s">
        <v>350</v>
      </c>
      <c r="B5" s="315" t="s">
        <v>985</v>
      </c>
      <c r="C5" s="316"/>
      <c r="D5" s="316"/>
      <c r="E5" s="316"/>
      <c r="F5" s="316"/>
      <c r="G5" s="316"/>
      <c r="H5" s="316"/>
      <c r="I5" s="316"/>
    </row>
    <row r="6" spans="1:9" ht="22.95" customHeight="1" x14ac:dyDescent="0.3">
      <c r="C6" s="383"/>
      <c r="D6" s="383"/>
      <c r="E6" s="383"/>
      <c r="F6" s="425" t="s">
        <v>986</v>
      </c>
      <c r="G6" s="426"/>
      <c r="H6" s="458" t="s">
        <v>987</v>
      </c>
      <c r="I6" s="458"/>
    </row>
    <row r="7" spans="1:9" ht="29.4" customHeight="1" x14ac:dyDescent="0.3">
      <c r="C7" s="383"/>
      <c r="D7" s="383"/>
      <c r="E7" s="383"/>
      <c r="F7" s="46" t="s">
        <v>726</v>
      </c>
      <c r="G7" s="46" t="s">
        <v>988</v>
      </c>
      <c r="H7" s="116" t="s">
        <v>726</v>
      </c>
      <c r="I7" s="117" t="s">
        <v>989</v>
      </c>
    </row>
    <row r="8" spans="1:9" s="58" customFormat="1" ht="33.6" customHeight="1" x14ac:dyDescent="0.3">
      <c r="A8" s="75"/>
      <c r="C8" s="451" t="s">
        <v>990</v>
      </c>
      <c r="D8" s="452"/>
      <c r="E8" s="453"/>
      <c r="F8" s="105" t="str">
        <f>_xlfn.CONCAT(_xlfn.XLOOKUP("[S06_TotalVerifiers][1][CountVerifiersInstallations]",Submission!$O:$O,Submission!$H:$N,""))</f>
        <v>8</v>
      </c>
      <c r="G8" s="119"/>
      <c r="H8" s="105" t="str">
        <f>_xlfn.CONCAT(_xlfn.XLOOKUP("[S06_TotalVerifiers][1][CountVerifiersAviation]",Submission!$O:$O,Submission!$H:$N,""))</f>
        <v/>
      </c>
      <c r="I8" s="119"/>
    </row>
    <row r="9" spans="1:9" s="58" customFormat="1" ht="33.6" customHeight="1" x14ac:dyDescent="0.3">
      <c r="A9" s="75"/>
      <c r="C9" s="451" t="s">
        <v>991</v>
      </c>
      <c r="D9" s="452"/>
      <c r="E9" s="453"/>
      <c r="F9" s="105" t="str">
        <f>_xlfn.CONCAT(_xlfn.XLOOKUP("[S06_TotalVerifiers][2][CountVerifiersInstallations]",Submission!$O:$O,Submission!$H:$N,""))</f>
        <v/>
      </c>
      <c r="G9" s="119"/>
      <c r="H9" s="105" t="str">
        <f>_xlfn.CONCAT(_xlfn.XLOOKUP("[S06_TotalVerifiers][2][CountVerifiersAviation]",Submission!$O:$O,Submission!$H:$N,""))</f>
        <v/>
      </c>
      <c r="I9" s="119"/>
    </row>
    <row r="10" spans="1:9" s="58" customFormat="1" ht="33.6" customHeight="1" x14ac:dyDescent="0.3">
      <c r="A10" s="75"/>
      <c r="C10" s="451" t="s">
        <v>992</v>
      </c>
      <c r="D10" s="452"/>
      <c r="E10" s="453"/>
      <c r="F10" s="105" t="str">
        <f>_xlfn.CONCAT(_xlfn.XLOOKUP("[S06_TotalVerifiers][3][CountVerifiersInstallations]",Submission!$O:$O,Submission!$H:$N,""))</f>
        <v>3</v>
      </c>
      <c r="G10" s="72" t="str">
        <f>_xlfn.CONCAT(_xlfn.XLOOKUP("[S06_TotalVerifiers][3][MSVerifiersInstallations]",Submission!$O:$O,Submission!$H:$N,""))</f>
        <v>LV, CZ, FR</v>
      </c>
      <c r="H10" s="105" t="str">
        <f>_xlfn.CONCAT(_xlfn.XLOOKUP("[S06_TotalVerifiers][3][CountVerifiersAviation]",Submission!$O:$O,Submission!$H:$N,""))</f>
        <v>3</v>
      </c>
      <c r="I10" s="47" t="str">
        <f>_xlfn.CONCAT(_xlfn.XLOOKUP("[S06_TotalVerifiers][3][MSVerifiersAviation]",Submission!$O:$O,Submission!$H:$N,""))</f>
        <v>LV, CZ, FR</v>
      </c>
    </row>
    <row r="11" spans="1:9" s="58" customFormat="1" ht="33.6" customHeight="1" x14ac:dyDescent="0.3">
      <c r="A11" s="75"/>
      <c r="C11" s="454" t="s">
        <v>993</v>
      </c>
      <c r="D11" s="454"/>
      <c r="E11" s="454"/>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65" t="s">
        <v>994</v>
      </c>
      <c r="C12" s="265"/>
      <c r="D12" s="265"/>
      <c r="E12" s="265"/>
      <c r="F12" s="265"/>
      <c r="G12" s="265"/>
      <c r="H12" s="265"/>
      <c r="I12" s="265"/>
    </row>
    <row r="13" spans="1:9" ht="15.9" customHeight="1" x14ac:dyDescent="0.3">
      <c r="B13" s="265" t="s">
        <v>995</v>
      </c>
      <c r="C13" s="265"/>
      <c r="D13" s="265"/>
      <c r="E13" s="265"/>
      <c r="F13" s="265"/>
      <c r="G13" s="265"/>
      <c r="H13" s="265"/>
      <c r="I13" s="265"/>
    </row>
    <row r="14" spans="1:9" ht="15.9" customHeight="1" x14ac:dyDescent="0.3">
      <c r="B14" s="20"/>
      <c r="C14" s="20"/>
      <c r="D14" s="20"/>
      <c r="E14" s="20"/>
      <c r="F14" s="20"/>
      <c r="G14" s="20"/>
      <c r="H14" s="20"/>
      <c r="I14" s="20"/>
    </row>
    <row r="15" spans="1:9" ht="49.95" customHeight="1" x14ac:dyDescent="0.3">
      <c r="B15" s="278" t="s">
        <v>996</v>
      </c>
      <c r="C15" s="278"/>
      <c r="D15" s="278"/>
      <c r="E15" s="278"/>
      <c r="F15" s="278"/>
      <c r="G15" s="278"/>
      <c r="H15" s="278"/>
      <c r="I15" s="278"/>
    </row>
    <row r="16" spans="1:9" ht="39.75" customHeight="1" x14ac:dyDescent="0.3">
      <c r="B16" s="20"/>
      <c r="C16" s="317" t="s">
        <v>997</v>
      </c>
      <c r="D16" s="336"/>
      <c r="E16" s="336"/>
      <c r="F16" s="336"/>
      <c r="G16" s="337"/>
      <c r="H16" s="45" t="s">
        <v>998</v>
      </c>
      <c r="I16" s="45" t="s">
        <v>999</v>
      </c>
    </row>
    <row r="17" spans="2:9" ht="27.6" customHeight="1" x14ac:dyDescent="0.3">
      <c r="B17" s="20"/>
      <c r="C17" s="42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23"/>
      <c r="E17" s="423"/>
      <c r="F17" s="423"/>
      <c r="G17" s="424"/>
      <c r="H17" s="132" t="str">
        <f>_xlfn.CONCAT(_xlfn.XLOOKUP("[S06_AccredCertVerifiersAnnexI][1][NumberAccredited]",Submission!$O:$O,Submission!$H:$N,""))</f>
        <v>8</v>
      </c>
      <c r="I17" s="132" t="str">
        <f>_xlfn.CONCAT(_xlfn.XLOOKUP("[S06_AccredCertVerifiersAnnexI][1][NumberCertified]",Submission!$O:$O,Submission!$H:$N,""))</f>
        <v/>
      </c>
    </row>
    <row r="18" spans="2:9" ht="27.6" customHeight="1" x14ac:dyDescent="0.3">
      <c r="B18" s="20"/>
      <c r="C18" s="422" t="str">
        <f>_xlfn.CONCAT(_xlfn.XLOOKUP("[S06_AccredCertVerifiersAnnexI][2][AccredCertScope]",Submission!$O:$O,Submission!$H:$N,""))</f>
        <v>1b - Combustion of fuels in installations, without restrictions</v>
      </c>
      <c r="D18" s="423"/>
      <c r="E18" s="423"/>
      <c r="F18" s="423"/>
      <c r="G18" s="424"/>
      <c r="H18" s="132" t="str">
        <f>_xlfn.CONCAT(_xlfn.XLOOKUP("[S06_AccredCertVerifiersAnnexI][2][NumberAccredited]",Submission!$O:$O,Submission!$H:$N,""))</f>
        <v>7</v>
      </c>
      <c r="I18" s="132" t="str">
        <f>_xlfn.CONCAT(_xlfn.XLOOKUP("[S06_AccredCertVerifiersAnnexI][2][NumberCertified]",Submission!$O:$O,Submission!$H:$N,""))</f>
        <v/>
      </c>
    </row>
    <row r="19" spans="2:9" ht="27.6" customHeight="1" x14ac:dyDescent="0.3">
      <c r="B19" s="20"/>
      <c r="C19" s="422" t="str">
        <f>_xlfn.CONCAT(_xlfn.XLOOKUP("[S06_AccredCertVerifiersAnnexI][3][AccredCertScope]",Submission!$O:$O,Submission!$H:$N,""))</f>
        <v>2 - Refining of mineral oil</v>
      </c>
      <c r="D19" s="423"/>
      <c r="E19" s="423"/>
      <c r="F19" s="423"/>
      <c r="G19" s="424"/>
      <c r="H19" s="132" t="str">
        <f>_xlfn.CONCAT(_xlfn.XLOOKUP("[S06_AccredCertVerifiersAnnexI][3][NumberAccredited]",Submission!$O:$O,Submission!$H:$N,""))</f>
        <v>2</v>
      </c>
      <c r="I19" s="132" t="str">
        <f>_xlfn.CONCAT(_xlfn.XLOOKUP("[S06_AccredCertVerifiersAnnexI][3][NumberCertified]",Submission!$O:$O,Submission!$H:$N,""))</f>
        <v/>
      </c>
    </row>
    <row r="20" spans="2:9" ht="27.6" customHeight="1" x14ac:dyDescent="0.3">
      <c r="B20" s="20"/>
      <c r="C20" s="422" t="str">
        <f>_xlfn.CONCAT(_xlfn.XLOOKUP("[S06_AccredCertVerifiersAnnexI][4][AccredCertScope]",Submission!$O:$O,Submission!$H:$N,""))</f>
        <v xml:space="preserve">3 - Production of coke </v>
      </c>
      <c r="D20" s="423"/>
      <c r="E20" s="423"/>
      <c r="F20" s="423"/>
      <c r="G20" s="424"/>
      <c r="H20" s="132" t="str">
        <f>_xlfn.CONCAT(_xlfn.XLOOKUP("[S06_AccredCertVerifiersAnnexI][4][NumberAccredited]",Submission!$O:$O,Submission!$H:$N,""))</f>
        <v>5</v>
      </c>
      <c r="I20" s="132" t="str">
        <f>_xlfn.CONCAT(_xlfn.XLOOKUP("[S06_AccredCertVerifiersAnnexI][4][NumberCertified]",Submission!$O:$O,Submission!$H:$N,""))</f>
        <v/>
      </c>
    </row>
    <row r="21" spans="2:9" ht="27.6" customHeight="1" x14ac:dyDescent="0.3">
      <c r="B21" s="20"/>
      <c r="C21" s="422" t="str">
        <f>_xlfn.CONCAT(_xlfn.XLOOKUP("[S06_AccredCertVerifiersAnnexI][5][AccredCertScope]",Submission!$O:$O,Submission!$H:$N,""))</f>
        <v xml:space="preserve">3 - Metal ore (including sulphide ore) roasting or sintering, including pelletisation </v>
      </c>
      <c r="D21" s="423"/>
      <c r="E21" s="423"/>
      <c r="F21" s="423"/>
      <c r="G21" s="424"/>
      <c r="H21" s="132" t="str">
        <f>_xlfn.CONCAT(_xlfn.XLOOKUP("[S06_AccredCertVerifiersAnnexI][5][NumberAccredited]",Submission!$O:$O,Submission!$H:$N,""))</f>
        <v>6</v>
      </c>
      <c r="I21" s="132" t="str">
        <f>_xlfn.CONCAT(_xlfn.XLOOKUP("[S06_AccredCertVerifiersAnnexI][5][NumberCertified]",Submission!$O:$O,Submission!$H:$N,""))</f>
        <v/>
      </c>
    </row>
    <row r="22" spans="2:9" ht="27.6" customHeight="1" x14ac:dyDescent="0.3">
      <c r="B22" s="20"/>
      <c r="C22" s="422" t="str">
        <f>_xlfn.CONCAT(_xlfn.XLOOKUP("[S06_AccredCertVerifiersAnnexI][6][AccredCertScope]",Submission!$O:$O,Submission!$H:$N,""))</f>
        <v>3 - Production of pig iron or steel (primary or secondary fusion) including continuous casting</v>
      </c>
      <c r="D22" s="423"/>
      <c r="E22" s="423"/>
      <c r="F22" s="423"/>
      <c r="G22" s="424"/>
      <c r="H22" s="132" t="str">
        <f>_xlfn.CONCAT(_xlfn.XLOOKUP("[S06_AccredCertVerifiersAnnexI][6][NumberAccredited]",Submission!$O:$O,Submission!$H:$N,""))</f>
        <v>5</v>
      </c>
      <c r="I22" s="132" t="str">
        <f>_xlfn.CONCAT(_xlfn.XLOOKUP("[S06_AccredCertVerifiersAnnexI][6][NumberCertified]",Submission!$O:$O,Submission!$H:$N,""))</f>
        <v/>
      </c>
    </row>
    <row r="23" spans="2:9" ht="27.6" customHeight="1" x14ac:dyDescent="0.3">
      <c r="B23" s="20"/>
      <c r="C23" s="422" t="str">
        <f>_xlfn.CONCAT(_xlfn.XLOOKUP("[S06_AccredCertVerifiersAnnexI][7][AccredCertScope]",Submission!$O:$O,Submission!$H:$N,""))</f>
        <v xml:space="preserve">4 - Production or processing of ferrous metals (including ferro-alloys) </v>
      </c>
      <c r="D23" s="423"/>
      <c r="E23" s="423"/>
      <c r="F23" s="423"/>
      <c r="G23" s="424"/>
      <c r="H23" s="132" t="str">
        <f>_xlfn.CONCAT(_xlfn.XLOOKUP("[S06_AccredCertVerifiersAnnexI][7][NumberAccredited]",Submission!$O:$O,Submission!$H:$N,""))</f>
        <v>6</v>
      </c>
      <c r="I23" s="132" t="str">
        <f>_xlfn.CONCAT(_xlfn.XLOOKUP("[S06_AccredCertVerifiersAnnexI][7][NumberCertified]",Submission!$O:$O,Submission!$H:$N,""))</f>
        <v/>
      </c>
    </row>
    <row r="24" spans="2:9" ht="27.6" customHeight="1" x14ac:dyDescent="0.3">
      <c r="B24" s="20"/>
      <c r="C24" s="422" t="str">
        <f>_xlfn.CONCAT(_xlfn.XLOOKUP("[S06_AccredCertVerifiersAnnexI][8][AccredCertScope]",Submission!$O:$O,Submission!$H:$N,""))</f>
        <v xml:space="preserve">4 - Production of secondary aluminium </v>
      </c>
      <c r="D24" s="423"/>
      <c r="E24" s="423"/>
      <c r="F24" s="423"/>
      <c r="G24" s="424"/>
      <c r="H24" s="132" t="str">
        <f>_xlfn.CONCAT(_xlfn.XLOOKUP("[S06_AccredCertVerifiersAnnexI][8][NumberAccredited]",Submission!$O:$O,Submission!$H:$N,""))</f>
        <v>2</v>
      </c>
      <c r="I24" s="132" t="str">
        <f>_xlfn.CONCAT(_xlfn.XLOOKUP("[S06_AccredCertVerifiersAnnexI][8][NumberCertified]",Submission!$O:$O,Submission!$H:$N,""))</f>
        <v/>
      </c>
    </row>
    <row r="25" spans="2:9" ht="27.6" customHeight="1" x14ac:dyDescent="0.3">
      <c r="B25" s="20"/>
      <c r="C25" s="422" t="str">
        <f>_xlfn.CONCAT(_xlfn.XLOOKUP("[S06_AccredCertVerifiersAnnexI][9][AccredCertScope]",Submission!$O:$O,Submission!$H:$N,""))</f>
        <v xml:space="preserve">4 - Production or processing of non-ferrous metals, including production of alloys </v>
      </c>
      <c r="D25" s="423"/>
      <c r="E25" s="423"/>
      <c r="F25" s="423"/>
      <c r="G25" s="424"/>
      <c r="H25" s="132" t="str">
        <f>_xlfn.CONCAT(_xlfn.XLOOKUP("[S06_AccredCertVerifiersAnnexI][9][NumberAccredited]",Submission!$O:$O,Submission!$H:$N,""))</f>
        <v>4</v>
      </c>
      <c r="I25" s="132" t="str">
        <f>_xlfn.CONCAT(_xlfn.XLOOKUP("[S06_AccredCertVerifiersAnnexI][9][NumberCertified]",Submission!$O:$O,Submission!$H:$N,""))</f>
        <v/>
      </c>
    </row>
    <row r="26" spans="2:9" ht="27.6" customHeight="1" x14ac:dyDescent="0.3">
      <c r="B26" s="20"/>
      <c r="C26" s="422" t="str">
        <f>_xlfn.CONCAT(_xlfn.XLOOKUP("[S06_AccredCertVerifiersAnnexI][10][AccredCertScope]",Submission!$O:$O,Submission!$H:$N,""))</f>
        <v xml:space="preserve">5 - Production of primary aluminium (CO2 and PFC emissions) 6 </v>
      </c>
      <c r="D26" s="423"/>
      <c r="E26" s="423"/>
      <c r="F26" s="423"/>
      <c r="G26" s="424"/>
      <c r="H26" s="132" t="str">
        <f>_xlfn.CONCAT(_xlfn.XLOOKUP("[S06_AccredCertVerifiersAnnexI][10][NumberAccredited]",Submission!$O:$O,Submission!$H:$N,""))</f>
        <v>0</v>
      </c>
      <c r="I26" s="132" t="str">
        <f>_xlfn.CONCAT(_xlfn.XLOOKUP("[S06_AccredCertVerifiersAnnexI][10][NumberCertified]",Submission!$O:$O,Submission!$H:$N,""))</f>
        <v/>
      </c>
    </row>
    <row r="27" spans="2:9" ht="27.6" customHeight="1" x14ac:dyDescent="0.3">
      <c r="B27" s="20"/>
      <c r="C27" s="422" t="str">
        <f>_xlfn.CONCAT(_xlfn.XLOOKUP("[S06_AccredCertVerifiersAnnexI][11][AccredCertScope]",Submission!$O:$O,Submission!$H:$N,""))</f>
        <v xml:space="preserve">6 - Production of cement clinker </v>
      </c>
      <c r="D27" s="423"/>
      <c r="E27" s="423"/>
      <c r="F27" s="423"/>
      <c r="G27" s="424"/>
      <c r="H27" s="132" t="str">
        <f>_xlfn.CONCAT(_xlfn.XLOOKUP("[S06_AccredCertVerifiersAnnexI][11][NumberAccredited]",Submission!$O:$O,Submission!$H:$N,""))</f>
        <v>3</v>
      </c>
      <c r="I27" s="132" t="str">
        <f>_xlfn.CONCAT(_xlfn.XLOOKUP("[S06_AccredCertVerifiersAnnexI][11][NumberCertified]",Submission!$O:$O,Submission!$H:$N,""))</f>
        <v/>
      </c>
    </row>
    <row r="28" spans="2:9" ht="27.6" customHeight="1" x14ac:dyDescent="0.3">
      <c r="B28" s="20"/>
      <c r="C28" s="422" t="str">
        <f>_xlfn.CONCAT(_xlfn.XLOOKUP("[S06_AccredCertVerifiersAnnexI][12][AccredCertScope]",Submission!$O:$O,Submission!$H:$N,""))</f>
        <v xml:space="preserve">6 - Production of lime or calcination of dolomite or magnesite </v>
      </c>
      <c r="D28" s="423"/>
      <c r="E28" s="423"/>
      <c r="F28" s="423"/>
      <c r="G28" s="424"/>
      <c r="H28" s="132" t="str">
        <f>_xlfn.CONCAT(_xlfn.XLOOKUP("[S06_AccredCertVerifiersAnnexI][12][NumberAccredited]",Submission!$O:$O,Submission!$H:$N,""))</f>
        <v>5</v>
      </c>
      <c r="I28" s="132" t="str">
        <f>_xlfn.CONCAT(_xlfn.XLOOKUP("[S06_AccredCertVerifiersAnnexI][12][NumberCertified]",Submission!$O:$O,Submission!$H:$N,""))</f>
        <v/>
      </c>
    </row>
    <row r="29" spans="2:9" ht="27.6" hidden="1" customHeight="1" outlineLevel="1" x14ac:dyDescent="0.3">
      <c r="B29" s="20"/>
      <c r="C29" s="422" t="str">
        <f>_xlfn.CONCAT(_xlfn.XLOOKUP("[S06_AccredCertVerifiersAnnexI][13][AccredCertScope]",Submission!$O:$O,Submission!$H:$N,""))</f>
        <v xml:space="preserve">6 - Manufacture of glass including glass fibre </v>
      </c>
      <c r="D29" s="423"/>
      <c r="E29" s="423"/>
      <c r="F29" s="423"/>
      <c r="G29" s="424"/>
      <c r="H29" s="132" t="str">
        <f>_xlfn.CONCAT(_xlfn.XLOOKUP("[S06_AccredCertVerifiersAnnexI][13][NumberAccredited]",Submission!$O:$O,Submission!$H:$N,""))</f>
        <v>5</v>
      </c>
      <c r="I29" s="132" t="str">
        <f>_xlfn.CONCAT(_xlfn.XLOOKUP("[S06_AccredCertVerifiersAnnexI][13][NumberCertified]",Submission!$O:$O,Submission!$H:$N,""))</f>
        <v/>
      </c>
    </row>
    <row r="30" spans="2:9" ht="27.6" hidden="1" customHeight="1" outlineLevel="1" x14ac:dyDescent="0.3">
      <c r="B30" s="20"/>
      <c r="C30" s="422" t="str">
        <f>_xlfn.CONCAT(_xlfn.XLOOKUP("[S06_AccredCertVerifiersAnnexI][14][AccredCertScope]",Submission!$O:$O,Submission!$H:$N,""))</f>
        <v xml:space="preserve">6 - Manufacture of ceramic products by firing </v>
      </c>
      <c r="D30" s="423"/>
      <c r="E30" s="423"/>
      <c r="F30" s="423"/>
      <c r="G30" s="424"/>
      <c r="H30" s="132" t="str">
        <f>_xlfn.CONCAT(_xlfn.XLOOKUP("[S06_AccredCertVerifiersAnnexI][14][NumberAccredited]",Submission!$O:$O,Submission!$H:$N,""))</f>
        <v>7</v>
      </c>
      <c r="I30" s="132" t="str">
        <f>_xlfn.CONCAT(_xlfn.XLOOKUP("[S06_AccredCertVerifiersAnnexI][14][NumberCertified]",Submission!$O:$O,Submission!$H:$N,""))</f>
        <v/>
      </c>
    </row>
    <row r="31" spans="2:9" ht="27.6" hidden="1" customHeight="1" outlineLevel="1" x14ac:dyDescent="0.3">
      <c r="B31" s="20"/>
      <c r="C31" s="422" t="str">
        <f>_xlfn.CONCAT(_xlfn.XLOOKUP("[S06_AccredCertVerifiersAnnexI][15][AccredCertScope]",Submission!$O:$O,Submission!$H:$N,""))</f>
        <v xml:space="preserve">6 - Manufacture of mineral wool insulation material </v>
      </c>
      <c r="D31" s="423"/>
      <c r="E31" s="423"/>
      <c r="F31" s="423"/>
      <c r="G31" s="424"/>
      <c r="H31" s="132" t="str">
        <f>_xlfn.CONCAT(_xlfn.XLOOKUP("[S06_AccredCertVerifiersAnnexI][15][NumberAccredited]",Submission!$O:$O,Submission!$H:$N,""))</f>
        <v>5</v>
      </c>
      <c r="I31" s="132" t="str">
        <f>_xlfn.CONCAT(_xlfn.XLOOKUP("[S06_AccredCertVerifiersAnnexI][15][NumberCertified]",Submission!$O:$O,Submission!$H:$N,""))</f>
        <v/>
      </c>
    </row>
    <row r="32" spans="2:9" ht="27.6" hidden="1" customHeight="1" outlineLevel="1" x14ac:dyDescent="0.3">
      <c r="B32" s="20"/>
      <c r="C32" s="422" t="str">
        <f>_xlfn.CONCAT(_xlfn.XLOOKUP("[S06_AccredCertVerifiersAnnexI][16][AccredCertScope]",Submission!$O:$O,Submission!$H:$N,""))</f>
        <v>6 - Drying or calcination of gypsum or production of plaster boards and other gypsum products</v>
      </c>
      <c r="D32" s="423"/>
      <c r="E32" s="423"/>
      <c r="F32" s="423"/>
      <c r="G32" s="424"/>
      <c r="H32" s="132" t="str">
        <f>_xlfn.CONCAT(_xlfn.XLOOKUP("[S06_AccredCertVerifiersAnnexI][16][NumberAccredited]",Submission!$O:$O,Submission!$H:$N,""))</f>
        <v>5</v>
      </c>
      <c r="I32" s="132" t="str">
        <f>_xlfn.CONCAT(_xlfn.XLOOKUP("[S06_AccredCertVerifiersAnnexI][16][NumberCertified]",Submission!$O:$O,Submission!$H:$N,""))</f>
        <v/>
      </c>
    </row>
    <row r="33" spans="2:9" ht="27.6" hidden="1" customHeight="1" outlineLevel="1" x14ac:dyDescent="0.3">
      <c r="B33" s="20"/>
      <c r="C33" s="422" t="str">
        <f>_xlfn.CONCAT(_xlfn.XLOOKUP("[S06_AccredCertVerifiersAnnexI][17][AccredCertScope]",Submission!$O:$O,Submission!$H:$N,""))</f>
        <v xml:space="preserve">7 - Production of pulp from timber or other fibrous materials </v>
      </c>
      <c r="D33" s="423"/>
      <c r="E33" s="423"/>
      <c r="F33" s="423"/>
      <c r="G33" s="424"/>
      <c r="H33" s="132" t="str">
        <f>_xlfn.CONCAT(_xlfn.XLOOKUP("[S06_AccredCertVerifiersAnnexI][17][NumberAccredited]",Submission!$O:$O,Submission!$H:$N,""))</f>
        <v>4</v>
      </c>
      <c r="I33" s="132" t="str">
        <f>_xlfn.CONCAT(_xlfn.XLOOKUP("[S06_AccredCertVerifiersAnnexI][17][NumberCertified]",Submission!$O:$O,Submission!$H:$N,""))</f>
        <v/>
      </c>
    </row>
    <row r="34" spans="2:9" ht="27.6" hidden="1" customHeight="1" outlineLevel="1" x14ac:dyDescent="0.3">
      <c r="B34" s="20"/>
      <c r="C34" s="422" t="str">
        <f>_xlfn.CONCAT(_xlfn.XLOOKUP("[S06_AccredCertVerifiersAnnexI][18][AccredCertScope]",Submission!$O:$O,Submission!$H:$N,""))</f>
        <v>7 - Production of paper or cardboard</v>
      </c>
      <c r="D34" s="423"/>
      <c r="E34" s="423"/>
      <c r="F34" s="423"/>
      <c r="G34" s="424"/>
      <c r="H34" s="132" t="str">
        <f>_xlfn.CONCAT(_xlfn.XLOOKUP("[S06_AccredCertVerifiersAnnexI][18][NumberAccredited]",Submission!$O:$O,Submission!$H:$N,""))</f>
        <v>5</v>
      </c>
      <c r="I34" s="132" t="str">
        <f>_xlfn.CONCAT(_xlfn.XLOOKUP("[S06_AccredCertVerifiersAnnexI][18][NumberCertified]",Submission!$O:$O,Submission!$H:$N,""))</f>
        <v/>
      </c>
    </row>
    <row r="35" spans="2:9" ht="27.6" hidden="1" customHeight="1" outlineLevel="1" x14ac:dyDescent="0.3">
      <c r="B35" s="20"/>
      <c r="C35" s="422" t="str">
        <f>_xlfn.CONCAT(_xlfn.XLOOKUP("[S06_AccredCertVerifiersAnnexI][19][AccredCertScope]",Submission!$O:$O,Submission!$H:$N,""))</f>
        <v xml:space="preserve">8 - Production of carbon black </v>
      </c>
      <c r="D35" s="423"/>
      <c r="E35" s="423"/>
      <c r="F35" s="423"/>
      <c r="G35" s="424"/>
      <c r="H35" s="132" t="str">
        <f>_xlfn.CONCAT(_xlfn.XLOOKUP("[S06_AccredCertVerifiersAnnexI][19][NumberAccredited]",Submission!$O:$O,Submission!$H:$N,""))</f>
        <v>2</v>
      </c>
      <c r="I35" s="132" t="str">
        <f>_xlfn.CONCAT(_xlfn.XLOOKUP("[S06_AccredCertVerifiersAnnexI][19][NumberCertified]",Submission!$O:$O,Submission!$H:$N,""))</f>
        <v/>
      </c>
    </row>
    <row r="36" spans="2:9" ht="27.6" hidden="1" customHeight="1" outlineLevel="1" x14ac:dyDescent="0.3">
      <c r="B36" s="20"/>
      <c r="C36" s="422" t="str">
        <f>_xlfn.CONCAT(_xlfn.XLOOKUP("[S06_AccredCertVerifiersAnnexI][20][AccredCertScope]",Submission!$O:$O,Submission!$H:$N,""))</f>
        <v xml:space="preserve">8 - Production of ammonia </v>
      </c>
      <c r="D36" s="423"/>
      <c r="E36" s="423"/>
      <c r="F36" s="423"/>
      <c r="G36" s="424"/>
      <c r="H36" s="132" t="str">
        <f>_xlfn.CONCAT(_xlfn.XLOOKUP("[S06_AccredCertVerifiersAnnexI][20][NumberAccredited]",Submission!$O:$O,Submission!$H:$N,""))</f>
        <v>3</v>
      </c>
      <c r="I36" s="132" t="str">
        <f>_xlfn.CONCAT(_xlfn.XLOOKUP("[S06_AccredCertVerifiersAnnexI][20][NumberCertified]",Submission!$O:$O,Submission!$H:$N,""))</f>
        <v/>
      </c>
    </row>
    <row r="37" spans="2:9" ht="27.6" hidden="1" customHeight="1" outlineLevel="1" x14ac:dyDescent="0.3">
      <c r="B37" s="20"/>
      <c r="C37" s="422" t="str">
        <f>_xlfn.CONCAT(_xlfn.XLOOKUP("[S06_AccredCertVerifiersAnnexI][21][AccredCertScope]",Submission!$O:$O,Submission!$H:$N,""))</f>
        <v xml:space="preserve">8 - Production of bulk organic chemicals by cracking, reforming, partial or full oxidation or by similar processes </v>
      </c>
      <c r="D37" s="423"/>
      <c r="E37" s="423"/>
      <c r="F37" s="423"/>
      <c r="G37" s="424"/>
      <c r="H37" s="132" t="str">
        <f>_xlfn.CONCAT(_xlfn.XLOOKUP("[S06_AccredCertVerifiersAnnexI][21][NumberAccredited]",Submission!$O:$O,Submission!$H:$N,""))</f>
        <v>3</v>
      </c>
      <c r="I37" s="132" t="str">
        <f>_xlfn.CONCAT(_xlfn.XLOOKUP("[S06_AccredCertVerifiersAnnexI][21][NumberCertified]",Submission!$O:$O,Submission!$H:$N,""))</f>
        <v/>
      </c>
    </row>
    <row r="38" spans="2:9" ht="27.6" hidden="1" customHeight="1" outlineLevel="1" x14ac:dyDescent="0.3">
      <c r="B38" s="20"/>
      <c r="C38" s="422" t="str">
        <f>_xlfn.CONCAT(_xlfn.XLOOKUP("[S06_AccredCertVerifiersAnnexI][22][AccredCertScope]",Submission!$O:$O,Submission!$H:$N,""))</f>
        <v xml:space="preserve">8 - Production of hydrogen (H2) and synthesis gas by reforming or partial oxidation </v>
      </c>
      <c r="D38" s="423"/>
      <c r="E38" s="423"/>
      <c r="F38" s="423"/>
      <c r="G38" s="424"/>
      <c r="H38" s="132" t="str">
        <f>_xlfn.CONCAT(_xlfn.XLOOKUP("[S06_AccredCertVerifiersAnnexI][22][NumberAccredited]",Submission!$O:$O,Submission!$H:$N,""))</f>
        <v>3</v>
      </c>
      <c r="I38" s="132" t="str">
        <f>_xlfn.CONCAT(_xlfn.XLOOKUP("[S06_AccredCertVerifiersAnnexI][22][NumberCertified]",Submission!$O:$O,Submission!$H:$N,""))</f>
        <v/>
      </c>
    </row>
    <row r="39" spans="2:9" ht="27.6" hidden="1" customHeight="1" outlineLevel="1" x14ac:dyDescent="0.3">
      <c r="B39" s="20"/>
      <c r="C39" s="422" t="str">
        <f>_xlfn.CONCAT(_xlfn.XLOOKUP("[S06_AccredCertVerifiersAnnexI][23][AccredCertScope]",Submission!$O:$O,Submission!$H:$N,""))</f>
        <v>8 - Production of soda ash (Na2CO3) and sodium bicarbonate (NaHCO3)</v>
      </c>
      <c r="D39" s="423"/>
      <c r="E39" s="423"/>
      <c r="F39" s="423"/>
      <c r="G39" s="424"/>
      <c r="H39" s="132" t="str">
        <f>_xlfn.CONCAT(_xlfn.XLOOKUP("[S06_AccredCertVerifiersAnnexI][23][NumberAccredited]",Submission!$O:$O,Submission!$H:$N,""))</f>
        <v>3</v>
      </c>
      <c r="I39" s="132" t="str">
        <f>_xlfn.CONCAT(_xlfn.XLOOKUP("[S06_AccredCertVerifiersAnnexI][23][NumberCertified]",Submission!$O:$O,Submission!$H:$N,""))</f>
        <v/>
      </c>
    </row>
    <row r="40" spans="2:9" ht="27.6" hidden="1" customHeight="1" outlineLevel="1" x14ac:dyDescent="0.3">
      <c r="B40" s="20"/>
      <c r="C40" s="422" t="str">
        <f>_xlfn.CONCAT(_xlfn.XLOOKUP("[S06_AccredCertVerifiersAnnexI][24][AccredCertScope]",Submission!$O:$O,Submission!$H:$N,""))</f>
        <v xml:space="preserve">9 - Production of nitric acid (CO2 and N2O emissions) </v>
      </c>
      <c r="D40" s="423"/>
      <c r="E40" s="423"/>
      <c r="F40" s="423"/>
      <c r="G40" s="424"/>
      <c r="H40" s="132" t="str">
        <f>_xlfn.CONCAT(_xlfn.XLOOKUP("[S06_AccredCertVerifiersAnnexI][24][NumberAccredited]",Submission!$O:$O,Submission!$H:$N,""))</f>
        <v>3</v>
      </c>
      <c r="I40" s="132" t="str">
        <f>_xlfn.CONCAT(_xlfn.XLOOKUP("[S06_AccredCertVerifiersAnnexI][24][NumberCertified]",Submission!$O:$O,Submission!$H:$N,""))</f>
        <v/>
      </c>
    </row>
    <row r="41" spans="2:9" ht="27.6" hidden="1" customHeight="1" outlineLevel="1" x14ac:dyDescent="0.3">
      <c r="B41" s="20"/>
      <c r="C41" s="422" t="str">
        <f>_xlfn.CONCAT(_xlfn.XLOOKUP("[S06_AccredCertVerifiersAnnexI][25][AccredCertScope]",Submission!$O:$O,Submission!$H:$N,""))</f>
        <v xml:space="preserve">9 - Production of adipic acid (CO2 and N2O emissions) </v>
      </c>
      <c r="D41" s="423"/>
      <c r="E41" s="423"/>
      <c r="F41" s="423"/>
      <c r="G41" s="424"/>
      <c r="H41" s="132" t="str">
        <f>_xlfn.CONCAT(_xlfn.XLOOKUP("[S06_AccredCertVerifiersAnnexI][25][NumberAccredited]",Submission!$O:$O,Submission!$H:$N,""))</f>
        <v>1</v>
      </c>
      <c r="I41" s="132" t="str">
        <f>_xlfn.CONCAT(_xlfn.XLOOKUP("[S06_AccredCertVerifiersAnnexI][25][NumberCertified]",Submission!$O:$O,Submission!$H:$N,""))</f>
        <v/>
      </c>
    </row>
    <row r="42" spans="2:9" ht="27.6" hidden="1" customHeight="1" outlineLevel="1" x14ac:dyDescent="0.3">
      <c r="B42" s="20"/>
      <c r="C42" s="422" t="str">
        <f>_xlfn.CONCAT(_xlfn.XLOOKUP("[S06_AccredCertVerifiersAnnexI][26][AccredCertScope]",Submission!$O:$O,Submission!$H:$N,""))</f>
        <v>9 - Production of glyoxal and glyoxylic acid (CO2 and N2O emissions)</v>
      </c>
      <c r="D42" s="423"/>
      <c r="E42" s="423"/>
      <c r="F42" s="423"/>
      <c r="G42" s="424"/>
      <c r="H42" s="132" t="str">
        <f>_xlfn.CONCAT(_xlfn.XLOOKUP("[S06_AccredCertVerifiersAnnexI][26][NumberAccredited]",Submission!$O:$O,Submission!$H:$N,""))</f>
        <v>1</v>
      </c>
      <c r="I42" s="132" t="str">
        <f>_xlfn.CONCAT(_xlfn.XLOOKUP("[S06_AccredCertVerifiersAnnexI][26][NumberCertified]",Submission!$O:$O,Submission!$H:$N,""))</f>
        <v/>
      </c>
    </row>
    <row r="43" spans="2:9" ht="27.6" hidden="1" customHeight="1" outlineLevel="1" x14ac:dyDescent="0.3">
      <c r="B43" s="20"/>
      <c r="C43" s="422" t="str">
        <f>_xlfn.CONCAT(_xlfn.XLOOKUP("[S06_AccredCertVerifiersAnnexI][27][AccredCertScope]",Submission!$O:$O,Submission!$H:$N,""))</f>
        <v xml:space="preserve">10 - Capture of greenhouse gases from installations covered by Directive 2003/87/EC for the purpose of transport and geological storage in a storage site permitted under Directive 2009/31/EC </v>
      </c>
      <c r="D43" s="423"/>
      <c r="E43" s="423"/>
      <c r="F43" s="423"/>
      <c r="G43" s="424"/>
      <c r="H43" s="132" t="str">
        <f>_xlfn.CONCAT(_xlfn.XLOOKUP("[S06_AccredCertVerifiersAnnexI][27][NumberAccredited]",Submission!$O:$O,Submission!$H:$N,""))</f>
        <v>0</v>
      </c>
      <c r="I43" s="132" t="str">
        <f>_xlfn.CONCAT(_xlfn.XLOOKUP("[S06_AccredCertVerifiersAnnexI][27][NumberCertified]",Submission!$O:$O,Submission!$H:$N,""))</f>
        <v/>
      </c>
    </row>
    <row r="44" spans="2:9" ht="27.6" hidden="1" customHeight="1" outlineLevel="1" x14ac:dyDescent="0.3">
      <c r="B44" s="20"/>
      <c r="C44" s="422" t="str">
        <f>_xlfn.CONCAT(_xlfn.XLOOKUP("[S06_AccredCertVerifiersAnnexI][28][AccredCertScope]",Submission!$O:$O,Submission!$H:$N,""))</f>
        <v>10 - Transport of greenhouse gases by pipelines for geological storage in a storage site permitted under Directive 2009/31/EC</v>
      </c>
      <c r="D44" s="423"/>
      <c r="E44" s="423"/>
      <c r="F44" s="423"/>
      <c r="G44" s="424"/>
      <c r="H44" s="132" t="str">
        <f>_xlfn.CONCAT(_xlfn.XLOOKUP("[S06_AccredCertVerifiersAnnexI][28][NumberAccredited]",Submission!$O:$O,Submission!$H:$N,""))</f>
        <v>0</v>
      </c>
      <c r="I44" s="132" t="str">
        <f>_xlfn.CONCAT(_xlfn.XLOOKUP("[S06_AccredCertVerifiersAnnexI][28][NumberCertified]",Submission!$O:$O,Submission!$H:$N,""))</f>
        <v/>
      </c>
    </row>
    <row r="45" spans="2:9" ht="27.6" hidden="1" customHeight="1" outlineLevel="1" x14ac:dyDescent="0.3">
      <c r="B45" s="20"/>
      <c r="C45" s="422" t="str">
        <f>_xlfn.CONCAT(_xlfn.XLOOKUP("[S06_AccredCertVerifiersAnnexI][29][AccredCertScope]",Submission!$O:$O,Submission!$H:$N,""))</f>
        <v>11 - Geological storage of greenhouse gases in a storage site permitted under Directive 2009/31/EC</v>
      </c>
      <c r="D45" s="423"/>
      <c r="E45" s="423"/>
      <c r="F45" s="423"/>
      <c r="G45" s="424"/>
      <c r="H45" s="132" t="str">
        <f>_xlfn.CONCAT(_xlfn.XLOOKUP("[S06_AccredCertVerifiersAnnexI][29][NumberAccredited]",Submission!$O:$O,Submission!$H:$N,""))</f>
        <v>0</v>
      </c>
      <c r="I45" s="132" t="str">
        <f>_xlfn.CONCAT(_xlfn.XLOOKUP("[S06_AccredCertVerifiersAnnexI][29][NumberCertified]",Submission!$O:$O,Submission!$H:$N,""))</f>
        <v/>
      </c>
    </row>
    <row r="46" spans="2:9" ht="27.6" hidden="1" customHeight="1" outlineLevel="1" x14ac:dyDescent="0.3">
      <c r="B46" s="20"/>
      <c r="C46" s="422" t="str">
        <f>_xlfn.CONCAT(_xlfn.XLOOKUP("[S06_AccredCertVerifiersAnnexI][30][AccredCertScope]",Submission!$O:$O,Submission!$H:$N,""))</f>
        <v>12 - Aviation activities (emissions and tonne-kilometre data)</v>
      </c>
      <c r="D46" s="423"/>
      <c r="E46" s="423"/>
      <c r="F46" s="423"/>
      <c r="G46" s="424"/>
      <c r="H46" s="132" t="str">
        <f>_xlfn.CONCAT(_xlfn.XLOOKUP("[S06_AccredCertVerifiersAnnexI][30][NumberAccredited]",Submission!$O:$O,Submission!$H:$N,""))</f>
        <v>0</v>
      </c>
      <c r="I46" s="132" t="str">
        <f>_xlfn.CONCAT(_xlfn.XLOOKUP("[S06_AccredCertVerifiersAnnexI][30][NumberCertified]",Submission!$O:$O,Submission!$H:$N,""))</f>
        <v/>
      </c>
    </row>
    <row r="47" spans="2:9" ht="27.6" hidden="1" customHeight="1" outlineLevel="1" x14ac:dyDescent="0.3">
      <c r="B47" s="20"/>
      <c r="C47" s="422" t="str">
        <f>_xlfn.CONCAT(_xlfn.XLOOKUP("[S06_AccredCertVerifiersAnnexI][31][AccredCertScope]",Submission!$O:$O,Submission!$H:$N,""))</f>
        <v>98 - Other activities pursuant to Article 10a of Directive 2003/87/EC</v>
      </c>
      <c r="D47" s="423"/>
      <c r="E47" s="423"/>
      <c r="F47" s="423"/>
      <c r="G47" s="424"/>
      <c r="H47" s="132" t="str">
        <f>_xlfn.CONCAT(_xlfn.XLOOKUP("[S06_AccredCertVerifiersAnnexI][31][NumberAccredited]",Submission!$O:$O,Submission!$H:$N,""))</f>
        <v>7</v>
      </c>
      <c r="I47" s="132" t="str">
        <f>_xlfn.CONCAT(_xlfn.XLOOKUP("[S06_AccredCertVerifiersAnnexI][31][NumberCertified]",Submission!$O:$O,Submission!$H:$N,""))</f>
        <v/>
      </c>
    </row>
    <row r="48" spans="2:9" ht="27.6" hidden="1" customHeight="1" outlineLevel="1" x14ac:dyDescent="0.3">
      <c r="B48" s="20"/>
      <c r="C48" s="422" t="str">
        <f>_xlfn.CONCAT(_xlfn.XLOOKUP("[S06_AccredCertVerifiersAnnexI][32][AccredCertScope]",Submission!$O:$O,Submission!$H:$N,""))</f>
        <v>99 - Other activities, included by a Member State pursuant to Article 24 of Directive 2003/87/EC, to be specified in detail in the accreditation certificate</v>
      </c>
      <c r="D48" s="423"/>
      <c r="E48" s="423"/>
      <c r="F48" s="423"/>
      <c r="G48" s="424"/>
      <c r="H48" s="132" t="str">
        <f>_xlfn.CONCAT(_xlfn.XLOOKUP("[S06_AccredCertVerifiersAnnexI][32][NumberAccredited]",Submission!$O:$O,Submission!$H:$N,""))</f>
        <v>0</v>
      </c>
      <c r="I48" s="132" t="str">
        <f>_xlfn.CONCAT(_xlfn.XLOOKUP("[S06_AccredCertVerifiersAnnexI][32][NumberCertified]",Submission!$O:$O,Submission!$H:$N,""))</f>
        <v/>
      </c>
    </row>
    <row r="49" spans="1:9" ht="27.6" hidden="1" customHeight="1" outlineLevel="1" x14ac:dyDescent="0.3">
      <c r="B49" s="20"/>
      <c r="C49" s="422" t="str">
        <f>_xlfn.CONCAT(_xlfn.XLOOKUP("[S06_AccredCertVerifiersAnnexI][33][AccredCertScope]",Submission!$O:$O,Submission!$H:$N,""))</f>
        <v/>
      </c>
      <c r="D49" s="423"/>
      <c r="E49" s="423"/>
      <c r="F49" s="423"/>
      <c r="G49" s="42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22" t="str">
        <f>_xlfn.CONCAT(_xlfn.XLOOKUP("[S06_AccredCertVerifiersAnnexI][34][AccredCertScope]",Submission!$O:$O,Submission!$H:$N,""))</f>
        <v/>
      </c>
      <c r="D50" s="423"/>
      <c r="E50" s="423"/>
      <c r="F50" s="423"/>
      <c r="G50" s="42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10" t="s">
        <v>1001</v>
      </c>
      <c r="C53" s="311"/>
      <c r="D53" s="311"/>
      <c r="E53" s="311"/>
      <c r="F53" s="311"/>
      <c r="G53" s="311"/>
      <c r="H53" s="311"/>
      <c r="I53" s="311"/>
    </row>
    <row r="54" spans="1:9" ht="15.9" customHeight="1" x14ac:dyDescent="0.3">
      <c r="A54" s="13"/>
      <c r="C54" s="317" t="s">
        <v>1002</v>
      </c>
      <c r="D54" s="336"/>
      <c r="E54" s="336"/>
      <c r="F54" s="336"/>
      <c r="G54" s="336"/>
      <c r="H54" s="336"/>
      <c r="I54" s="337"/>
    </row>
    <row r="55" spans="1:9" ht="43.95" customHeight="1" x14ac:dyDescent="0.3">
      <c r="A55" s="13"/>
      <c r="C55" s="431" t="s">
        <v>1003</v>
      </c>
      <c r="D55" s="432"/>
      <c r="E55" s="432"/>
      <c r="F55" s="433"/>
      <c r="G55" s="317" t="s">
        <v>1004</v>
      </c>
      <c r="H55" s="337"/>
      <c r="I55" s="42" t="s">
        <v>1005</v>
      </c>
    </row>
    <row r="56" spans="1:9" ht="24" customHeight="1" x14ac:dyDescent="0.3">
      <c r="A56" s="13"/>
      <c r="C56" s="434"/>
      <c r="D56" s="435"/>
      <c r="E56" s="435"/>
      <c r="F56" s="436"/>
      <c r="G56" s="261" t="str">
        <f>_xlfn.CONCAT(_xlfn.XLOOKUP("[S06_ApplicationInformationExchangeRequirements1][1][FromOwnMS]",Submission!$O:$O,Submission!$H:$N,""))</f>
        <v>Yes</v>
      </c>
      <c r="H56" s="263"/>
      <c r="I56" s="47" t="str">
        <f>_xlfn.CONCAT(_xlfn.XLOOKUP("[S06_ApplicationInformationExchangeRequirements1][1][FromOtherMS]",Submission!$O:$O,Submission!$H:$N,""))</f>
        <v>No</v>
      </c>
    </row>
    <row r="57" spans="1:9" ht="43.95" customHeight="1" x14ac:dyDescent="0.3">
      <c r="A57" s="13"/>
      <c r="C57" s="431" t="s">
        <v>1006</v>
      </c>
      <c r="D57" s="432"/>
      <c r="E57" s="432"/>
      <c r="F57" s="433"/>
      <c r="G57" s="317" t="s">
        <v>1004</v>
      </c>
      <c r="H57" s="337"/>
      <c r="I57" s="42" t="s">
        <v>1005</v>
      </c>
    </row>
    <row r="58" spans="1:9" ht="24" customHeight="1" x14ac:dyDescent="0.3">
      <c r="A58" s="13"/>
      <c r="C58" s="434"/>
      <c r="D58" s="435"/>
      <c r="E58" s="435"/>
      <c r="F58" s="436"/>
      <c r="G58" s="261" t="str">
        <f>_xlfn.CONCAT(_xlfn.XLOOKUP("[S06_ApplicationInformationExchangeRequirements1][2][FromOwnMS]",Submission!$O:$O,Submission!$H:$N,""))</f>
        <v>Yes</v>
      </c>
      <c r="H58" s="263"/>
      <c r="I58" s="47" t="str">
        <f>_xlfn.CONCAT(_xlfn.XLOOKUP("[S06_ApplicationInformationExchangeRequirements1][2][FromOtherMS]",Submission!$O:$O,Submission!$H:$N,""))</f>
        <v>No</v>
      </c>
    </row>
    <row r="59" spans="1:9" ht="43.95" customHeight="1" x14ac:dyDescent="0.3">
      <c r="A59" s="13"/>
      <c r="C59" s="431" t="s">
        <v>1007</v>
      </c>
      <c r="D59" s="432"/>
      <c r="E59" s="432"/>
      <c r="F59" s="433"/>
      <c r="G59" s="317" t="s">
        <v>1008</v>
      </c>
      <c r="H59" s="337"/>
      <c r="I59" s="42" t="s">
        <v>1009</v>
      </c>
    </row>
    <row r="60" spans="1:9" ht="24" customHeight="1" x14ac:dyDescent="0.3">
      <c r="A60" s="13"/>
      <c r="C60" s="434"/>
      <c r="D60" s="435"/>
      <c r="E60" s="435"/>
      <c r="F60" s="436"/>
      <c r="G60" s="261" t="str">
        <f>_xlfn.CONCAT(_xlfn.XLOOKUP("[S06_ApplicationInformationExchangeRequirements1][3][FromOwnMS]",Submission!$O:$O,Submission!$H:$N,""))</f>
        <v>Yes</v>
      </c>
      <c r="H60" s="263"/>
      <c r="I60" s="47" t="str">
        <f>_xlfn.CONCAT(_xlfn.XLOOKUP("[S06_ApplicationInformationExchangeRequirements1][3][FromOtherMS]",Submission!$O:$O,Submission!$H:$N,""))</f>
        <v>No</v>
      </c>
    </row>
    <row r="61" spans="1:9" ht="26.4" customHeight="1" x14ac:dyDescent="0.3">
      <c r="A61" s="13"/>
      <c r="C61" s="431" t="s">
        <v>1010</v>
      </c>
      <c r="D61" s="432"/>
      <c r="E61" s="432"/>
      <c r="F61" s="433"/>
      <c r="G61" s="42" t="s">
        <v>1011</v>
      </c>
      <c r="H61" s="42" t="s">
        <v>1012</v>
      </c>
      <c r="I61" s="42" t="s">
        <v>1013</v>
      </c>
    </row>
    <row r="62" spans="1:9" ht="24" customHeight="1" x14ac:dyDescent="0.3">
      <c r="A62" s="13"/>
      <c r="C62" s="434"/>
      <c r="D62" s="435"/>
      <c r="E62" s="435"/>
      <c r="F62" s="436"/>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1" t="s">
        <v>1014</v>
      </c>
      <c r="D63" s="432"/>
      <c r="E63" s="432"/>
      <c r="F63" s="433"/>
      <c r="G63" s="42" t="s">
        <v>1011</v>
      </c>
      <c r="H63" s="42" t="s">
        <v>1012</v>
      </c>
      <c r="I63" s="42" t="s">
        <v>1013</v>
      </c>
    </row>
    <row r="64" spans="1:9" ht="24" customHeight="1" x14ac:dyDescent="0.3">
      <c r="A64" s="13"/>
      <c r="C64" s="434"/>
      <c r="D64" s="435"/>
      <c r="E64" s="435"/>
      <c r="F64" s="436"/>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5"/>
      <c r="E65" s="275"/>
      <c r="F65" s="276"/>
      <c r="G65" s="354" t="str">
        <f>_xlfn.CONCAT(_xlfn.XLOOKUP("[S06_ApplicationInformationExchangeRequirements3][0][TimesSurveillanceRequested]",Submission!$O:$O,Submission!$H:$N,""))</f>
        <v>0</v>
      </c>
      <c r="H65" s="366"/>
      <c r="I65" s="364"/>
    </row>
    <row r="66" spans="1:9" ht="43.95" customHeight="1" x14ac:dyDescent="0.3">
      <c r="A66" s="13"/>
      <c r="C66" s="431" t="s">
        <v>1016</v>
      </c>
      <c r="D66" s="432"/>
      <c r="E66" s="432"/>
      <c r="F66" s="433"/>
      <c r="G66" s="42" t="s">
        <v>1017</v>
      </c>
      <c r="H66" s="42" t="s">
        <v>1018</v>
      </c>
      <c r="I66" s="42" t="s">
        <v>1019</v>
      </c>
    </row>
    <row r="67" spans="1:9" ht="24" customHeight="1" x14ac:dyDescent="0.3">
      <c r="A67" s="13"/>
      <c r="C67" s="434"/>
      <c r="D67" s="435"/>
      <c r="E67" s="435"/>
      <c r="F67" s="436"/>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1" t="s">
        <v>1020</v>
      </c>
      <c r="D68" s="432"/>
      <c r="E68" s="432"/>
      <c r="F68" s="433"/>
      <c r="G68" s="42" t="s">
        <v>1017</v>
      </c>
      <c r="H68" s="42" t="s">
        <v>1018</v>
      </c>
      <c r="I68" s="42" t="s">
        <v>1019</v>
      </c>
    </row>
    <row r="69" spans="1:9" ht="24" customHeight="1" x14ac:dyDescent="0.3">
      <c r="A69" s="13"/>
      <c r="C69" s="434"/>
      <c r="D69" s="435"/>
      <c r="E69" s="435"/>
      <c r="F69" s="436"/>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1" t="s">
        <v>1021</v>
      </c>
      <c r="D70" s="432"/>
      <c r="E70" s="432"/>
      <c r="F70" s="433"/>
      <c r="G70" s="42" t="s">
        <v>1022</v>
      </c>
      <c r="H70" s="42" t="s">
        <v>1018</v>
      </c>
      <c r="I70" s="42" t="s">
        <v>1019</v>
      </c>
    </row>
    <row r="71" spans="1:9" ht="24" customHeight="1" x14ac:dyDescent="0.3">
      <c r="A71" s="13"/>
      <c r="C71" s="434"/>
      <c r="D71" s="435"/>
      <c r="E71" s="435"/>
      <c r="F71" s="436"/>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400" t="s">
        <v>1023</v>
      </c>
      <c r="D72" s="400"/>
      <c r="E72" s="400"/>
      <c r="F72" s="400"/>
      <c r="G72" s="400"/>
      <c r="H72" s="400"/>
      <c r="I72" s="400"/>
    </row>
    <row r="73" spans="1:9" ht="15.9" customHeight="1" x14ac:dyDescent="0.3">
      <c r="A73" s="13"/>
      <c r="C73" s="282" t="s">
        <v>1024</v>
      </c>
      <c r="D73" s="282"/>
      <c r="E73" s="282"/>
      <c r="F73" s="282"/>
      <c r="G73" s="282"/>
      <c r="H73" s="282"/>
      <c r="I73" s="282"/>
    </row>
    <row r="74" spans="1:9" ht="15.9" customHeight="1" x14ac:dyDescent="0.3">
      <c r="A74" s="13"/>
      <c r="C74" s="24"/>
      <c r="D74" s="24"/>
      <c r="E74" s="24"/>
      <c r="F74" s="24"/>
      <c r="G74" s="118"/>
      <c r="H74" s="118"/>
      <c r="I74" s="24"/>
    </row>
    <row r="75" spans="1:9" ht="18.899999999999999" customHeight="1" x14ac:dyDescent="0.35">
      <c r="A75" s="85" t="s">
        <v>1025</v>
      </c>
      <c r="B75" s="313" t="s">
        <v>74</v>
      </c>
      <c r="C75" s="313"/>
      <c r="D75" s="313"/>
      <c r="E75" s="313"/>
      <c r="F75" s="313"/>
      <c r="G75" s="313"/>
      <c r="H75" s="313"/>
      <c r="I75" s="314"/>
    </row>
    <row r="76" spans="1:9" ht="36.6" customHeight="1" x14ac:dyDescent="0.3">
      <c r="A76" s="12" t="s">
        <v>365</v>
      </c>
      <c r="B76" s="315" t="s">
        <v>1026</v>
      </c>
      <c r="C76" s="316"/>
      <c r="D76" s="316"/>
      <c r="E76" s="316"/>
      <c r="F76" s="316"/>
      <c r="G76" s="316"/>
      <c r="H76" s="316"/>
      <c r="I76" s="316"/>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82" t="s">
        <v>1033</v>
      </c>
      <c r="D119" s="283"/>
      <c r="E119" s="283"/>
      <c r="F119" s="283"/>
      <c r="G119" s="283"/>
      <c r="H119" s="283"/>
      <c r="I119" s="283"/>
    </row>
    <row r="120" spans="1:9" s="11" customFormat="1" ht="41.25" customHeight="1" x14ac:dyDescent="0.3">
      <c r="C120" s="282" t="s">
        <v>1034</v>
      </c>
      <c r="D120" s="283"/>
      <c r="E120" s="283"/>
      <c r="F120" s="283"/>
      <c r="G120" s="283"/>
      <c r="H120" s="283"/>
      <c r="I120" s="283"/>
    </row>
    <row r="121" spans="1:9" s="11" customFormat="1" ht="28.95" customHeight="1" x14ac:dyDescent="0.3">
      <c r="C121" s="282" t="s">
        <v>1035</v>
      </c>
      <c r="D121" s="283"/>
      <c r="E121" s="283"/>
      <c r="F121" s="283"/>
      <c r="G121" s="283"/>
      <c r="H121" s="283"/>
      <c r="I121" s="283"/>
    </row>
    <row r="122" spans="1:9" s="11" customFormat="1" ht="14.4" x14ac:dyDescent="0.3"/>
    <row r="123" spans="1:9" ht="18.600000000000001" customHeight="1" x14ac:dyDescent="0.3">
      <c r="B123" s="278" t="s">
        <v>1036</v>
      </c>
      <c r="C123" s="278"/>
      <c r="D123" s="278"/>
      <c r="E123" s="278"/>
      <c r="F123" s="278"/>
      <c r="G123" s="278"/>
      <c r="H123" s="278"/>
      <c r="I123" s="278"/>
    </row>
    <row r="124" spans="1:9" ht="15.9" customHeight="1" x14ac:dyDescent="0.3">
      <c r="C124" s="320" t="s">
        <v>1037</v>
      </c>
      <c r="D124" s="373"/>
      <c r="E124" s="373"/>
      <c r="F124" s="373"/>
      <c r="G124" s="321"/>
      <c r="H124" s="320" t="s">
        <v>76</v>
      </c>
      <c r="I124" s="332"/>
    </row>
    <row r="125" spans="1:9" ht="18" customHeight="1" x14ac:dyDescent="0.3">
      <c r="C125" s="249" t="s">
        <v>1038</v>
      </c>
      <c r="D125" s="275"/>
      <c r="E125" s="275"/>
      <c r="F125" s="275"/>
      <c r="G125" s="276"/>
      <c r="H125" s="354" t="str">
        <f>_xlfn.CONCAT(_xlfn.XLOOKUP("[S06_NegativeOpinionInstallations][1][CountNegativeOpinions]",Submission!$O:$O,Submission!$H:$N,""))</f>
        <v>18</v>
      </c>
      <c r="I125" s="364"/>
    </row>
    <row r="126" spans="1:9" ht="18" customHeight="1" x14ac:dyDescent="0.3">
      <c r="C126" s="249" t="s">
        <v>1039</v>
      </c>
      <c r="D126" s="275"/>
      <c r="E126" s="275"/>
      <c r="F126" s="275"/>
      <c r="G126" s="276"/>
      <c r="H126" s="354" t="str">
        <f>_xlfn.CONCAT(_xlfn.XLOOKUP("[S06_NegativeOpinionInstallations][2][CountNegativeOpinions]",Submission!$O:$O,Submission!$H:$N,""))</f>
        <v>0</v>
      </c>
      <c r="I126" s="364"/>
    </row>
    <row r="127" spans="1:9" ht="18" customHeight="1" x14ac:dyDescent="0.3">
      <c r="C127" s="249" t="s">
        <v>1040</v>
      </c>
      <c r="D127" s="275"/>
      <c r="E127" s="275"/>
      <c r="F127" s="275"/>
      <c r="G127" s="276"/>
      <c r="H127" s="354" t="str">
        <f>_xlfn.CONCAT(_xlfn.XLOOKUP("[S06_NegativeOpinionInstallations][3][CountNegativeOpinions]",Submission!$O:$O,Submission!$H:$N,""))</f>
        <v>0</v>
      </c>
      <c r="I127" s="364"/>
    </row>
    <row r="128" spans="1:9" ht="18" customHeight="1" x14ac:dyDescent="0.3">
      <c r="C128" s="249" t="s">
        <v>1041</v>
      </c>
      <c r="D128" s="275"/>
      <c r="E128" s="275"/>
      <c r="F128" s="275"/>
      <c r="G128" s="276"/>
      <c r="H128" s="354" t="str">
        <f>_xlfn.CONCAT(_xlfn.XLOOKUP("[S06_NegativeOpinionInstallations][4][CountNegativeOpinions]",Submission!$O:$O,Submission!$H:$N,""))</f>
        <v>0</v>
      </c>
      <c r="I128" s="364"/>
    </row>
    <row r="129" spans="1:9" ht="19.2" customHeight="1" x14ac:dyDescent="0.3">
      <c r="D129" s="11"/>
      <c r="E129" s="11"/>
      <c r="F129" s="11"/>
      <c r="G129" s="11"/>
    </row>
    <row r="130" spans="1:9" ht="32.1" customHeight="1" x14ac:dyDescent="0.3">
      <c r="A130" s="12" t="s">
        <v>376</v>
      </c>
      <c r="B130" s="341" t="s">
        <v>1042</v>
      </c>
      <c r="C130" s="311"/>
      <c r="D130" s="311"/>
      <c r="E130" s="311"/>
      <c r="F130" s="311"/>
      <c r="G130" s="311"/>
      <c r="H130" s="348"/>
      <c r="I130" s="41" t="str">
        <f>_xlfn.CONCAT(_xlfn.XLOOKUP("[InstallationsVerificationReportIssues][0][InstallationsVerificationReportIssues]",Submission!$O:$O,Submission!$H:$N,""))</f>
        <v>Yes</v>
      </c>
    </row>
    <row r="131" spans="1:9" ht="19.95" customHeight="1" x14ac:dyDescent="0.3">
      <c r="A131" s="12"/>
      <c r="B131" s="278" t="s">
        <v>1043</v>
      </c>
      <c r="C131" s="279"/>
      <c r="D131" s="279"/>
      <c r="E131" s="279"/>
      <c r="F131" s="279"/>
      <c r="G131" s="279"/>
      <c r="H131" s="279"/>
      <c r="I131" s="279"/>
    </row>
    <row r="132" spans="1:9" ht="70.2" customHeight="1" x14ac:dyDescent="0.3">
      <c r="A132" s="13"/>
      <c r="C132" s="317" t="s">
        <v>879</v>
      </c>
      <c r="D132" s="337"/>
      <c r="E132" s="317" t="s">
        <v>1044</v>
      </c>
      <c r="F132" s="337"/>
      <c r="G132" s="42" t="s">
        <v>1045</v>
      </c>
      <c r="H132" s="45" t="s">
        <v>1046</v>
      </c>
      <c r="I132" s="46" t="s">
        <v>1047</v>
      </c>
    </row>
    <row r="133" spans="1:9" ht="26.4" customHeight="1" x14ac:dyDescent="0.3">
      <c r="A133" s="13"/>
      <c r="C133" s="277" t="str">
        <f>_xlfn.CONCAT(_xlfn.XLOOKUP("[S06_InstallationsVerificationReportsIssueDetail]["&amp;1&amp;"][AnnexIActivity]",Submission!$O:$O,Submission!$H:$N,""))</f>
        <v>20 - Combustion of fuels as specified in Annex I of Directive 2003/87/EC</v>
      </c>
      <c r="D133" s="367"/>
      <c r="E133" s="277" t="str">
        <f>_xlfn.CONCAT(_xlfn.XLOOKUP("[S06_InstallationsVerificationReportsIssueDetail]["&amp;1&amp;"][TypeOfIssue]",Submission!$O:$O,Submission!$H:$N,""))</f>
        <v>Non-compliance with Implementing Regulation (EU) 2018/2066</v>
      </c>
      <c r="F133" s="367"/>
      <c r="G133" s="105" t="str">
        <f>_xlfn.CONCAT(_xlfn.XLOOKUP("[S06_InstallationsVerificationReportsIssueDetail]["&amp;1&amp;"][NumberOfInstallations]",Submission!$O:$O,Submission!$H:$N,""))</f>
        <v>44</v>
      </c>
      <c r="H133" s="108" t="str">
        <f>_xlfn.CONCAT(_xlfn.XLOOKUP("[S06_InstallationsVerificationReportsIssueDetail]["&amp;1&amp;"][NumberOfIssues]",Submission!$O:$O,Submission!$H:$N,""))</f>
        <v>13</v>
      </c>
      <c r="I133" s="189" t="str">
        <f>_xlfn.CONCAT(_xlfn.XLOOKUP("[S06_InstallationsVerificationReportsIssueDetail]["&amp;1&amp;"][ShareOfReportsConservativeEstimate]",Submission!$O:$O,Submission!$H:$N,""))</f>
        <v>0</v>
      </c>
    </row>
    <row r="134" spans="1:9" ht="26.4" customHeight="1" x14ac:dyDescent="0.3">
      <c r="A134" s="13"/>
      <c r="C134" s="277" t="str">
        <f>_xlfn.CONCAT(_xlfn.XLOOKUP("[S06_InstallationsVerificationReportsIssueDetail]["&amp;1+ROW(B134)-ROW($B$133)&amp;"][AnnexIActivity]",Submission!$O:$O,Submission!$H:$N,""))</f>
        <v>20 - Combustion of fuels as specified in Annex I of Directive 2003/87/EC</v>
      </c>
      <c r="D134" s="367"/>
      <c r="E134" s="277" t="str">
        <f>_xlfn.CONCAT(_xlfn.XLOOKUP("[S06_InstallationsVerificationReportsIssueDetail]["&amp;1+ROW(B134)-ROW($B$133)&amp;"][TypeOfIssue]",Submission!$O:$O,Submission!$H:$N,""))</f>
        <v>Non-conformities not leading to a negative verification opinion statement</v>
      </c>
      <c r="F134" s="367"/>
      <c r="G134" s="105" t="str">
        <f>_xlfn.CONCAT(_xlfn.XLOOKUP("[S06_InstallationsVerificationReportsIssueDetail]["&amp;1+ROW(B134)-ROW($B$133)&amp;"][NumberOfInstallations]",Submission!$O:$O,Submission!$H:$N,""))</f>
        <v>10</v>
      </c>
      <c r="H134" s="108" t="str">
        <f>_xlfn.CONCAT(_xlfn.XLOOKUP("[S06_InstallationsVerificationReportsIssueDetail]["&amp;1+ROW(B134)-ROW($B$133)&amp;"][NumberOfIssues]",Submission!$O:$O,Submission!$H:$N,""))</f>
        <v>11</v>
      </c>
      <c r="I134" s="189" t="str">
        <f>_xlfn.CONCAT(_xlfn.XLOOKUP("[S06_InstallationsVerificationReportsIssueDetail]["&amp;1+ROW(B134)-ROW($B$133)&amp;"][ShareOfReportsConservativeEstimate]",Submission!$O:$O,Submission!$H:$N,""))</f>
        <v>0</v>
      </c>
    </row>
    <row r="135" spans="1:9" ht="26.4" customHeight="1" x14ac:dyDescent="0.3">
      <c r="A135" s="13"/>
      <c r="C135" s="277" t="str">
        <f>_xlfn.CONCAT(_xlfn.XLOOKUP("[S06_InstallationsVerificationReportsIssueDetail]["&amp;1+ROW(B135)-ROW($B$133)&amp;"][AnnexIActivity]",Submission!$O:$O,Submission!$H:$N,""))</f>
        <v>20 - Combustion of fuels as specified in Annex I of Directive 2003/87/EC</v>
      </c>
      <c r="D135" s="367"/>
      <c r="E135" s="277" t="str">
        <f>_xlfn.CONCAT(_xlfn.XLOOKUP("[S06_InstallationsVerificationReportsIssueDetail]["&amp;1+ROW(B135)-ROW($B$133)&amp;"][TypeOfIssue]",Submission!$O:$O,Submission!$H:$N,""))</f>
        <v>Non-material misstatements</v>
      </c>
      <c r="F135" s="367"/>
      <c r="G135" s="105" t="str">
        <f>_xlfn.CONCAT(_xlfn.XLOOKUP("[S06_InstallationsVerificationReportsIssueDetail]["&amp;1+ROW(B135)-ROW($B$133)&amp;"][NumberOfInstallations]",Submission!$O:$O,Submission!$H:$N,""))</f>
        <v>7</v>
      </c>
      <c r="H135" s="108" t="str">
        <f>_xlfn.CONCAT(_xlfn.XLOOKUP("[S06_InstallationsVerificationReportsIssueDetail]["&amp;1+ROW(B135)-ROW($B$133)&amp;"][NumberOfIssues]",Submission!$O:$O,Submission!$H:$N,""))</f>
        <v>5</v>
      </c>
      <c r="I135" s="189" t="str">
        <f>_xlfn.CONCAT(_xlfn.XLOOKUP("[S06_InstallationsVerificationReportsIssueDetail]["&amp;1+ROW(B135)-ROW($B$133)&amp;"][ShareOfReportsConservativeEstimate]",Submission!$O:$O,Submission!$H:$N,""))</f>
        <v>0</v>
      </c>
    </row>
    <row r="136" spans="1:9" ht="26.4" customHeight="1" x14ac:dyDescent="0.3">
      <c r="A136" s="13"/>
      <c r="C136" s="277" t="str">
        <f>_xlfn.CONCAT(_xlfn.XLOOKUP("[S06_InstallationsVerificationReportsIssueDetail]["&amp;1+ROW(B136)-ROW($B$133)&amp;"][AnnexIActivity]",Submission!$O:$O,Submission!$H:$N,""))</f>
        <v>20 - Combustion of fuels as specified in Annex I of Directive 2003/87/EC</v>
      </c>
      <c r="D136" s="367"/>
      <c r="E136" s="277" t="str">
        <f>_xlfn.CONCAT(_xlfn.XLOOKUP("[S06_InstallationsVerificationReportsIssueDetail]["&amp;1+ROW(B136)-ROW($B$133)&amp;"][TypeOfIssue]",Submission!$O:$O,Submission!$H:$N,""))</f>
        <v>Recommendations for improvement</v>
      </c>
      <c r="F136" s="367"/>
      <c r="G136" s="105" t="str">
        <f>_xlfn.CONCAT(_xlfn.XLOOKUP("[S06_InstallationsVerificationReportsIssueDetail]["&amp;1+ROW(B136)-ROW($B$133)&amp;"][NumberOfInstallations]",Submission!$O:$O,Submission!$H:$N,""))</f>
        <v>60</v>
      </c>
      <c r="H136" s="108" t="str">
        <f>_xlfn.CONCAT(_xlfn.XLOOKUP("[S06_InstallationsVerificationReportsIssueDetail]["&amp;1+ROW(B136)-ROW($B$133)&amp;"][NumberOfIssues]",Submission!$O:$O,Submission!$H:$N,""))</f>
        <v>47</v>
      </c>
      <c r="I136" s="189" t="str">
        <f>_xlfn.CONCAT(_xlfn.XLOOKUP("[S06_InstallationsVerificationReportsIssueDetail]["&amp;1+ROW(B136)-ROW($B$133)&amp;"][ShareOfReportsConservativeEstimate]",Submission!$O:$O,Submission!$H:$N,""))</f>
        <v>0</v>
      </c>
    </row>
    <row r="137" spans="1:9" ht="26.4" customHeight="1" x14ac:dyDescent="0.3">
      <c r="A137" s="13"/>
      <c r="C137" s="277" t="str">
        <f>_xlfn.CONCAT(_xlfn.XLOOKUP("[S06_InstallationsVerificationReportsIssueDetail]["&amp;1+ROW(B137)-ROW($B$133)&amp;"][AnnexIActivity]",Submission!$O:$O,Submission!$H:$N,""))</f>
        <v>21 - Refining of mineral oil</v>
      </c>
      <c r="D137" s="367"/>
      <c r="E137" s="277" t="str">
        <f>_xlfn.CONCAT(_xlfn.XLOOKUP("[S06_InstallationsVerificationReportsIssueDetail]["&amp;1+ROW(B137)-ROW($B$133)&amp;"][TypeOfIssue]",Submission!$O:$O,Submission!$H:$N,""))</f>
        <v>Non-compliance with Implementing Regulation (EU) 2018/2066</v>
      </c>
      <c r="F137" s="367"/>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2</v>
      </c>
      <c r="I137" s="189" t="str">
        <f>_xlfn.CONCAT(_xlfn.XLOOKUP("[S06_InstallationsVerificationReportsIssueDetail]["&amp;1+ROW(B137)-ROW($B$133)&amp;"][ShareOfReportsConservativeEstimate]",Submission!$O:$O,Submission!$H:$N,""))</f>
        <v>0</v>
      </c>
    </row>
    <row r="138" spans="1:9" ht="26.4" customHeight="1" x14ac:dyDescent="0.3">
      <c r="A138" s="13"/>
      <c r="C138" s="277" t="str">
        <f>_xlfn.CONCAT(_xlfn.XLOOKUP("[S06_InstallationsVerificationReportsIssueDetail]["&amp;1+ROW(B138)-ROW($B$133)&amp;"][AnnexIActivity]",Submission!$O:$O,Submission!$H:$N,""))</f>
        <v>21 - Refining of mineral oil</v>
      </c>
      <c r="D138" s="367"/>
      <c r="E138" s="277" t="str">
        <f>_xlfn.CONCAT(_xlfn.XLOOKUP("[S06_InstallationsVerificationReportsIssueDetail]["&amp;1+ROW(B138)-ROW($B$133)&amp;"][TypeOfIssue]",Submission!$O:$O,Submission!$H:$N,""))</f>
        <v>Non-conformities not leading to a negative verification opinion statement</v>
      </c>
      <c r="F138" s="367"/>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9" t="str">
        <f>_xlfn.CONCAT(_xlfn.XLOOKUP("[S06_InstallationsVerificationReportsIssueDetail]["&amp;1+ROW(B138)-ROW($B$133)&amp;"][ShareOfReportsConservativeEstimate]",Submission!$O:$O,Submission!$H:$N,""))</f>
        <v>0</v>
      </c>
    </row>
    <row r="139" spans="1:9" ht="26.4" customHeight="1" x14ac:dyDescent="0.3">
      <c r="A139" s="13"/>
      <c r="C139" s="277" t="str">
        <f>_xlfn.CONCAT(_xlfn.XLOOKUP("[S06_InstallationsVerificationReportsIssueDetail]["&amp;1+ROW(B139)-ROW($B$133)&amp;"][AnnexIActivity]",Submission!$O:$O,Submission!$H:$N,""))</f>
        <v>21 - Refining of mineral oil</v>
      </c>
      <c r="D139" s="367"/>
      <c r="E139" s="277" t="str">
        <f>_xlfn.CONCAT(_xlfn.XLOOKUP("[S06_InstallationsVerificationReportsIssueDetail]["&amp;1+ROW(B139)-ROW($B$133)&amp;"][TypeOfIssue]",Submission!$O:$O,Submission!$H:$N,""))</f>
        <v>Recommendations for improvement</v>
      </c>
      <c r="F139" s="367"/>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9" t="str">
        <f>_xlfn.CONCAT(_xlfn.XLOOKUP("[S06_InstallationsVerificationReportsIssueDetail]["&amp;1+ROW(B139)-ROW($B$133)&amp;"][ShareOfReportsConservativeEstimate]",Submission!$O:$O,Submission!$H:$N,""))</f>
        <v>0</v>
      </c>
    </row>
    <row r="140" spans="1:9" ht="26.4" customHeight="1" x14ac:dyDescent="0.3">
      <c r="A140" s="13"/>
      <c r="C140" s="277" t="str">
        <f>_xlfn.CONCAT(_xlfn.XLOOKUP("[S06_InstallationsVerificationReportsIssueDetail]["&amp;1+ROW(B140)-ROW($B$133)&amp;"][AnnexIActivity]",Submission!$O:$O,Submission!$H:$N,""))</f>
        <v xml:space="preserve">22 - Production of coke </v>
      </c>
      <c r="D140" s="367"/>
      <c r="E140" s="277" t="str">
        <f>_xlfn.CONCAT(_xlfn.XLOOKUP("[S06_InstallationsVerificationReportsIssueDetail]["&amp;1+ROW(B140)-ROW($B$133)&amp;"][TypeOfIssue]",Submission!$O:$O,Submission!$H:$N,""))</f>
        <v>Non-compliance with Implementing Regulation (EU) 2018/2066</v>
      </c>
      <c r="F140" s="367"/>
      <c r="G140" s="105" t="str">
        <f>_xlfn.CONCAT(_xlfn.XLOOKUP("[S06_InstallationsVerificationReportsIssueDetail]["&amp;1+ROW(B140)-ROW($B$133)&amp;"][NumberOfInstallations]",Submission!$O:$O,Submission!$H:$N,""))</f>
        <v>2</v>
      </c>
      <c r="H140" s="108" t="str">
        <f>_xlfn.CONCAT(_xlfn.XLOOKUP("[S06_InstallationsVerificationReportsIssueDetail]["&amp;1+ROW(B140)-ROW($B$133)&amp;"][NumberOfIssues]",Submission!$O:$O,Submission!$H:$N,""))</f>
        <v>2</v>
      </c>
      <c r="I140" s="189" t="str">
        <f>_xlfn.CONCAT(_xlfn.XLOOKUP("[S06_InstallationsVerificationReportsIssueDetail]["&amp;1+ROW(B140)-ROW($B$133)&amp;"][ShareOfReportsConservativeEstimate]",Submission!$O:$O,Submission!$H:$N,""))</f>
        <v>0</v>
      </c>
    </row>
    <row r="141" spans="1:9" ht="26.4" customHeight="1" x14ac:dyDescent="0.3">
      <c r="A141" s="13"/>
      <c r="C141" s="277" t="str">
        <f>_xlfn.CONCAT(_xlfn.XLOOKUP("[S06_InstallationsVerificationReportsIssueDetail]["&amp;1+ROW(B141)-ROW($B$133)&amp;"][AnnexIActivity]",Submission!$O:$O,Submission!$H:$N,""))</f>
        <v xml:space="preserve">22 - Production of coke </v>
      </c>
      <c r="D141" s="367"/>
      <c r="E141" s="277" t="str">
        <f>_xlfn.CONCAT(_xlfn.XLOOKUP("[S06_InstallationsVerificationReportsIssueDetail]["&amp;1+ROW(B141)-ROW($B$133)&amp;"][TypeOfIssue]",Submission!$O:$O,Submission!$H:$N,""))</f>
        <v>Recommendations for improvement</v>
      </c>
      <c r="F141" s="367"/>
      <c r="G141" s="105" t="str">
        <f>_xlfn.CONCAT(_xlfn.XLOOKUP("[S06_InstallationsVerificationReportsIssueDetail]["&amp;1+ROW(B141)-ROW($B$133)&amp;"][NumberOfInstallations]",Submission!$O:$O,Submission!$H:$N,""))</f>
        <v>3</v>
      </c>
      <c r="H141" s="108" t="str">
        <f>_xlfn.CONCAT(_xlfn.XLOOKUP("[S06_InstallationsVerificationReportsIssueDetail]["&amp;1+ROW(B141)-ROW($B$133)&amp;"][NumberOfIssues]",Submission!$O:$O,Submission!$H:$N,""))</f>
        <v>4</v>
      </c>
      <c r="I141" s="189" t="str">
        <f>_xlfn.CONCAT(_xlfn.XLOOKUP("[S06_InstallationsVerificationReportsIssueDetail]["&amp;1+ROW(B141)-ROW($B$133)&amp;"][ShareOfReportsConservativeEstimate]",Submission!$O:$O,Submission!$H:$N,""))</f>
        <v>0</v>
      </c>
    </row>
    <row r="142" spans="1:9" ht="26.4" customHeight="1" x14ac:dyDescent="0.3">
      <c r="A142" s="13"/>
      <c r="C142" s="277" t="str">
        <f>_xlfn.CONCAT(_xlfn.XLOOKUP("[S06_InstallationsVerificationReportsIssueDetail]["&amp;1+ROW(B142)-ROW($B$133)&amp;"][AnnexIActivity]",Submission!$O:$O,Submission!$H:$N,""))</f>
        <v>24 - Production of pig iron or steel as specified in Annex I of Directive 2003/87/EC</v>
      </c>
      <c r="D142" s="367"/>
      <c r="E142" s="277" t="str">
        <f>_xlfn.CONCAT(_xlfn.XLOOKUP("[S06_InstallationsVerificationReportsIssueDetail]["&amp;1+ROW(B142)-ROW($B$133)&amp;"][TypeOfIssue]",Submission!$O:$O,Submission!$H:$N,""))</f>
        <v>Non-compliance with Implementing Regulation (EU) 2018/2066</v>
      </c>
      <c r="F142" s="367"/>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1</v>
      </c>
      <c r="I142" s="189" t="str">
        <f>_xlfn.CONCAT(_xlfn.XLOOKUP("[S06_InstallationsVerificationReportsIssueDetail]["&amp;1+ROW(B142)-ROW($B$133)&amp;"][ShareOfReportsConservativeEstimate]",Submission!$O:$O,Submission!$H:$N,""))</f>
        <v>0</v>
      </c>
    </row>
    <row r="143" spans="1:9" ht="26.4" customHeight="1" x14ac:dyDescent="0.3">
      <c r="A143" s="13"/>
      <c r="C143" s="277" t="str">
        <f>_xlfn.CONCAT(_xlfn.XLOOKUP("[S06_InstallationsVerificationReportsIssueDetail]["&amp;1+ROW(B143)-ROW($B$133)&amp;"][AnnexIActivity]",Submission!$O:$O,Submission!$H:$N,""))</f>
        <v>24 - Production of pig iron or steel as specified in Annex I of Directive 2003/87/EC</v>
      </c>
      <c r="D143" s="367"/>
      <c r="E143" s="277" t="str">
        <f>_xlfn.CONCAT(_xlfn.XLOOKUP("[S06_InstallationsVerificationReportsIssueDetail]["&amp;1+ROW(B143)-ROW($B$133)&amp;"][TypeOfIssue]",Submission!$O:$O,Submission!$H:$N,""))</f>
        <v>Recommendations for improvement</v>
      </c>
      <c r="F143" s="367"/>
      <c r="G143" s="105" t="str">
        <f>_xlfn.CONCAT(_xlfn.XLOOKUP("[S06_InstallationsVerificationReportsIssueDetail]["&amp;1+ROW(B143)-ROW($B$133)&amp;"][NumberOfInstallations]",Submission!$O:$O,Submission!$H:$N,""))</f>
        <v>4</v>
      </c>
      <c r="H143" s="108" t="str">
        <f>_xlfn.CONCAT(_xlfn.XLOOKUP("[S06_InstallationsVerificationReportsIssueDetail]["&amp;1+ROW(B143)-ROW($B$133)&amp;"][NumberOfIssues]",Submission!$O:$O,Submission!$H:$N,""))</f>
        <v>3</v>
      </c>
      <c r="I143" s="189" t="str">
        <f>_xlfn.CONCAT(_xlfn.XLOOKUP("[S06_InstallationsVerificationReportsIssueDetail]["&amp;1+ROW(B143)-ROW($B$133)&amp;"][ShareOfReportsConservativeEstimate]",Submission!$O:$O,Submission!$H:$N,""))</f>
        <v>0</v>
      </c>
    </row>
    <row r="144" spans="1:9" ht="26.4" customHeight="1" x14ac:dyDescent="0.3">
      <c r="A144" s="13"/>
      <c r="C144" s="277" t="str">
        <f>_xlfn.CONCAT(_xlfn.XLOOKUP("[S06_InstallationsVerificationReportsIssueDetail]["&amp;1+ROW(B144)-ROW($B$133)&amp;"][AnnexIActivity]",Submission!$O:$O,Submission!$H:$N,""))</f>
        <v>25 - Production or processing of ferrous metals as specified in Annex I of Directive 2003/87/EC</v>
      </c>
      <c r="D144" s="367"/>
      <c r="E144" s="277" t="str">
        <f>_xlfn.CONCAT(_xlfn.XLOOKUP("[S06_InstallationsVerificationReportsIssueDetail]["&amp;1+ROW(B144)-ROW($B$133)&amp;"][TypeOfIssue]",Submission!$O:$O,Submission!$H:$N,""))</f>
        <v>Non-compliance with Implementing Regulation (EU) 2018/2066</v>
      </c>
      <c r="F144" s="367"/>
      <c r="G144" s="105" t="str">
        <f>_xlfn.CONCAT(_xlfn.XLOOKUP("[S06_InstallationsVerificationReportsIssueDetail]["&amp;1+ROW(B144)-ROW($B$133)&amp;"][NumberOfInstallations]",Submission!$O:$O,Submission!$H:$N,""))</f>
        <v>2</v>
      </c>
      <c r="H144" s="108" t="str">
        <f>_xlfn.CONCAT(_xlfn.XLOOKUP("[S06_InstallationsVerificationReportsIssueDetail]["&amp;1+ROW(B144)-ROW($B$133)&amp;"][NumberOfIssues]",Submission!$O:$O,Submission!$H:$N,""))</f>
        <v>1</v>
      </c>
      <c r="I144" s="189" t="str">
        <f>_xlfn.CONCAT(_xlfn.XLOOKUP("[S06_InstallationsVerificationReportsIssueDetail]["&amp;1+ROW(B144)-ROW($B$133)&amp;"][ShareOfReportsConservativeEstimate]",Submission!$O:$O,Submission!$H:$N,""))</f>
        <v>0</v>
      </c>
    </row>
    <row r="145" spans="1:9" ht="26.4" customHeight="1" x14ac:dyDescent="0.3">
      <c r="A145" s="13"/>
      <c r="C145" s="277" t="str">
        <f>_xlfn.CONCAT(_xlfn.XLOOKUP("[S06_InstallationsVerificationReportsIssueDetail]["&amp;1+ROW(B145)-ROW($B$133)&amp;"][AnnexIActivity]",Submission!$O:$O,Submission!$H:$N,""))</f>
        <v>25 - Production or processing of ferrous metals as specified in Annex I of Directive 2003/87/EC</v>
      </c>
      <c r="D145" s="367"/>
      <c r="E145" s="277" t="str">
        <f>_xlfn.CONCAT(_xlfn.XLOOKUP("[S06_InstallationsVerificationReportsIssueDetail]["&amp;1+ROW(B145)-ROW($B$133)&amp;"][TypeOfIssue]",Submission!$O:$O,Submission!$H:$N,""))</f>
        <v>Recommendations for improvement</v>
      </c>
      <c r="F145" s="367"/>
      <c r="G145" s="105" t="str">
        <f>_xlfn.CONCAT(_xlfn.XLOOKUP("[S06_InstallationsVerificationReportsIssueDetail]["&amp;1+ROW(B145)-ROW($B$133)&amp;"][NumberOfInstallations]",Submission!$O:$O,Submission!$H:$N,""))</f>
        <v>1</v>
      </c>
      <c r="H145" s="108" t="str">
        <f>_xlfn.CONCAT(_xlfn.XLOOKUP("[S06_InstallationsVerificationReportsIssueDetail]["&amp;1+ROW(B145)-ROW($B$133)&amp;"][NumberOfIssues]",Submission!$O:$O,Submission!$H:$N,""))</f>
        <v>2</v>
      </c>
      <c r="I145" s="189" t="str">
        <f>_xlfn.CONCAT(_xlfn.XLOOKUP("[S06_InstallationsVerificationReportsIssueDetail]["&amp;1+ROW(B145)-ROW($B$133)&amp;"][ShareOfReportsConservativeEstimate]",Submission!$O:$O,Submission!$H:$N,""))</f>
        <v>0</v>
      </c>
    </row>
    <row r="146" spans="1:9" ht="26.4" customHeight="1" x14ac:dyDescent="0.3">
      <c r="A146" s="13"/>
      <c r="C146" s="277" t="str">
        <f>_xlfn.CONCAT(_xlfn.XLOOKUP("[S06_InstallationsVerificationReportsIssueDetail]["&amp;1+ROW(B146)-ROW($B$133)&amp;"][AnnexIActivity]",Submission!$O:$O,Submission!$H:$N,""))</f>
        <v>28 - Production or processing of non-ferrous metals as specified in Annex I of Directive 2003/87/EC</v>
      </c>
      <c r="D146" s="367"/>
      <c r="E146" s="277" t="str">
        <f>_xlfn.CONCAT(_xlfn.XLOOKUP("[S06_InstallationsVerificationReportsIssueDetail]["&amp;1+ROW(B146)-ROW($B$133)&amp;"][TypeOfIssue]",Submission!$O:$O,Submission!$H:$N,""))</f>
        <v>Non-compliance with Implementing Regulation (EU) 2018/2066</v>
      </c>
      <c r="F146" s="367"/>
      <c r="G146" s="105" t="str">
        <f>_xlfn.CONCAT(_xlfn.XLOOKUP("[S06_InstallationsVerificationReportsIssueDetail]["&amp;1+ROW(B146)-ROW($B$133)&amp;"][NumberOfInstallations]",Submission!$O:$O,Submission!$H:$N,""))</f>
        <v>2</v>
      </c>
      <c r="H146" s="108" t="str">
        <f>_xlfn.CONCAT(_xlfn.XLOOKUP("[S06_InstallationsVerificationReportsIssueDetail]["&amp;1+ROW(B146)-ROW($B$133)&amp;"][NumberOfIssues]",Submission!$O:$O,Submission!$H:$N,""))</f>
        <v>1</v>
      </c>
      <c r="I146" s="189" t="str">
        <f>_xlfn.CONCAT(_xlfn.XLOOKUP("[S06_InstallationsVerificationReportsIssueDetail]["&amp;1+ROW(B146)-ROW($B$133)&amp;"][ShareOfReportsConservativeEstimate]",Submission!$O:$O,Submission!$H:$N,""))</f>
        <v>0</v>
      </c>
    </row>
    <row r="147" spans="1:9" ht="26.4" customHeight="1" x14ac:dyDescent="0.3">
      <c r="A147" s="13"/>
      <c r="C147" s="277" t="str">
        <f>_xlfn.CONCAT(_xlfn.XLOOKUP("[S06_InstallationsVerificationReportsIssueDetail]["&amp;1+ROW(B147)-ROW($B$133)&amp;"][AnnexIActivity]",Submission!$O:$O,Submission!$H:$N,""))</f>
        <v>28 - Production or processing of non-ferrous metals as specified in Annex I of Directive 2003/87/EC</v>
      </c>
      <c r="D147" s="367"/>
      <c r="E147" s="277" t="str">
        <f>_xlfn.CONCAT(_xlfn.XLOOKUP("[S06_InstallationsVerificationReportsIssueDetail]["&amp;1+ROW(B147)-ROW($B$133)&amp;"][TypeOfIssue]",Submission!$O:$O,Submission!$H:$N,""))</f>
        <v>Non-conformities not leading to a negative verification opinion statement</v>
      </c>
      <c r="F147" s="367"/>
      <c r="G147" s="105" t="str">
        <f>_xlfn.CONCAT(_xlfn.XLOOKUP("[S06_InstallationsVerificationReportsIssueDetail]["&amp;1+ROW(B147)-ROW($B$133)&amp;"][NumberOfInstallations]",Submission!$O:$O,Submission!$H:$N,""))</f>
        <v>1</v>
      </c>
      <c r="H147" s="108" t="str">
        <f>_xlfn.CONCAT(_xlfn.XLOOKUP("[S06_InstallationsVerificationReportsIssueDetail]["&amp;1+ROW(B147)-ROW($B$133)&amp;"][NumberOfIssues]",Submission!$O:$O,Submission!$H:$N,""))</f>
        <v>1</v>
      </c>
      <c r="I147" s="189" t="str">
        <f>_xlfn.CONCAT(_xlfn.XLOOKUP("[S06_InstallationsVerificationReportsIssueDetail]["&amp;1+ROW(B147)-ROW($B$133)&amp;"][ShareOfReportsConservativeEstimate]",Submission!$O:$O,Submission!$H:$N,""))</f>
        <v>0</v>
      </c>
    </row>
    <row r="148" spans="1:9" ht="26.4" customHeight="1" x14ac:dyDescent="0.3">
      <c r="A148" s="13"/>
      <c r="C148" s="277" t="str">
        <f>_xlfn.CONCAT(_xlfn.XLOOKUP("[S06_InstallationsVerificationReportsIssueDetail]["&amp;1+ROW(B148)-ROW($B$133)&amp;"][AnnexIActivity]",Submission!$O:$O,Submission!$H:$N,""))</f>
        <v>28 - Production or processing of non-ferrous metals as specified in Annex I of Directive 2003/87/EC</v>
      </c>
      <c r="D148" s="367"/>
      <c r="E148" s="277" t="str">
        <f>_xlfn.CONCAT(_xlfn.XLOOKUP("[S06_InstallationsVerificationReportsIssueDetail]["&amp;1+ROW(B148)-ROW($B$133)&amp;"][TypeOfIssue]",Submission!$O:$O,Submission!$H:$N,""))</f>
        <v>Recommendations for improvement</v>
      </c>
      <c r="F148" s="367"/>
      <c r="G148" s="105" t="str">
        <f>_xlfn.CONCAT(_xlfn.XLOOKUP("[S06_InstallationsVerificationReportsIssueDetail]["&amp;1+ROW(B148)-ROW($B$133)&amp;"][NumberOfInstallations]",Submission!$O:$O,Submission!$H:$N,""))</f>
        <v>4</v>
      </c>
      <c r="H148" s="108" t="str">
        <f>_xlfn.CONCAT(_xlfn.XLOOKUP("[S06_InstallationsVerificationReportsIssueDetail]["&amp;1+ROW(B148)-ROW($B$133)&amp;"][NumberOfIssues]",Submission!$O:$O,Submission!$H:$N,""))</f>
        <v>4</v>
      </c>
      <c r="I148" s="189" t="str">
        <f>_xlfn.CONCAT(_xlfn.XLOOKUP("[S06_InstallationsVerificationReportsIssueDetail]["&amp;1+ROW(B148)-ROW($B$133)&amp;"][ShareOfReportsConservativeEstimate]",Submission!$O:$O,Submission!$H:$N,""))</f>
        <v>0</v>
      </c>
    </row>
    <row r="149" spans="1:9" ht="26.4" customHeight="1" x14ac:dyDescent="0.3">
      <c r="A149" s="13"/>
      <c r="C149" s="277" t="str">
        <f>_xlfn.CONCAT(_xlfn.XLOOKUP("[S06_InstallationsVerificationReportsIssueDetail]["&amp;1+ROW(B149)-ROW($B$133)&amp;"][AnnexIActivity]",Submission!$O:$O,Submission!$H:$N,""))</f>
        <v>29 - Production of cement clinker in rotary kilns as specified in Annex I of Directive 2003/87/ EC</v>
      </c>
      <c r="D149" s="367"/>
      <c r="E149" s="277" t="str">
        <f>_xlfn.CONCAT(_xlfn.XLOOKUP("[S06_InstallationsVerificationReportsIssueDetail]["&amp;1+ROW(B149)-ROW($B$133)&amp;"][TypeOfIssue]",Submission!$O:$O,Submission!$H:$N,""))</f>
        <v>Non-compliance with Implementing Regulation (EU) 2018/2066</v>
      </c>
      <c r="F149" s="367"/>
      <c r="G149" s="105" t="str">
        <f>_xlfn.CONCAT(_xlfn.XLOOKUP("[S06_InstallationsVerificationReportsIssueDetail]["&amp;1+ROW(B149)-ROW($B$133)&amp;"][NumberOfInstallations]",Submission!$O:$O,Submission!$H:$N,""))</f>
        <v>3</v>
      </c>
      <c r="H149" s="108" t="str">
        <f>_xlfn.CONCAT(_xlfn.XLOOKUP("[S06_InstallationsVerificationReportsIssueDetail]["&amp;1+ROW(B149)-ROW($B$133)&amp;"][NumberOfIssues]",Submission!$O:$O,Submission!$H:$N,""))</f>
        <v>2</v>
      </c>
      <c r="I149" s="189" t="str">
        <f>_xlfn.CONCAT(_xlfn.XLOOKUP("[S06_InstallationsVerificationReportsIssueDetail]["&amp;1+ROW(B149)-ROW($B$133)&amp;"][ShareOfReportsConservativeEstimate]",Submission!$O:$O,Submission!$H:$N,""))</f>
        <v>0</v>
      </c>
    </row>
    <row r="150" spans="1:9" ht="26.4" customHeight="1" x14ac:dyDescent="0.3">
      <c r="A150" s="13"/>
      <c r="C150" s="277" t="str">
        <f>_xlfn.CONCAT(_xlfn.XLOOKUP("[S06_InstallationsVerificationReportsIssueDetail]["&amp;1+ROW(B150)-ROW($B$133)&amp;"][AnnexIActivity]",Submission!$O:$O,Submission!$H:$N,""))</f>
        <v>29 - Production of cement clinker in rotary kilns as specified in Annex I of Directive 2003/87/ EC</v>
      </c>
      <c r="D150" s="367"/>
      <c r="E150" s="277" t="str">
        <f>_xlfn.CONCAT(_xlfn.XLOOKUP("[S06_InstallationsVerificationReportsIssueDetail]["&amp;1+ROW(B150)-ROW($B$133)&amp;"][TypeOfIssue]",Submission!$O:$O,Submission!$H:$N,""))</f>
        <v>Recommendations for improvement</v>
      </c>
      <c r="F150" s="367"/>
      <c r="G150" s="105" t="str">
        <f>_xlfn.CONCAT(_xlfn.XLOOKUP("[S06_InstallationsVerificationReportsIssueDetail]["&amp;1+ROW(B150)-ROW($B$133)&amp;"][NumberOfInstallations]",Submission!$O:$O,Submission!$H:$N,""))</f>
        <v>2</v>
      </c>
      <c r="H150" s="108" t="str">
        <f>_xlfn.CONCAT(_xlfn.XLOOKUP("[S06_InstallationsVerificationReportsIssueDetail]["&amp;1+ROW(B150)-ROW($B$133)&amp;"][NumberOfIssues]",Submission!$O:$O,Submission!$H:$N,""))</f>
        <v>6</v>
      </c>
      <c r="I150" s="189" t="str">
        <f>_xlfn.CONCAT(_xlfn.XLOOKUP("[S06_InstallationsVerificationReportsIssueDetail]["&amp;1+ROW(B150)-ROW($B$133)&amp;"][ShareOfReportsConservativeEstimate]",Submission!$O:$O,Submission!$H:$N,""))</f>
        <v>0</v>
      </c>
    </row>
    <row r="151" spans="1:9" ht="26.4" customHeight="1" x14ac:dyDescent="0.3">
      <c r="A151" s="13"/>
      <c r="C151" s="277" t="str">
        <f>_xlfn.CONCAT(_xlfn.XLOOKUP("[S06_InstallationsVerificationReportsIssueDetail]["&amp;1+ROW(B151)-ROW($B$133)&amp;"][AnnexIActivity]",Submission!$O:$O,Submission!$H:$N,""))</f>
        <v>30 - Production of lime or calcination of dolomite or magnesite as specified in Annex I of Directive 2003/87/ EC</v>
      </c>
      <c r="D151" s="367"/>
      <c r="E151" s="277" t="str">
        <f>_xlfn.CONCAT(_xlfn.XLOOKUP("[S06_InstallationsVerificationReportsIssueDetail]["&amp;1+ROW(B151)-ROW($B$133)&amp;"][TypeOfIssue]",Submission!$O:$O,Submission!$H:$N,""))</f>
        <v>Recommendations for improvement</v>
      </c>
      <c r="F151" s="367"/>
      <c r="G151" s="105" t="str">
        <f>_xlfn.CONCAT(_xlfn.XLOOKUP("[S06_InstallationsVerificationReportsIssueDetail]["&amp;1+ROW(B151)-ROW($B$133)&amp;"][NumberOfInstallations]",Submission!$O:$O,Submission!$H:$N,""))</f>
        <v>3</v>
      </c>
      <c r="H151" s="108" t="str">
        <f>_xlfn.CONCAT(_xlfn.XLOOKUP("[S06_InstallationsVerificationReportsIssueDetail]["&amp;1+ROW(B151)-ROW($B$133)&amp;"][NumberOfIssues]",Submission!$O:$O,Submission!$H:$N,""))</f>
        <v>1</v>
      </c>
      <c r="I151" s="189" t="str">
        <f>_xlfn.CONCAT(_xlfn.XLOOKUP("[S06_InstallationsVerificationReportsIssueDetail]["&amp;1+ROW(B151)-ROW($B$133)&amp;"][ShareOfReportsConservativeEstimate]",Submission!$O:$O,Submission!$H:$N,""))</f>
        <v>0</v>
      </c>
    </row>
    <row r="152" spans="1:9" ht="26.4" customHeight="1" x14ac:dyDescent="0.3">
      <c r="A152" s="13"/>
      <c r="C152" s="277" t="str">
        <f>_xlfn.CONCAT(_xlfn.XLOOKUP("[S06_InstallationsVerificationReportsIssueDetail]["&amp;1+ROW(B152)-ROW($B$133)&amp;"][AnnexIActivity]",Submission!$O:$O,Submission!$H:$N,""))</f>
        <v>31 - Manufacture of glass as specified in Annex I of Directive 2003/87/EC</v>
      </c>
      <c r="D152" s="367"/>
      <c r="E152" s="277" t="str">
        <f>_xlfn.CONCAT(_xlfn.XLOOKUP("[S06_InstallationsVerificationReportsIssueDetail]["&amp;1+ROW(B152)-ROW($B$133)&amp;"][TypeOfIssue]",Submission!$O:$O,Submission!$H:$N,""))</f>
        <v>Non-compliance with Implementing Regulation (EU) 2018/2066</v>
      </c>
      <c r="F152" s="367"/>
      <c r="G152" s="105" t="str">
        <f>_xlfn.CONCAT(_xlfn.XLOOKUP("[S06_InstallationsVerificationReportsIssueDetail]["&amp;1+ROW(B152)-ROW($B$133)&amp;"][NumberOfInstallations]",Submission!$O:$O,Submission!$H:$N,""))</f>
        <v>8</v>
      </c>
      <c r="H152" s="108" t="str">
        <f>_xlfn.CONCAT(_xlfn.XLOOKUP("[S06_InstallationsVerificationReportsIssueDetail]["&amp;1+ROW(B152)-ROW($B$133)&amp;"][NumberOfIssues]",Submission!$O:$O,Submission!$H:$N,""))</f>
        <v>5</v>
      </c>
      <c r="I152" s="189" t="str">
        <f>_xlfn.CONCAT(_xlfn.XLOOKUP("[S06_InstallationsVerificationReportsIssueDetail]["&amp;1+ROW(B152)-ROW($B$133)&amp;"][ShareOfReportsConservativeEstimate]",Submission!$O:$O,Submission!$H:$N,""))</f>
        <v>0</v>
      </c>
    </row>
    <row r="153" spans="1:9" ht="26.4" hidden="1" customHeight="1" outlineLevel="1" x14ac:dyDescent="0.3">
      <c r="A153" s="13"/>
      <c r="C153" s="277" t="str">
        <f>_xlfn.CONCAT(_xlfn.XLOOKUP("[S06_InstallationsVerificationReportsIssueDetail]["&amp;1+ROW(B153)-ROW($B$133)&amp;"][AnnexIActivity]",Submission!$O:$O,Submission!$H:$N,""))</f>
        <v>31 - Manufacture of glass as specified in Annex I of Directive 2003/87/EC</v>
      </c>
      <c r="D153" s="367"/>
      <c r="E153" s="277" t="str">
        <f>_xlfn.CONCAT(_xlfn.XLOOKUP("[S06_InstallationsVerificationReportsIssueDetail]["&amp;1+ROW(B153)-ROW($B$133)&amp;"][TypeOfIssue]",Submission!$O:$O,Submission!$H:$N,""))</f>
        <v>Non-conformities not leading to a negative verification opinion statement</v>
      </c>
      <c r="F153" s="367"/>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2</v>
      </c>
      <c r="I153" s="189" t="str">
        <f>_xlfn.CONCAT(_xlfn.XLOOKUP("[S06_InstallationsVerificationReportsIssueDetail]["&amp;1+ROW(B153)-ROW($B$133)&amp;"][ShareOfReportsConservativeEstimate]",Submission!$O:$O,Submission!$H:$N,""))</f>
        <v>0</v>
      </c>
    </row>
    <row r="154" spans="1:9" ht="26.4" hidden="1" customHeight="1" outlineLevel="1" x14ac:dyDescent="0.3">
      <c r="A154" s="13"/>
      <c r="C154" s="277" t="str">
        <f>_xlfn.CONCAT(_xlfn.XLOOKUP("[S06_InstallationsVerificationReportsIssueDetail]["&amp;1+ROW(B154)-ROW($B$133)&amp;"][AnnexIActivity]",Submission!$O:$O,Submission!$H:$N,""))</f>
        <v>31 - Manufacture of glass as specified in Annex I of Directive 2003/87/EC</v>
      </c>
      <c r="D154" s="367"/>
      <c r="E154" s="277" t="str">
        <f>_xlfn.CONCAT(_xlfn.XLOOKUP("[S06_InstallationsVerificationReportsIssueDetail]["&amp;1+ROW(B154)-ROW($B$133)&amp;"][TypeOfIssue]",Submission!$O:$O,Submission!$H:$N,""))</f>
        <v>Recommendations for improvement</v>
      </c>
      <c r="F154" s="367"/>
      <c r="G154" s="105" t="str">
        <f>_xlfn.CONCAT(_xlfn.XLOOKUP("[S06_InstallationsVerificationReportsIssueDetail]["&amp;1+ROW(B154)-ROW($B$133)&amp;"][NumberOfInstallations]",Submission!$O:$O,Submission!$H:$N,""))</f>
        <v>10</v>
      </c>
      <c r="H154" s="108" t="str">
        <f>_xlfn.CONCAT(_xlfn.XLOOKUP("[S06_InstallationsVerificationReportsIssueDetail]["&amp;1+ROW(B154)-ROW($B$133)&amp;"][NumberOfIssues]",Submission!$O:$O,Submission!$H:$N,""))</f>
        <v>12</v>
      </c>
      <c r="I154" s="189" t="str">
        <f>_xlfn.CONCAT(_xlfn.XLOOKUP("[S06_InstallationsVerificationReportsIssueDetail]["&amp;1+ROW(B154)-ROW($B$133)&amp;"][ShareOfReportsConservativeEstimate]",Submission!$O:$O,Submission!$H:$N,""))</f>
        <v>0</v>
      </c>
    </row>
    <row r="155" spans="1:9" ht="26.4" hidden="1" customHeight="1" outlineLevel="1" x14ac:dyDescent="0.3">
      <c r="A155" s="13"/>
      <c r="C155" s="277" t="str">
        <f>_xlfn.CONCAT(_xlfn.XLOOKUP("[S06_InstallationsVerificationReportsIssueDetail]["&amp;1+ROW(B155)-ROW($B$133)&amp;"][AnnexIActivity]",Submission!$O:$O,Submission!$H:$N,""))</f>
        <v>32 - Manufacture of ceramic products as specified in Annex I of Directive 2003/87/EC</v>
      </c>
      <c r="D155" s="367"/>
      <c r="E155" s="277" t="str">
        <f>_xlfn.CONCAT(_xlfn.XLOOKUP("[S06_InstallationsVerificationReportsIssueDetail]["&amp;1+ROW(B155)-ROW($B$133)&amp;"][TypeOfIssue]",Submission!$O:$O,Submission!$H:$N,""))</f>
        <v>Non-compliance with Implementing Regulation (EU) 2018/2066</v>
      </c>
      <c r="F155" s="367"/>
      <c r="G155" s="105" t="str">
        <f>_xlfn.CONCAT(_xlfn.XLOOKUP("[S06_InstallationsVerificationReportsIssueDetail]["&amp;1+ROW(B155)-ROW($B$133)&amp;"][NumberOfInstallations]",Submission!$O:$O,Submission!$H:$N,""))</f>
        <v>11</v>
      </c>
      <c r="H155" s="108" t="str">
        <f>_xlfn.CONCAT(_xlfn.XLOOKUP("[S06_InstallationsVerificationReportsIssueDetail]["&amp;1+ROW(B155)-ROW($B$133)&amp;"][NumberOfIssues]",Submission!$O:$O,Submission!$H:$N,""))</f>
        <v>3</v>
      </c>
      <c r="I155" s="189" t="str">
        <f>_xlfn.CONCAT(_xlfn.XLOOKUP("[S06_InstallationsVerificationReportsIssueDetail]["&amp;1+ROW(B155)-ROW($B$133)&amp;"][ShareOfReportsConservativeEstimate]",Submission!$O:$O,Submission!$H:$N,""))</f>
        <v>0</v>
      </c>
    </row>
    <row r="156" spans="1:9" ht="26.4" hidden="1" customHeight="1" outlineLevel="1" x14ac:dyDescent="0.3">
      <c r="A156" s="13"/>
      <c r="C156" s="277" t="str">
        <f>_xlfn.CONCAT(_xlfn.XLOOKUP("[S06_InstallationsVerificationReportsIssueDetail]["&amp;1+ROW(B156)-ROW($B$133)&amp;"][AnnexIActivity]",Submission!$O:$O,Submission!$H:$N,""))</f>
        <v>32 - Manufacture of ceramic products as specified in Annex I of Directive 2003/87/EC</v>
      </c>
      <c r="D156" s="367"/>
      <c r="E156" s="277" t="str">
        <f>_xlfn.CONCAT(_xlfn.XLOOKUP("[S06_InstallationsVerificationReportsIssueDetail]["&amp;1+ROW(B156)-ROW($B$133)&amp;"][TypeOfIssue]",Submission!$O:$O,Submission!$H:$N,""))</f>
        <v>Non-conformities not leading to a negative verification opinion statement</v>
      </c>
      <c r="F156" s="367"/>
      <c r="G156" s="105" t="str">
        <f>_xlfn.CONCAT(_xlfn.XLOOKUP("[S06_InstallationsVerificationReportsIssueDetail]["&amp;1+ROW(B156)-ROW($B$133)&amp;"][NumberOfInstallations]",Submission!$O:$O,Submission!$H:$N,""))</f>
        <v>3</v>
      </c>
      <c r="H156" s="108" t="str">
        <f>_xlfn.CONCAT(_xlfn.XLOOKUP("[S06_InstallationsVerificationReportsIssueDetail]["&amp;1+ROW(B156)-ROW($B$133)&amp;"][NumberOfIssues]",Submission!$O:$O,Submission!$H:$N,""))</f>
        <v>2</v>
      </c>
      <c r="I156" s="189" t="str">
        <f>_xlfn.CONCAT(_xlfn.XLOOKUP("[S06_InstallationsVerificationReportsIssueDetail]["&amp;1+ROW(B156)-ROW($B$133)&amp;"][ShareOfReportsConservativeEstimate]",Submission!$O:$O,Submission!$H:$N,""))</f>
        <v>0</v>
      </c>
    </row>
    <row r="157" spans="1:9" ht="26.4" hidden="1" customHeight="1" outlineLevel="1" x14ac:dyDescent="0.3">
      <c r="A157" s="13"/>
      <c r="C157" s="277" t="str">
        <f>_xlfn.CONCAT(_xlfn.XLOOKUP("[S06_InstallationsVerificationReportsIssueDetail]["&amp;1+ROW(B157)-ROW($B$133)&amp;"][AnnexIActivity]",Submission!$O:$O,Submission!$H:$N,""))</f>
        <v>31 - Manufacture of glass as specified in Annex I of Directive 2003/87/EC</v>
      </c>
      <c r="D157" s="367"/>
      <c r="E157" s="277" t="str">
        <f>_xlfn.CONCAT(_xlfn.XLOOKUP("[S06_InstallationsVerificationReportsIssueDetail]["&amp;1+ROW(B157)-ROW($B$133)&amp;"][TypeOfIssue]",Submission!$O:$O,Submission!$H:$N,""))</f>
        <v>Non-material misstatements</v>
      </c>
      <c r="F157" s="367"/>
      <c r="G157" s="105" t="str">
        <f>_xlfn.CONCAT(_xlfn.XLOOKUP("[S06_InstallationsVerificationReportsIssueDetail]["&amp;1+ROW(B157)-ROW($B$133)&amp;"][NumberOfInstallations]",Submission!$O:$O,Submission!$H:$N,""))</f>
        <v>1</v>
      </c>
      <c r="H157" s="108" t="str">
        <f>_xlfn.CONCAT(_xlfn.XLOOKUP("[S06_InstallationsVerificationReportsIssueDetail]["&amp;1+ROW(B157)-ROW($B$133)&amp;"][NumberOfIssues]",Submission!$O:$O,Submission!$H:$N,""))</f>
        <v>1</v>
      </c>
      <c r="I157" s="189" t="str">
        <f>_xlfn.CONCAT(_xlfn.XLOOKUP("[S06_InstallationsVerificationReportsIssueDetail]["&amp;1+ROW(B157)-ROW($B$133)&amp;"][ShareOfReportsConservativeEstimate]",Submission!$O:$O,Submission!$H:$N,""))</f>
        <v>0</v>
      </c>
    </row>
    <row r="158" spans="1:9" ht="26.4" hidden="1" customHeight="1" outlineLevel="1" x14ac:dyDescent="0.3">
      <c r="A158" s="13"/>
      <c r="C158" s="277" t="str">
        <f>_xlfn.CONCAT(_xlfn.XLOOKUP("[S06_InstallationsVerificationReportsIssueDetail]["&amp;1+ROW(B158)-ROW($B$133)&amp;"][AnnexIActivity]",Submission!$O:$O,Submission!$H:$N,""))</f>
        <v>32 - Manufacture of ceramic products as specified in Annex I of Directive 2003/87/EC</v>
      </c>
      <c r="D158" s="367"/>
      <c r="E158" s="277" t="str">
        <f>_xlfn.CONCAT(_xlfn.XLOOKUP("[S06_InstallationsVerificationReportsIssueDetail]["&amp;1+ROW(B158)-ROW($B$133)&amp;"][TypeOfIssue]",Submission!$O:$O,Submission!$H:$N,""))</f>
        <v>Recommendations for improvement</v>
      </c>
      <c r="F158" s="367"/>
      <c r="G158" s="105" t="str">
        <f>_xlfn.CONCAT(_xlfn.XLOOKUP("[S06_InstallationsVerificationReportsIssueDetail]["&amp;1+ROW(B158)-ROW($B$133)&amp;"][NumberOfInstallations]",Submission!$O:$O,Submission!$H:$N,""))</f>
        <v>12</v>
      </c>
      <c r="H158" s="108" t="str">
        <f>_xlfn.CONCAT(_xlfn.XLOOKUP("[S06_InstallationsVerificationReportsIssueDetail]["&amp;1+ROW(B158)-ROW($B$133)&amp;"][NumberOfIssues]",Submission!$O:$O,Submission!$H:$N,""))</f>
        <v>8</v>
      </c>
      <c r="I158" s="189" t="str">
        <f>_xlfn.CONCAT(_xlfn.XLOOKUP("[S06_InstallationsVerificationReportsIssueDetail]["&amp;1+ROW(B158)-ROW($B$133)&amp;"][ShareOfReportsConservativeEstimate]",Submission!$O:$O,Submission!$H:$N,""))</f>
        <v>0</v>
      </c>
    </row>
    <row r="159" spans="1:9" ht="26.4" hidden="1" customHeight="1" outlineLevel="1" x14ac:dyDescent="0.3">
      <c r="A159" s="13"/>
      <c r="C159" s="277" t="str">
        <f>_xlfn.CONCAT(_xlfn.XLOOKUP("[S06_InstallationsVerificationReportsIssueDetail]["&amp;1+ROW(B159)-ROW($B$133)&amp;"][AnnexIActivity]",Submission!$O:$O,Submission!$H:$N,""))</f>
        <v>33 - Manufacture of mineral wool insulation material using glass, rock or slag as specified in Annex I of Directive 2003/87/EC</v>
      </c>
      <c r="D159" s="367"/>
      <c r="E159" s="277" t="str">
        <f>_xlfn.CONCAT(_xlfn.XLOOKUP("[S06_InstallationsVerificationReportsIssueDetail]["&amp;1+ROW(B159)-ROW($B$133)&amp;"][TypeOfIssue]",Submission!$O:$O,Submission!$H:$N,""))</f>
        <v>Non-compliance with Implementing Regulation (EU) 2018/2066</v>
      </c>
      <c r="F159" s="367"/>
      <c r="G159" s="105" t="str">
        <f>_xlfn.CONCAT(_xlfn.XLOOKUP("[S06_InstallationsVerificationReportsIssueDetail]["&amp;1+ROW(B159)-ROW($B$133)&amp;"][NumberOfInstallations]",Submission!$O:$O,Submission!$H:$N,""))</f>
        <v>3</v>
      </c>
      <c r="H159" s="108" t="str">
        <f>_xlfn.CONCAT(_xlfn.XLOOKUP("[S06_InstallationsVerificationReportsIssueDetail]["&amp;1+ROW(B159)-ROW($B$133)&amp;"][NumberOfIssues]",Submission!$O:$O,Submission!$H:$N,""))</f>
        <v>2</v>
      </c>
      <c r="I159" s="189" t="str">
        <f>_xlfn.CONCAT(_xlfn.XLOOKUP("[S06_InstallationsVerificationReportsIssueDetail]["&amp;1+ROW(B159)-ROW($B$133)&amp;"][ShareOfReportsConservativeEstimate]",Submission!$O:$O,Submission!$H:$N,""))</f>
        <v>0</v>
      </c>
    </row>
    <row r="160" spans="1:9" ht="26.4" hidden="1" customHeight="1" outlineLevel="1" x14ac:dyDescent="0.3">
      <c r="A160" s="13"/>
      <c r="C160" s="277" t="str">
        <f>_xlfn.CONCAT(_xlfn.XLOOKUP("[S06_InstallationsVerificationReportsIssueDetail]["&amp;1+ROW(B160)-ROW($B$133)&amp;"][AnnexIActivity]",Submission!$O:$O,Submission!$H:$N,""))</f>
        <v>33 - Manufacture of mineral wool insulation material using glass, rock or slag as specified in Annex I of Directive 2003/87/EC</v>
      </c>
      <c r="D160" s="367"/>
      <c r="E160" s="277" t="str">
        <f>_xlfn.CONCAT(_xlfn.XLOOKUP("[S06_InstallationsVerificationReportsIssueDetail]["&amp;1+ROW(B160)-ROW($B$133)&amp;"][TypeOfIssue]",Submission!$O:$O,Submission!$H:$N,""))</f>
        <v>Non-conformities not leading to a negative verification opinion statement</v>
      </c>
      <c r="F160" s="367"/>
      <c r="G160" s="105" t="str">
        <f>_xlfn.CONCAT(_xlfn.XLOOKUP("[S06_InstallationsVerificationReportsIssueDetail]["&amp;1+ROW(B160)-ROW($B$133)&amp;"][NumberOfInstallations]",Submission!$O:$O,Submission!$H:$N,""))</f>
        <v>1</v>
      </c>
      <c r="H160" s="108" t="str">
        <f>_xlfn.CONCAT(_xlfn.XLOOKUP("[S06_InstallationsVerificationReportsIssueDetail]["&amp;1+ROW(B160)-ROW($B$133)&amp;"][NumberOfIssues]",Submission!$O:$O,Submission!$H:$N,""))</f>
        <v>1</v>
      </c>
      <c r="I160" s="189" t="str">
        <f>_xlfn.CONCAT(_xlfn.XLOOKUP("[S06_InstallationsVerificationReportsIssueDetail]["&amp;1+ROW(B160)-ROW($B$133)&amp;"][ShareOfReportsConservativeEstimate]",Submission!$O:$O,Submission!$H:$N,""))</f>
        <v>0</v>
      </c>
    </row>
    <row r="161" spans="1:9" ht="26.4" hidden="1" customHeight="1" outlineLevel="1" x14ac:dyDescent="0.3">
      <c r="A161" s="13"/>
      <c r="C161" s="277" t="str">
        <f>_xlfn.CONCAT(_xlfn.XLOOKUP("[S06_InstallationsVerificationReportsIssueDetail]["&amp;1+ROW(B161)-ROW($B$133)&amp;"][AnnexIActivity]",Submission!$O:$O,Submission!$H:$N,""))</f>
        <v>33 - Manufacture of mineral wool insulation material using glass, rock or slag as specified in Annex I of Directive 2003/87/EC</v>
      </c>
      <c r="D161" s="367"/>
      <c r="E161" s="277" t="str">
        <f>_xlfn.CONCAT(_xlfn.XLOOKUP("[S06_InstallationsVerificationReportsIssueDetail]["&amp;1+ROW(B161)-ROW($B$133)&amp;"][TypeOfIssue]",Submission!$O:$O,Submission!$H:$N,""))</f>
        <v>Recommendations for improvement</v>
      </c>
      <c r="F161" s="367"/>
      <c r="G161" s="105" t="str">
        <f>_xlfn.CONCAT(_xlfn.XLOOKUP("[S06_InstallationsVerificationReportsIssueDetail]["&amp;1+ROW(B161)-ROW($B$133)&amp;"][NumberOfInstallations]",Submission!$O:$O,Submission!$H:$N,""))</f>
        <v>2</v>
      </c>
      <c r="H161" s="108" t="str">
        <f>_xlfn.CONCAT(_xlfn.XLOOKUP("[S06_InstallationsVerificationReportsIssueDetail]["&amp;1+ROW(B161)-ROW($B$133)&amp;"][NumberOfIssues]",Submission!$O:$O,Submission!$H:$N,""))</f>
        <v>2</v>
      </c>
      <c r="I161" s="189" t="str">
        <f>_xlfn.CONCAT(_xlfn.XLOOKUP("[S06_InstallationsVerificationReportsIssueDetail]["&amp;1+ROW(B161)-ROW($B$133)&amp;"][ShareOfReportsConservativeEstimate]",Submission!$O:$O,Submission!$H:$N,""))</f>
        <v>0</v>
      </c>
    </row>
    <row r="162" spans="1:9" ht="26.4" hidden="1" customHeight="1" outlineLevel="1" x14ac:dyDescent="0.3">
      <c r="A162" s="13"/>
      <c r="C162" s="277" t="str">
        <f>_xlfn.CONCAT(_xlfn.XLOOKUP("[S06_InstallationsVerificationReportsIssueDetail]["&amp;1+ROW(B162)-ROW($B$133)&amp;"][AnnexIActivity]",Submission!$O:$O,Submission!$H:$N,""))</f>
        <v>34 - Drying or calcination of gypsum or production of plaster boards and other gypsum products, as specified in Annex I of Directive 2003/87/EC</v>
      </c>
      <c r="D162" s="367"/>
      <c r="E162" s="277" t="str">
        <f>_xlfn.CONCAT(_xlfn.XLOOKUP("[S06_InstallationsVerificationReportsIssueDetail]["&amp;1+ROW(B162)-ROW($B$133)&amp;"][TypeOfIssue]",Submission!$O:$O,Submission!$H:$N,""))</f>
        <v>Non-compliance with Implementing Regulation (EU) 2018/2066</v>
      </c>
      <c r="F162" s="367"/>
      <c r="G162" s="105" t="str">
        <f>_xlfn.CONCAT(_xlfn.XLOOKUP("[S06_InstallationsVerificationReportsIssueDetail]["&amp;1+ROW(B162)-ROW($B$133)&amp;"][NumberOfInstallations]",Submission!$O:$O,Submission!$H:$N,""))</f>
        <v>1</v>
      </c>
      <c r="H162" s="108" t="str">
        <f>_xlfn.CONCAT(_xlfn.XLOOKUP("[S06_InstallationsVerificationReportsIssueDetail]["&amp;1+ROW(B162)-ROW($B$133)&amp;"][NumberOfIssues]",Submission!$O:$O,Submission!$H:$N,""))</f>
        <v>1</v>
      </c>
      <c r="I162" s="189" t="str">
        <f>_xlfn.CONCAT(_xlfn.XLOOKUP("[S06_InstallationsVerificationReportsIssueDetail]["&amp;1+ROW(B162)-ROW($B$133)&amp;"][ShareOfReportsConservativeEstimate]",Submission!$O:$O,Submission!$H:$N,""))</f>
        <v>0</v>
      </c>
    </row>
    <row r="163" spans="1:9" ht="26.4" hidden="1" customHeight="1" outlineLevel="1" x14ac:dyDescent="0.3">
      <c r="A163" s="13"/>
      <c r="C163" s="277" t="str">
        <f>_xlfn.CONCAT(_xlfn.XLOOKUP("[S06_InstallationsVerificationReportsIssueDetail]["&amp;1+ROW(B163)-ROW($B$133)&amp;"][AnnexIActivity]",Submission!$O:$O,Submission!$H:$N,""))</f>
        <v>35 - Production of pulp as specified in Annex I of Directive 2003/87/EC</v>
      </c>
      <c r="D163" s="367"/>
      <c r="E163" s="277" t="str">
        <f>_xlfn.CONCAT(_xlfn.XLOOKUP("[S06_InstallationsVerificationReportsIssueDetail]["&amp;1+ROW(B163)-ROW($B$133)&amp;"][TypeOfIssue]",Submission!$O:$O,Submission!$H:$N,""))</f>
        <v>Non-compliance with Implementing Regulation (EU) 2018/2066</v>
      </c>
      <c r="F163" s="367"/>
      <c r="G163" s="105" t="str">
        <f>_xlfn.CONCAT(_xlfn.XLOOKUP("[S06_InstallationsVerificationReportsIssueDetail]["&amp;1+ROW(B163)-ROW($B$133)&amp;"][NumberOfInstallations]",Submission!$O:$O,Submission!$H:$N,""))</f>
        <v>1</v>
      </c>
      <c r="H163" s="108" t="str">
        <f>_xlfn.CONCAT(_xlfn.XLOOKUP("[S06_InstallationsVerificationReportsIssueDetail]["&amp;1+ROW(B163)-ROW($B$133)&amp;"][NumberOfIssues]",Submission!$O:$O,Submission!$H:$N,""))</f>
        <v>1</v>
      </c>
      <c r="I163" s="189" t="str">
        <f>_xlfn.CONCAT(_xlfn.XLOOKUP("[S06_InstallationsVerificationReportsIssueDetail]["&amp;1+ROW(B163)-ROW($B$133)&amp;"][ShareOfReportsConservativeEstimate]",Submission!$O:$O,Submission!$H:$N,""))</f>
        <v>0</v>
      </c>
    </row>
    <row r="164" spans="1:9" ht="26.4" hidden="1" customHeight="1" outlineLevel="1" x14ac:dyDescent="0.3">
      <c r="A164" s="13"/>
      <c r="C164" s="277" t="str">
        <f>_xlfn.CONCAT(_xlfn.XLOOKUP("[S06_InstallationsVerificationReportsIssueDetail]["&amp;1+ROW(B164)-ROW($B$133)&amp;"][AnnexIActivity]",Submission!$O:$O,Submission!$H:$N,""))</f>
        <v>35 - Production of pulp as specified in Annex I of Directive 2003/87/EC</v>
      </c>
      <c r="D164" s="367"/>
      <c r="E164" s="277" t="str">
        <f>_xlfn.CONCAT(_xlfn.XLOOKUP("[S06_InstallationsVerificationReportsIssueDetail]["&amp;1+ROW(B164)-ROW($B$133)&amp;"][TypeOfIssue]",Submission!$O:$O,Submission!$H:$N,""))</f>
        <v>Recommendations for improvement</v>
      </c>
      <c r="F164" s="367"/>
      <c r="G164" s="105" t="str">
        <f>_xlfn.CONCAT(_xlfn.XLOOKUP("[S06_InstallationsVerificationReportsIssueDetail]["&amp;1+ROW(B164)-ROW($B$133)&amp;"][NumberOfInstallations]",Submission!$O:$O,Submission!$H:$N,""))</f>
        <v>1</v>
      </c>
      <c r="H164" s="108" t="str">
        <f>_xlfn.CONCAT(_xlfn.XLOOKUP("[S06_InstallationsVerificationReportsIssueDetail]["&amp;1+ROW(B164)-ROW($B$133)&amp;"][NumberOfIssues]",Submission!$O:$O,Submission!$H:$N,""))</f>
        <v>1</v>
      </c>
      <c r="I164" s="189" t="str">
        <f>_xlfn.CONCAT(_xlfn.XLOOKUP("[S06_InstallationsVerificationReportsIssueDetail]["&amp;1+ROW(B164)-ROW($B$133)&amp;"][ShareOfReportsConservativeEstimate]",Submission!$O:$O,Submission!$H:$N,""))</f>
        <v>0</v>
      </c>
    </row>
    <row r="165" spans="1:9" ht="26.4" hidden="1" customHeight="1" outlineLevel="1" x14ac:dyDescent="0.3">
      <c r="A165" s="13"/>
      <c r="C165" s="277" t="str">
        <f>_xlfn.CONCAT(_xlfn.XLOOKUP("[S06_InstallationsVerificationReportsIssueDetail]["&amp;1+ROW(B165)-ROW($B$133)&amp;"][AnnexIActivity]",Submission!$O:$O,Submission!$H:$N,""))</f>
        <v xml:space="preserve">36 - Production of paper or cardboard as specified in Annex I of Directive 2003/87/EC </v>
      </c>
      <c r="D165" s="367"/>
      <c r="E165" s="277" t="str">
        <f>_xlfn.CONCAT(_xlfn.XLOOKUP("[S06_InstallationsVerificationReportsIssueDetail]["&amp;1+ROW(B165)-ROW($B$133)&amp;"][TypeOfIssue]",Submission!$O:$O,Submission!$H:$N,""))</f>
        <v>Non-compliance with Implementing Regulation (EU) 2018/2066</v>
      </c>
      <c r="F165" s="367"/>
      <c r="G165" s="105" t="str">
        <f>_xlfn.CONCAT(_xlfn.XLOOKUP("[S06_InstallationsVerificationReportsIssueDetail]["&amp;1+ROW(B165)-ROW($B$133)&amp;"][NumberOfInstallations]",Submission!$O:$O,Submission!$H:$N,""))</f>
        <v>10</v>
      </c>
      <c r="H165" s="108" t="str">
        <f>_xlfn.CONCAT(_xlfn.XLOOKUP("[S06_InstallationsVerificationReportsIssueDetail]["&amp;1+ROW(B165)-ROW($B$133)&amp;"][NumberOfIssues]",Submission!$O:$O,Submission!$H:$N,""))</f>
        <v>2</v>
      </c>
      <c r="I165" s="189" t="str">
        <f>_xlfn.CONCAT(_xlfn.XLOOKUP("[S06_InstallationsVerificationReportsIssueDetail]["&amp;1+ROW(B165)-ROW($B$133)&amp;"][ShareOfReportsConservativeEstimate]",Submission!$O:$O,Submission!$H:$N,""))</f>
        <v>0</v>
      </c>
    </row>
    <row r="166" spans="1:9" ht="26.4" hidden="1" customHeight="1" outlineLevel="1" x14ac:dyDescent="0.3">
      <c r="A166" s="13"/>
      <c r="C166" s="277" t="str">
        <f>_xlfn.CONCAT(_xlfn.XLOOKUP("[S06_InstallationsVerificationReportsIssueDetail]["&amp;1+ROW(B166)-ROW($B$133)&amp;"][AnnexIActivity]",Submission!$O:$O,Submission!$H:$N,""))</f>
        <v xml:space="preserve">36 - Production of paper or cardboard as specified in Annex I of Directive 2003/87/EC </v>
      </c>
      <c r="D166" s="367"/>
      <c r="E166" s="277" t="str">
        <f>_xlfn.CONCAT(_xlfn.XLOOKUP("[S06_InstallationsVerificationReportsIssueDetail]["&amp;1+ROW(B166)-ROW($B$133)&amp;"][TypeOfIssue]",Submission!$O:$O,Submission!$H:$N,""))</f>
        <v>Recommendations for improvement</v>
      </c>
      <c r="F166" s="367"/>
      <c r="G166" s="105" t="str">
        <f>_xlfn.CONCAT(_xlfn.XLOOKUP("[S06_InstallationsVerificationReportsIssueDetail]["&amp;1+ROW(B166)-ROW($B$133)&amp;"][NumberOfInstallations]",Submission!$O:$O,Submission!$H:$N,""))</f>
        <v>5</v>
      </c>
      <c r="H166" s="108" t="str">
        <f>_xlfn.CONCAT(_xlfn.XLOOKUP("[S06_InstallationsVerificationReportsIssueDetail]["&amp;1+ROW(B166)-ROW($B$133)&amp;"][NumberOfIssues]",Submission!$O:$O,Submission!$H:$N,""))</f>
        <v>3</v>
      </c>
      <c r="I166" s="189" t="str">
        <f>_xlfn.CONCAT(_xlfn.XLOOKUP("[S06_InstallationsVerificationReportsIssueDetail]["&amp;1+ROW(B166)-ROW($B$133)&amp;"][ShareOfReportsConservativeEstimate]",Submission!$O:$O,Submission!$H:$N,""))</f>
        <v>0</v>
      </c>
    </row>
    <row r="167" spans="1:9" ht="26.4" hidden="1" customHeight="1" outlineLevel="1" x14ac:dyDescent="0.3">
      <c r="A167" s="13"/>
      <c r="C167" s="277" t="str">
        <f>_xlfn.CONCAT(_xlfn.XLOOKUP("[S06_InstallationsVerificationReportsIssueDetail]["&amp;1+ROW(B167)-ROW($B$133)&amp;"][AnnexIActivity]",Submission!$O:$O,Submission!$H:$N,""))</f>
        <v xml:space="preserve">38 - Production of nitric acid </v>
      </c>
      <c r="D167" s="367"/>
      <c r="E167" s="277" t="str">
        <f>_xlfn.CONCAT(_xlfn.XLOOKUP("[S06_InstallationsVerificationReportsIssueDetail]["&amp;1+ROW(B167)-ROW($B$133)&amp;"][TypeOfIssue]",Submission!$O:$O,Submission!$H:$N,""))</f>
        <v>Non-material misstatements</v>
      </c>
      <c r="F167" s="367"/>
      <c r="G167" s="105" t="str">
        <f>_xlfn.CONCAT(_xlfn.XLOOKUP("[S06_InstallationsVerificationReportsIssueDetail]["&amp;1+ROW(B167)-ROW($B$133)&amp;"][NumberOfInstallations]",Submission!$O:$O,Submission!$H:$N,""))</f>
        <v>1</v>
      </c>
      <c r="H167" s="108" t="str">
        <f>_xlfn.CONCAT(_xlfn.XLOOKUP("[S06_InstallationsVerificationReportsIssueDetail]["&amp;1+ROW(B167)-ROW($B$133)&amp;"][NumberOfIssues]",Submission!$O:$O,Submission!$H:$N,""))</f>
        <v>1</v>
      </c>
      <c r="I167" s="189" t="str">
        <f>_xlfn.CONCAT(_xlfn.XLOOKUP("[S06_InstallationsVerificationReportsIssueDetail]["&amp;1+ROW(B167)-ROW($B$133)&amp;"][ShareOfReportsConservativeEstimate]",Submission!$O:$O,Submission!$H:$N,""))</f>
        <v>0</v>
      </c>
    </row>
    <row r="168" spans="1:9" ht="26.4" hidden="1" customHeight="1" outlineLevel="1" x14ac:dyDescent="0.3">
      <c r="A168" s="13"/>
      <c r="C168" s="277" t="str">
        <f>_xlfn.CONCAT(_xlfn.XLOOKUP("[S06_InstallationsVerificationReportsIssueDetail]["&amp;1+ROW(B168)-ROW($B$133)&amp;"][AnnexIActivity]",Submission!$O:$O,Submission!$H:$N,""))</f>
        <v/>
      </c>
      <c r="D168" s="367"/>
      <c r="E168" s="277" t="str">
        <f>_xlfn.CONCAT(_xlfn.XLOOKUP("[S06_InstallationsVerificationReportsIssueDetail]["&amp;1+ROW(B168)-ROW($B$133)&amp;"][TypeOfIssue]",Submission!$O:$O,Submission!$H:$N,""))</f>
        <v/>
      </c>
      <c r="F168" s="36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7" t="str">
        <f>_xlfn.CONCAT(_xlfn.XLOOKUP("[S06_InstallationsVerificationReportsIssueDetail]["&amp;1+ROW(B169)-ROW($B$133)&amp;"][AnnexIActivity]",Submission!$O:$O,Submission!$H:$N,""))</f>
        <v/>
      </c>
      <c r="D169" s="367"/>
      <c r="E169" s="277" t="str">
        <f>_xlfn.CONCAT(_xlfn.XLOOKUP("[S06_InstallationsVerificationReportsIssueDetail]["&amp;1+ROW(B169)-ROW($B$133)&amp;"][TypeOfIssue]",Submission!$O:$O,Submission!$H:$N,""))</f>
        <v/>
      </c>
      <c r="F169" s="36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7" t="str">
        <f>_xlfn.CONCAT(_xlfn.XLOOKUP("[S06_InstallationsVerificationReportsIssueDetail]["&amp;1+ROW(B170)-ROW($B$133)&amp;"][AnnexIActivity]",Submission!$O:$O,Submission!$H:$N,""))</f>
        <v/>
      </c>
      <c r="D170" s="367"/>
      <c r="E170" s="277" t="str">
        <f>_xlfn.CONCAT(_xlfn.XLOOKUP("[S06_InstallationsVerificationReportsIssueDetail]["&amp;1+ROW(B170)-ROW($B$133)&amp;"][TypeOfIssue]",Submission!$O:$O,Submission!$H:$N,""))</f>
        <v/>
      </c>
      <c r="F170" s="36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7" t="str">
        <f>_xlfn.CONCAT(_xlfn.XLOOKUP("[S06_InstallationsVerificationReportsIssueDetail]["&amp;1+ROW(B171)-ROW($B$133)&amp;"][AnnexIActivity]",Submission!$O:$O,Submission!$H:$N,""))</f>
        <v/>
      </c>
      <c r="D171" s="367"/>
      <c r="E171" s="277" t="str">
        <f>_xlfn.CONCAT(_xlfn.XLOOKUP("[S06_InstallationsVerificationReportsIssueDetail]["&amp;1+ROW(B171)-ROW($B$133)&amp;"][TypeOfIssue]",Submission!$O:$O,Submission!$H:$N,""))</f>
        <v/>
      </c>
      <c r="F171" s="36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7" t="str">
        <f>_xlfn.CONCAT(_xlfn.XLOOKUP("[S06_InstallationsVerificationReportsIssueDetail]["&amp;1+ROW(B172)-ROW($B$133)&amp;"][AnnexIActivity]",Submission!$O:$O,Submission!$H:$N,""))</f>
        <v/>
      </c>
      <c r="D172" s="367"/>
      <c r="E172" s="277" t="str">
        <f>_xlfn.CONCAT(_xlfn.XLOOKUP("[S06_InstallationsVerificationReportsIssueDetail]["&amp;1+ROW(B172)-ROW($B$133)&amp;"][TypeOfIssue]",Submission!$O:$O,Submission!$H:$N,""))</f>
        <v/>
      </c>
      <c r="F172" s="36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7" t="str">
        <f>_xlfn.CONCAT(_xlfn.XLOOKUP("[S06_InstallationsVerificationReportsIssueDetail]["&amp;1+ROW(B173)-ROW($B$133)&amp;"][AnnexIActivity]",Submission!$O:$O,Submission!$H:$N,""))</f>
        <v/>
      </c>
      <c r="D173" s="367"/>
      <c r="E173" s="277" t="str">
        <f>_xlfn.CONCAT(_xlfn.XLOOKUP("[S06_InstallationsVerificationReportsIssueDetail]["&amp;1+ROW(B173)-ROW($B$133)&amp;"][TypeOfIssue]",Submission!$O:$O,Submission!$H:$N,""))</f>
        <v/>
      </c>
      <c r="F173" s="36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7" t="str">
        <f>_xlfn.CONCAT(_xlfn.XLOOKUP("[S06_InstallationsVerificationReportsIssueDetail]["&amp;1+ROW(B174)-ROW($B$133)&amp;"][AnnexIActivity]",Submission!$O:$O,Submission!$H:$N,""))</f>
        <v/>
      </c>
      <c r="D174" s="367"/>
      <c r="E174" s="277" t="str">
        <f>_xlfn.CONCAT(_xlfn.XLOOKUP("[S06_InstallationsVerificationReportsIssueDetail]["&amp;1+ROW(B174)-ROW($B$133)&amp;"][TypeOfIssue]",Submission!$O:$O,Submission!$H:$N,""))</f>
        <v/>
      </c>
      <c r="F174" s="36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7" t="str">
        <f>_xlfn.CONCAT(_xlfn.XLOOKUP("[S06_InstallationsVerificationReportsIssueDetail]["&amp;1+ROW(B175)-ROW($B$133)&amp;"][AnnexIActivity]",Submission!$O:$O,Submission!$H:$N,""))</f>
        <v/>
      </c>
      <c r="D175" s="367"/>
      <c r="E175" s="277" t="str">
        <f>_xlfn.CONCAT(_xlfn.XLOOKUP("[S06_InstallationsVerificationReportsIssueDetail]["&amp;1+ROW(B175)-ROW($B$133)&amp;"][TypeOfIssue]",Submission!$O:$O,Submission!$H:$N,""))</f>
        <v/>
      </c>
      <c r="F175" s="36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7" t="str">
        <f>_xlfn.CONCAT(_xlfn.XLOOKUP("[S06_InstallationsVerificationReportsIssueDetail]["&amp;1+ROW(B176)-ROW($B$133)&amp;"][AnnexIActivity]",Submission!$O:$O,Submission!$H:$N,""))</f>
        <v/>
      </c>
      <c r="D176" s="367"/>
      <c r="E176" s="277" t="str">
        <f>_xlfn.CONCAT(_xlfn.XLOOKUP("[S06_InstallationsVerificationReportsIssueDetail]["&amp;1+ROW(B176)-ROW($B$133)&amp;"][TypeOfIssue]",Submission!$O:$O,Submission!$H:$N,""))</f>
        <v/>
      </c>
      <c r="F176" s="36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7" t="str">
        <f>_xlfn.CONCAT(_xlfn.XLOOKUP("[S06_InstallationsVerificationReportsIssueDetail]["&amp;1+ROW(B177)-ROW($B$133)&amp;"][AnnexIActivity]",Submission!$O:$O,Submission!$H:$N,""))</f>
        <v/>
      </c>
      <c r="D177" s="367"/>
      <c r="E177" s="277" t="str">
        <f>_xlfn.CONCAT(_xlfn.XLOOKUP("[S06_InstallationsVerificationReportsIssueDetail]["&amp;1+ROW(B177)-ROW($B$133)&amp;"][TypeOfIssue]",Submission!$O:$O,Submission!$H:$N,""))</f>
        <v/>
      </c>
      <c r="F177" s="36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7" t="str">
        <f>_xlfn.CONCAT(_xlfn.XLOOKUP("[S06_InstallationsVerificationReportsIssueDetail]["&amp;1+ROW(B178)-ROW($B$133)&amp;"][AnnexIActivity]",Submission!$O:$O,Submission!$H:$N,""))</f>
        <v/>
      </c>
      <c r="D178" s="367"/>
      <c r="E178" s="277" t="str">
        <f>_xlfn.CONCAT(_xlfn.XLOOKUP("[S06_InstallationsVerificationReportsIssueDetail]["&amp;1+ROW(B178)-ROW($B$133)&amp;"][TypeOfIssue]",Submission!$O:$O,Submission!$H:$N,""))</f>
        <v/>
      </c>
      <c r="F178" s="36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7" t="str">
        <f>_xlfn.CONCAT(_xlfn.XLOOKUP("[S06_InstallationsVerificationReportsIssueDetail]["&amp;1+ROW(B179)-ROW($B$133)&amp;"][AnnexIActivity]",Submission!$O:$O,Submission!$H:$N,""))</f>
        <v/>
      </c>
      <c r="D179" s="367"/>
      <c r="E179" s="277" t="str">
        <f>_xlfn.CONCAT(_xlfn.XLOOKUP("[S06_InstallationsVerificationReportsIssueDetail]["&amp;1+ROW(B179)-ROW($B$133)&amp;"][TypeOfIssue]",Submission!$O:$O,Submission!$H:$N,""))</f>
        <v/>
      </c>
      <c r="F179" s="36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7" t="str">
        <f>_xlfn.CONCAT(_xlfn.XLOOKUP("[S06_InstallationsVerificationReportsIssueDetail]["&amp;1+ROW(B180)-ROW($B$133)&amp;"][AnnexIActivity]",Submission!$O:$O,Submission!$H:$N,""))</f>
        <v/>
      </c>
      <c r="D180" s="367"/>
      <c r="E180" s="277" t="str">
        <f>_xlfn.CONCAT(_xlfn.XLOOKUP("[S06_InstallationsVerificationReportsIssueDetail]["&amp;1+ROW(B180)-ROW($B$133)&amp;"][TypeOfIssue]",Submission!$O:$O,Submission!$H:$N,""))</f>
        <v/>
      </c>
      <c r="F180" s="36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7" t="str">
        <f>_xlfn.CONCAT(_xlfn.XLOOKUP("[S06_InstallationsVerificationReportsIssueDetail]["&amp;1+ROW(B181)-ROW($B$133)&amp;"][AnnexIActivity]",Submission!$O:$O,Submission!$H:$N,""))</f>
        <v/>
      </c>
      <c r="D181" s="367"/>
      <c r="E181" s="277" t="str">
        <f>_xlfn.CONCAT(_xlfn.XLOOKUP("[S06_InstallationsVerificationReportsIssueDetail]["&amp;1+ROW(B181)-ROW($B$133)&amp;"][TypeOfIssue]",Submission!$O:$O,Submission!$H:$N,""))</f>
        <v/>
      </c>
      <c r="F181" s="36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7" t="str">
        <f>_xlfn.CONCAT(_xlfn.XLOOKUP("[S06_InstallationsVerificationReportsIssueDetail]["&amp;1+ROW(B182)-ROW($B$133)&amp;"][AnnexIActivity]",Submission!$O:$O,Submission!$H:$N,""))</f>
        <v/>
      </c>
      <c r="D182" s="367"/>
      <c r="E182" s="277" t="str">
        <f>_xlfn.CONCAT(_xlfn.XLOOKUP("[S06_InstallationsVerificationReportsIssueDetail]["&amp;1+ROW(B182)-ROW($B$133)&amp;"][TypeOfIssue]",Submission!$O:$O,Submission!$H:$N,""))</f>
        <v/>
      </c>
      <c r="F182" s="36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7" t="str">
        <f>_xlfn.CONCAT(_xlfn.XLOOKUP("[S06_InstallationsVerificationReportsIssueDetail]["&amp;1+ROW(B183)-ROW($B$133)&amp;"][AnnexIActivity]",Submission!$O:$O,Submission!$H:$N,""))</f>
        <v/>
      </c>
      <c r="D183" s="367"/>
      <c r="E183" s="277" t="str">
        <f>_xlfn.CONCAT(_xlfn.XLOOKUP("[S06_InstallationsVerificationReportsIssueDetail]["&amp;1+ROW(B183)-ROW($B$133)&amp;"][TypeOfIssue]",Submission!$O:$O,Submission!$H:$N,""))</f>
        <v/>
      </c>
      <c r="F183" s="36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7" t="str">
        <f>_xlfn.CONCAT(_xlfn.XLOOKUP("[S06_InstallationsVerificationReportsIssueDetail]["&amp;1+ROW(B184)-ROW($B$133)&amp;"][AnnexIActivity]",Submission!$O:$O,Submission!$H:$N,""))</f>
        <v/>
      </c>
      <c r="D184" s="367"/>
      <c r="E184" s="277" t="str">
        <f>_xlfn.CONCAT(_xlfn.XLOOKUP("[S06_InstallationsVerificationReportsIssueDetail]["&amp;1+ROW(B184)-ROW($B$133)&amp;"][TypeOfIssue]",Submission!$O:$O,Submission!$H:$N,""))</f>
        <v/>
      </c>
      <c r="F184" s="36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7" t="str">
        <f>_xlfn.CONCAT(_xlfn.XLOOKUP("[S06_InstallationsVerificationReportsIssueDetail]["&amp;1+ROW(B185)-ROW($B$133)&amp;"][AnnexIActivity]",Submission!$O:$O,Submission!$H:$N,""))</f>
        <v/>
      </c>
      <c r="D185" s="367"/>
      <c r="E185" s="277" t="str">
        <f>_xlfn.CONCAT(_xlfn.XLOOKUP("[S06_InstallationsVerificationReportsIssueDetail]["&amp;1+ROW(B185)-ROW($B$133)&amp;"][TypeOfIssue]",Submission!$O:$O,Submission!$H:$N,""))</f>
        <v/>
      </c>
      <c r="F185" s="36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7" t="str">
        <f>_xlfn.CONCAT(_xlfn.XLOOKUP("[S06_InstallationsVerificationReportsIssueDetail]["&amp;1+ROW(B186)-ROW($B$133)&amp;"][AnnexIActivity]",Submission!$O:$O,Submission!$H:$N,""))</f>
        <v/>
      </c>
      <c r="D186" s="367"/>
      <c r="E186" s="277" t="str">
        <f>_xlfn.CONCAT(_xlfn.XLOOKUP("[S06_InstallationsVerificationReportsIssueDetail]["&amp;1+ROW(B186)-ROW($B$133)&amp;"][TypeOfIssue]",Submission!$O:$O,Submission!$H:$N,""))</f>
        <v/>
      </c>
      <c r="F186" s="36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7" t="str">
        <f>_xlfn.CONCAT(_xlfn.XLOOKUP("[S06_InstallationsVerificationReportsIssueDetail]["&amp;1+ROW(B187)-ROW($B$133)&amp;"][AnnexIActivity]",Submission!$O:$O,Submission!$H:$N,""))</f>
        <v/>
      </c>
      <c r="D187" s="367"/>
      <c r="E187" s="277" t="str">
        <f>_xlfn.CONCAT(_xlfn.XLOOKUP("[S06_InstallationsVerificationReportsIssueDetail]["&amp;1+ROW(B187)-ROW($B$133)&amp;"][TypeOfIssue]",Submission!$O:$O,Submission!$H:$N,""))</f>
        <v/>
      </c>
      <c r="F187" s="36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7" t="str">
        <f>_xlfn.CONCAT(_xlfn.XLOOKUP("[S06_InstallationsVerificationReportsIssueDetail]["&amp;1+ROW(B188)-ROW($B$133)&amp;"][AnnexIActivity]",Submission!$O:$O,Submission!$H:$N,""))</f>
        <v/>
      </c>
      <c r="D188" s="367"/>
      <c r="E188" s="277" t="str">
        <f>_xlfn.CONCAT(_xlfn.XLOOKUP("[S06_InstallationsVerificationReportsIssueDetail]["&amp;1+ROW(B188)-ROW($B$133)&amp;"][TypeOfIssue]",Submission!$O:$O,Submission!$H:$N,""))</f>
        <v/>
      </c>
      <c r="F188" s="36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7" t="str">
        <f>_xlfn.CONCAT(_xlfn.XLOOKUP("[S06_InstallationsVerificationReportsIssueDetail]["&amp;1+ROW(B189)-ROW($B$133)&amp;"][AnnexIActivity]",Submission!$O:$O,Submission!$H:$N,""))</f>
        <v/>
      </c>
      <c r="D189" s="367"/>
      <c r="E189" s="277" t="str">
        <f>_xlfn.CONCAT(_xlfn.XLOOKUP("[S06_InstallationsVerificationReportsIssueDetail]["&amp;1+ROW(B189)-ROW($B$133)&amp;"][TypeOfIssue]",Submission!$O:$O,Submission!$H:$N,""))</f>
        <v/>
      </c>
      <c r="F189" s="36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7" t="str">
        <f>_xlfn.CONCAT(_xlfn.XLOOKUP("[S06_InstallationsVerificationReportsIssueDetail]["&amp;1+ROW(B190)-ROW($B$133)&amp;"][AnnexIActivity]",Submission!$O:$O,Submission!$H:$N,""))</f>
        <v/>
      </c>
      <c r="D190" s="367"/>
      <c r="E190" s="277" t="str">
        <f>_xlfn.CONCAT(_xlfn.XLOOKUP("[S06_InstallationsVerificationReportsIssueDetail]["&amp;1+ROW(B190)-ROW($B$133)&amp;"][TypeOfIssue]",Submission!$O:$O,Submission!$H:$N,""))</f>
        <v/>
      </c>
      <c r="F190" s="36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7" t="str">
        <f>_xlfn.CONCAT(_xlfn.XLOOKUP("[S06_InstallationsVerificationReportsIssueDetail]["&amp;1+ROW(B191)-ROW($B$133)&amp;"][AnnexIActivity]",Submission!$O:$O,Submission!$H:$N,""))</f>
        <v/>
      </c>
      <c r="D191" s="367"/>
      <c r="E191" s="277" t="str">
        <f>_xlfn.CONCAT(_xlfn.XLOOKUP("[S06_InstallationsVerificationReportsIssueDetail]["&amp;1+ROW(B191)-ROW($B$133)&amp;"][TypeOfIssue]",Submission!$O:$O,Submission!$H:$N,""))</f>
        <v/>
      </c>
      <c r="F191" s="36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7" t="str">
        <f>_xlfn.CONCAT(_xlfn.XLOOKUP("[S06_InstallationsVerificationReportsIssueDetail]["&amp;1+ROW(B192)-ROW($B$133)&amp;"][AnnexIActivity]",Submission!$O:$O,Submission!$H:$N,""))</f>
        <v/>
      </c>
      <c r="D192" s="367"/>
      <c r="E192" s="277" t="str">
        <f>_xlfn.CONCAT(_xlfn.XLOOKUP("[S06_InstallationsVerificationReportsIssueDetail]["&amp;1+ROW(B192)-ROW($B$133)&amp;"][TypeOfIssue]",Submission!$O:$O,Submission!$H:$N,""))</f>
        <v/>
      </c>
      <c r="F192" s="36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7" t="str">
        <f>_xlfn.CONCAT(_xlfn.XLOOKUP("[S06_InstallationsVerificationReportsIssueDetail]["&amp;1+ROW(B193)-ROW($B$133)&amp;"][AnnexIActivity]",Submission!$O:$O,Submission!$H:$N,""))</f>
        <v/>
      </c>
      <c r="D193" s="367"/>
      <c r="E193" s="277" t="str">
        <f>_xlfn.CONCAT(_xlfn.XLOOKUP("[S06_InstallationsVerificationReportsIssueDetail]["&amp;1+ROW(B193)-ROW($B$133)&amp;"][TypeOfIssue]",Submission!$O:$O,Submission!$H:$N,""))</f>
        <v/>
      </c>
      <c r="F193" s="36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7" t="str">
        <f>_xlfn.CONCAT(_xlfn.XLOOKUP("[S06_InstallationsVerificationReportsIssueDetail]["&amp;1+ROW(B194)-ROW($B$133)&amp;"][AnnexIActivity]",Submission!$O:$O,Submission!$H:$N,""))</f>
        <v/>
      </c>
      <c r="D194" s="367"/>
      <c r="E194" s="277" t="str">
        <f>_xlfn.CONCAT(_xlfn.XLOOKUP("[S06_InstallationsVerificationReportsIssueDetail]["&amp;1+ROW(B194)-ROW($B$133)&amp;"][TypeOfIssue]",Submission!$O:$O,Submission!$H:$N,""))</f>
        <v/>
      </c>
      <c r="F194" s="36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7" t="str">
        <f>_xlfn.CONCAT(_xlfn.XLOOKUP("[S06_InstallationsVerificationReportsIssueDetail]["&amp;1+ROW(B195)-ROW($B$133)&amp;"][AnnexIActivity]",Submission!$O:$O,Submission!$H:$N,""))</f>
        <v/>
      </c>
      <c r="D195" s="367"/>
      <c r="E195" s="277" t="str">
        <f>_xlfn.CONCAT(_xlfn.XLOOKUP("[S06_InstallationsVerificationReportsIssueDetail]["&amp;1+ROW(B195)-ROW($B$133)&amp;"][TypeOfIssue]",Submission!$O:$O,Submission!$H:$N,""))</f>
        <v/>
      </c>
      <c r="F195" s="36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7" t="str">
        <f>_xlfn.CONCAT(_xlfn.XLOOKUP("[S06_InstallationsVerificationReportsIssueDetail]["&amp;1+ROW(B196)-ROW($B$133)&amp;"][AnnexIActivity]",Submission!$O:$O,Submission!$H:$N,""))</f>
        <v/>
      </c>
      <c r="D196" s="367"/>
      <c r="E196" s="277" t="str">
        <f>_xlfn.CONCAT(_xlfn.XLOOKUP("[S06_InstallationsVerificationReportsIssueDetail]["&amp;1+ROW(B196)-ROW($B$133)&amp;"][TypeOfIssue]",Submission!$O:$O,Submission!$H:$N,""))</f>
        <v/>
      </c>
      <c r="F196" s="36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7" t="str">
        <f>_xlfn.CONCAT(_xlfn.XLOOKUP("[S06_InstallationsVerificationReportsIssueDetail]["&amp;1+ROW(B197)-ROW($B$133)&amp;"][AnnexIActivity]",Submission!$O:$O,Submission!$H:$N,""))</f>
        <v/>
      </c>
      <c r="D197" s="367"/>
      <c r="E197" s="277" t="str">
        <f>_xlfn.CONCAT(_xlfn.XLOOKUP("[S06_InstallationsVerificationReportsIssueDetail]["&amp;1+ROW(B197)-ROW($B$133)&amp;"][TypeOfIssue]",Submission!$O:$O,Submission!$H:$N,""))</f>
        <v/>
      </c>
      <c r="F197" s="36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7" t="str">
        <f>_xlfn.CONCAT(_xlfn.XLOOKUP("[S06_InstallationsVerificationReportsIssueDetail]["&amp;1+ROW(B198)-ROW($B$133)&amp;"][AnnexIActivity]",Submission!$O:$O,Submission!$H:$N,""))</f>
        <v/>
      </c>
      <c r="D198" s="367"/>
      <c r="E198" s="277" t="str">
        <f>_xlfn.CONCAT(_xlfn.XLOOKUP("[S06_InstallationsVerificationReportsIssueDetail]["&amp;1+ROW(B198)-ROW($B$133)&amp;"][TypeOfIssue]",Submission!$O:$O,Submission!$H:$N,""))</f>
        <v/>
      </c>
      <c r="F198" s="36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7" t="str">
        <f>_xlfn.CONCAT(_xlfn.XLOOKUP("[S06_InstallationsVerificationReportsIssueDetail]["&amp;1+ROW(B199)-ROW($B$133)&amp;"][AnnexIActivity]",Submission!$O:$O,Submission!$H:$N,""))</f>
        <v/>
      </c>
      <c r="D199" s="367"/>
      <c r="E199" s="277" t="str">
        <f>_xlfn.CONCAT(_xlfn.XLOOKUP("[S06_InstallationsVerificationReportsIssueDetail]["&amp;1+ROW(B199)-ROW($B$133)&amp;"][TypeOfIssue]",Submission!$O:$O,Submission!$H:$N,""))</f>
        <v/>
      </c>
      <c r="F199" s="36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7" t="str">
        <f>_xlfn.CONCAT(_xlfn.XLOOKUP("[S06_InstallationsVerificationReportsIssueDetail]["&amp;1+ROW(B200)-ROW($B$133)&amp;"][AnnexIActivity]",Submission!$O:$O,Submission!$H:$N,""))</f>
        <v/>
      </c>
      <c r="D200" s="367"/>
      <c r="E200" s="277" t="str">
        <f>_xlfn.CONCAT(_xlfn.XLOOKUP("[S06_InstallationsVerificationReportsIssueDetail]["&amp;1+ROW(B200)-ROW($B$133)&amp;"][TypeOfIssue]",Submission!$O:$O,Submission!$H:$N,""))</f>
        <v/>
      </c>
      <c r="F200" s="36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7" t="str">
        <f>_xlfn.CONCAT(_xlfn.XLOOKUP("[S06_InstallationsVerificationReportsIssueDetail]["&amp;1+ROW(B201)-ROW($B$133)&amp;"][AnnexIActivity]",Submission!$O:$O,Submission!$H:$N,""))</f>
        <v/>
      </c>
      <c r="D201" s="367"/>
      <c r="E201" s="277" t="str">
        <f>_xlfn.CONCAT(_xlfn.XLOOKUP("[S06_InstallationsVerificationReportsIssueDetail]["&amp;1+ROW(B201)-ROW($B$133)&amp;"][TypeOfIssue]",Submission!$O:$O,Submission!$H:$N,""))</f>
        <v/>
      </c>
      <c r="F201" s="36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7" t="str">
        <f>_xlfn.CONCAT(_xlfn.XLOOKUP("[S06_InstallationsVerificationReportsIssueDetail]["&amp;1+ROW(B202)-ROW($B$133)&amp;"][AnnexIActivity]",Submission!$O:$O,Submission!$H:$N,""))</f>
        <v/>
      </c>
      <c r="D202" s="367"/>
      <c r="E202" s="277" t="str">
        <f>_xlfn.CONCAT(_xlfn.XLOOKUP("[S06_InstallationsVerificationReportsIssueDetail]["&amp;1+ROW(B202)-ROW($B$133)&amp;"][TypeOfIssue]",Submission!$O:$O,Submission!$H:$N,""))</f>
        <v/>
      </c>
      <c r="F202" s="36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7" t="str">
        <f>_xlfn.CONCAT(_xlfn.XLOOKUP("[S06_InstallationsVerificationReportsIssueDetail]["&amp;1+ROW(B203)-ROW($B$133)&amp;"][AnnexIActivity]",Submission!$O:$O,Submission!$H:$N,""))</f>
        <v/>
      </c>
      <c r="D203" s="367"/>
      <c r="E203" s="277" t="str">
        <f>_xlfn.CONCAT(_xlfn.XLOOKUP("[S06_InstallationsVerificationReportsIssueDetail]["&amp;1+ROW(B203)-ROW($B$133)&amp;"][TypeOfIssue]",Submission!$O:$O,Submission!$H:$N,""))</f>
        <v/>
      </c>
      <c r="F203" s="36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7" t="str">
        <f>_xlfn.CONCAT(_xlfn.XLOOKUP("[S06_InstallationsVerificationReportsIssueDetail]["&amp;1+ROW(B204)-ROW($B$133)&amp;"][AnnexIActivity]",Submission!$O:$O,Submission!$H:$N,""))</f>
        <v/>
      </c>
      <c r="D204" s="367"/>
      <c r="E204" s="277" t="str">
        <f>_xlfn.CONCAT(_xlfn.XLOOKUP("[S06_InstallationsVerificationReportsIssueDetail]["&amp;1+ROW(B204)-ROW($B$133)&amp;"][TypeOfIssue]",Submission!$O:$O,Submission!$H:$N,""))</f>
        <v/>
      </c>
      <c r="F204" s="36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7" t="str">
        <f>_xlfn.CONCAT(_xlfn.XLOOKUP("[S06_InstallationsVerificationReportsIssueDetail]["&amp;1+ROW(B205)-ROW($B$133)&amp;"][AnnexIActivity]",Submission!$O:$O,Submission!$H:$N,""))</f>
        <v/>
      </c>
      <c r="D205" s="367"/>
      <c r="E205" s="277" t="str">
        <f>_xlfn.CONCAT(_xlfn.XLOOKUP("[S06_InstallationsVerificationReportsIssueDetail]["&amp;1+ROW(B205)-ROW($B$133)&amp;"][TypeOfIssue]",Submission!$O:$O,Submission!$H:$N,""))</f>
        <v/>
      </c>
      <c r="F205" s="36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7" t="str">
        <f>_xlfn.CONCAT(_xlfn.XLOOKUP("[S06_InstallationsVerificationReportsIssueDetail]["&amp;1+ROW(B206)-ROW($B$133)&amp;"][AnnexIActivity]",Submission!$O:$O,Submission!$H:$N,""))</f>
        <v/>
      </c>
      <c r="D206" s="367"/>
      <c r="E206" s="277" t="str">
        <f>_xlfn.CONCAT(_xlfn.XLOOKUP("[S06_InstallationsVerificationReportsIssueDetail]["&amp;1+ROW(B206)-ROW($B$133)&amp;"][TypeOfIssue]",Submission!$O:$O,Submission!$H:$N,""))</f>
        <v/>
      </c>
      <c r="F206" s="36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7" t="str">
        <f>_xlfn.CONCAT(_xlfn.XLOOKUP("[S06_InstallationsVerificationReportsIssueDetail]["&amp;1+ROW(B207)-ROW($B$133)&amp;"][AnnexIActivity]",Submission!$O:$O,Submission!$H:$N,""))</f>
        <v/>
      </c>
      <c r="D207" s="367"/>
      <c r="E207" s="277" t="str">
        <f>_xlfn.CONCAT(_xlfn.XLOOKUP("[S06_InstallationsVerificationReportsIssueDetail]["&amp;1+ROW(B207)-ROW($B$133)&amp;"][TypeOfIssue]",Submission!$O:$O,Submission!$H:$N,""))</f>
        <v/>
      </c>
      <c r="F207" s="36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7" t="str">
        <f>_xlfn.CONCAT(_xlfn.XLOOKUP("[S06_InstallationsVerificationReportsIssueDetail]["&amp;1+ROW(B208)-ROW($B$133)&amp;"][AnnexIActivity]",Submission!$O:$O,Submission!$H:$N,""))</f>
        <v/>
      </c>
      <c r="D208" s="367"/>
      <c r="E208" s="277" t="str">
        <f>_xlfn.CONCAT(_xlfn.XLOOKUP("[S06_InstallationsVerificationReportsIssueDetail]["&amp;1+ROW(B208)-ROW($B$133)&amp;"][TypeOfIssue]",Submission!$O:$O,Submission!$H:$N,""))</f>
        <v/>
      </c>
      <c r="F208" s="36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7" t="str">
        <f>_xlfn.CONCAT(_xlfn.XLOOKUP("[S06_InstallationsVerificationReportsIssueDetail]["&amp;1+ROW(B209)-ROW($B$133)&amp;"][AnnexIActivity]",Submission!$O:$O,Submission!$H:$N,""))</f>
        <v/>
      </c>
      <c r="D209" s="367"/>
      <c r="E209" s="277" t="str">
        <f>_xlfn.CONCAT(_xlfn.XLOOKUP("[S06_InstallationsVerificationReportsIssueDetail]["&amp;1+ROW(B209)-ROW($B$133)&amp;"][TypeOfIssue]",Submission!$O:$O,Submission!$H:$N,""))</f>
        <v/>
      </c>
      <c r="F209" s="36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7" t="str">
        <f>_xlfn.CONCAT(_xlfn.XLOOKUP("[S06_InstallationsVerificationReportsIssueDetail]["&amp;1+ROW(B210)-ROW($B$133)&amp;"][AnnexIActivity]",Submission!$O:$O,Submission!$H:$N,""))</f>
        <v/>
      </c>
      <c r="D210" s="367"/>
      <c r="E210" s="277" t="str">
        <f>_xlfn.CONCAT(_xlfn.XLOOKUP("[S06_InstallationsVerificationReportsIssueDetail]["&amp;1+ROW(B210)-ROW($B$133)&amp;"][TypeOfIssue]",Submission!$O:$O,Submission!$H:$N,""))</f>
        <v/>
      </c>
      <c r="F210" s="36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7" t="str">
        <f>_xlfn.CONCAT(_xlfn.XLOOKUP("[S06_InstallationsVerificationReportsIssueDetail]["&amp;1+ROW(B211)-ROW($B$133)&amp;"][AnnexIActivity]",Submission!$O:$O,Submission!$H:$N,""))</f>
        <v/>
      </c>
      <c r="D211" s="367"/>
      <c r="E211" s="277" t="str">
        <f>_xlfn.CONCAT(_xlfn.XLOOKUP("[S06_InstallationsVerificationReportsIssueDetail]["&amp;1+ROW(B211)-ROW($B$133)&amp;"][TypeOfIssue]",Submission!$O:$O,Submission!$H:$N,""))</f>
        <v/>
      </c>
      <c r="F211" s="36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7" t="str">
        <f>_xlfn.CONCAT(_xlfn.XLOOKUP("[S06_InstallationsVerificationReportsIssueDetail]["&amp;1+ROW(B212)-ROW($B$133)&amp;"][AnnexIActivity]",Submission!$O:$O,Submission!$H:$N,""))</f>
        <v/>
      </c>
      <c r="D212" s="367"/>
      <c r="E212" s="277" t="str">
        <f>_xlfn.CONCAT(_xlfn.XLOOKUP("[S06_InstallationsVerificationReportsIssueDetail]["&amp;1+ROW(B212)-ROW($B$133)&amp;"][TypeOfIssue]",Submission!$O:$O,Submission!$H:$N,""))</f>
        <v/>
      </c>
      <c r="F212" s="36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7" t="str">
        <f>_xlfn.CONCAT(_xlfn.XLOOKUP("[S06_InstallationsVerificationReportsIssueDetail]["&amp;1+ROW(B213)-ROW($B$133)&amp;"][AnnexIActivity]",Submission!$O:$O,Submission!$H:$N,""))</f>
        <v/>
      </c>
      <c r="D213" s="367"/>
      <c r="E213" s="277" t="str">
        <f>_xlfn.CONCAT(_xlfn.XLOOKUP("[S06_InstallationsVerificationReportsIssueDetail]["&amp;1+ROW(B213)-ROW($B$133)&amp;"][TypeOfIssue]",Submission!$O:$O,Submission!$H:$N,""))</f>
        <v/>
      </c>
      <c r="F213" s="36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7" t="str">
        <f>_xlfn.CONCAT(_xlfn.XLOOKUP("[S06_InstallationsVerificationReportsIssueDetail]["&amp;1+ROW(B214)-ROW($B$133)&amp;"][AnnexIActivity]",Submission!$O:$O,Submission!$H:$N,""))</f>
        <v/>
      </c>
      <c r="D214" s="367"/>
      <c r="E214" s="277" t="str">
        <f>_xlfn.CONCAT(_xlfn.XLOOKUP("[S06_InstallationsVerificationReportsIssueDetail]["&amp;1+ROW(B214)-ROW($B$133)&amp;"][TypeOfIssue]",Submission!$O:$O,Submission!$H:$N,""))</f>
        <v/>
      </c>
      <c r="F214" s="36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7" t="str">
        <f>_xlfn.CONCAT(_xlfn.XLOOKUP("[S06_InstallationsVerificationReportsIssueDetail]["&amp;1+ROW(B215)-ROW($B$133)&amp;"][AnnexIActivity]",Submission!$O:$O,Submission!$H:$N,""))</f>
        <v/>
      </c>
      <c r="D215" s="367"/>
      <c r="E215" s="277" t="str">
        <f>_xlfn.CONCAT(_xlfn.XLOOKUP("[S06_InstallationsVerificationReportsIssueDetail]["&amp;1+ROW(B215)-ROW($B$133)&amp;"][TypeOfIssue]",Submission!$O:$O,Submission!$H:$N,""))</f>
        <v/>
      </c>
      <c r="F215" s="36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7" t="str">
        <f>_xlfn.CONCAT(_xlfn.XLOOKUP("[S06_InstallationsVerificationReportsIssueDetail]["&amp;1+ROW(B216)-ROW($B$133)&amp;"][AnnexIActivity]",Submission!$O:$O,Submission!$H:$N,""))</f>
        <v/>
      </c>
      <c r="D216" s="367"/>
      <c r="E216" s="277" t="str">
        <f>_xlfn.CONCAT(_xlfn.XLOOKUP("[S06_InstallationsVerificationReportsIssueDetail]["&amp;1+ROW(B216)-ROW($B$133)&amp;"][TypeOfIssue]",Submission!$O:$O,Submission!$H:$N,""))</f>
        <v/>
      </c>
      <c r="F216" s="36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7" t="str">
        <f>_xlfn.CONCAT(_xlfn.XLOOKUP("[S06_InstallationsVerificationReportsIssueDetail]["&amp;1+ROW(B217)-ROW($B$133)&amp;"][AnnexIActivity]",Submission!$O:$O,Submission!$H:$N,""))</f>
        <v/>
      </c>
      <c r="D217" s="367"/>
      <c r="E217" s="277" t="str">
        <f>_xlfn.CONCAT(_xlfn.XLOOKUP("[S06_InstallationsVerificationReportsIssueDetail]["&amp;1+ROW(B217)-ROW($B$133)&amp;"][TypeOfIssue]",Submission!$O:$O,Submission!$H:$N,""))</f>
        <v/>
      </c>
      <c r="F217" s="36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7" t="str">
        <f>_xlfn.CONCAT(_xlfn.XLOOKUP("[S06_InstallationsVerificationReportsIssueDetail]["&amp;1+ROW(B218)-ROW($B$133)&amp;"][AnnexIActivity]",Submission!$O:$O,Submission!$H:$N,""))</f>
        <v/>
      </c>
      <c r="D218" s="367"/>
      <c r="E218" s="277" t="str">
        <f>_xlfn.CONCAT(_xlfn.XLOOKUP("[S06_InstallationsVerificationReportsIssueDetail]["&amp;1+ROW(B218)-ROW($B$133)&amp;"][TypeOfIssue]",Submission!$O:$O,Submission!$H:$N,""))</f>
        <v/>
      </c>
      <c r="F218" s="36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7" t="str">
        <f>_xlfn.CONCAT(_xlfn.XLOOKUP("[S06_InstallationsVerificationReportsIssueDetail]["&amp;1+ROW(B219)-ROW($B$133)&amp;"][AnnexIActivity]",Submission!$O:$O,Submission!$H:$N,""))</f>
        <v/>
      </c>
      <c r="D219" s="367"/>
      <c r="E219" s="277" t="str">
        <f>_xlfn.CONCAT(_xlfn.XLOOKUP("[S06_InstallationsVerificationReportsIssueDetail]["&amp;1+ROW(B219)-ROW($B$133)&amp;"][TypeOfIssue]",Submission!$O:$O,Submission!$H:$N,""))</f>
        <v/>
      </c>
      <c r="F219" s="36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7" t="str">
        <f>_xlfn.CONCAT(_xlfn.XLOOKUP("[S06_InstallationsVerificationReportsIssueDetail]["&amp;1+ROW(B220)-ROW($B$133)&amp;"][AnnexIActivity]",Submission!$O:$O,Submission!$H:$N,""))</f>
        <v/>
      </c>
      <c r="D220" s="367"/>
      <c r="E220" s="277" t="str">
        <f>_xlfn.CONCAT(_xlfn.XLOOKUP("[S06_InstallationsVerificationReportsIssueDetail]["&amp;1+ROW(B220)-ROW($B$133)&amp;"][TypeOfIssue]",Submission!$O:$O,Submission!$H:$N,""))</f>
        <v/>
      </c>
      <c r="F220" s="36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7" t="str">
        <f>_xlfn.CONCAT(_xlfn.XLOOKUP("[S06_InstallationsVerificationReportsIssueDetail]["&amp;1+ROW(B221)-ROW($B$133)&amp;"][AnnexIActivity]",Submission!$O:$O,Submission!$H:$N,""))</f>
        <v/>
      </c>
      <c r="D221" s="367"/>
      <c r="E221" s="277" t="str">
        <f>_xlfn.CONCAT(_xlfn.XLOOKUP("[S06_InstallationsVerificationReportsIssueDetail]["&amp;1+ROW(B221)-ROW($B$133)&amp;"][TypeOfIssue]",Submission!$O:$O,Submission!$H:$N,""))</f>
        <v/>
      </c>
      <c r="F221" s="36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7" t="str">
        <f>_xlfn.CONCAT(_xlfn.XLOOKUP("[S06_InstallationsVerificationReportsIssueDetail]["&amp;1+ROW(B222)-ROW($B$133)&amp;"][AnnexIActivity]",Submission!$O:$O,Submission!$H:$N,""))</f>
        <v/>
      </c>
      <c r="D222" s="367"/>
      <c r="E222" s="277" t="str">
        <f>_xlfn.CONCAT(_xlfn.XLOOKUP("[S06_InstallationsVerificationReportsIssueDetail]["&amp;1+ROW(B222)-ROW($B$133)&amp;"][TypeOfIssue]",Submission!$O:$O,Submission!$H:$N,""))</f>
        <v/>
      </c>
      <c r="F222" s="36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82" t="s">
        <v>1048</v>
      </c>
      <c r="D224" s="283"/>
      <c r="E224" s="283"/>
      <c r="F224" s="283"/>
      <c r="G224" s="283"/>
      <c r="H224" s="283"/>
      <c r="I224" s="283"/>
    </row>
    <row r="225" spans="1:9" ht="15.9" customHeight="1" x14ac:dyDescent="0.3">
      <c r="A225" s="13"/>
    </row>
    <row r="226" spans="1:9" ht="15.9" customHeight="1" x14ac:dyDescent="0.3">
      <c r="A226" s="12" t="s">
        <v>382</v>
      </c>
      <c r="B226" s="341" t="s">
        <v>1049</v>
      </c>
      <c r="C226" s="311"/>
      <c r="D226" s="311"/>
      <c r="E226" s="311"/>
      <c r="F226" s="311"/>
      <c r="G226" s="311"/>
      <c r="H226" s="348"/>
      <c r="I226" s="41" t="str">
        <f>_xlfn.CONCAT(_xlfn.XLOOKUP("[InstallationsVerificationReportChecks][0][InstallationsVerificationReportChecks]",Submission!$O:$O,Submission!$H:$N,""))</f>
        <v>Yes</v>
      </c>
    </row>
    <row r="227" spans="1:9" ht="18" customHeight="1" x14ac:dyDescent="0.3">
      <c r="A227" s="12"/>
      <c r="B227" s="278" t="s">
        <v>1050</v>
      </c>
      <c r="C227" s="279"/>
      <c r="D227" s="279"/>
      <c r="E227" s="279"/>
      <c r="F227" s="279"/>
      <c r="G227" s="279"/>
      <c r="H227" s="279"/>
      <c r="I227" s="279"/>
    </row>
    <row r="228" spans="1:9" ht="15.9" customHeight="1" x14ac:dyDescent="0.3">
      <c r="C228" s="320" t="s">
        <v>1051</v>
      </c>
      <c r="D228" s="373"/>
      <c r="E228" s="373"/>
      <c r="F228" s="373"/>
      <c r="G228" s="373"/>
      <c r="H228" s="373"/>
      <c r="I228" s="321"/>
    </row>
    <row r="229" spans="1:9" s="58" customFormat="1" ht="27.6" customHeight="1" x14ac:dyDescent="0.3">
      <c r="A229" s="75"/>
      <c r="C229" s="249" t="s">
        <v>1052</v>
      </c>
      <c r="D229" s="260"/>
      <c r="E229" s="260"/>
      <c r="F229" s="250"/>
      <c r="G229" s="133" t="str">
        <f>_xlfn.CONCAT(_xlfn.XLOOKUP("[S06_InstallationsVerificationReportChecksDetail1][1][PercentageShare]",Submission!$O:$O,Submission!$H:$N,""))</f>
        <v>1</v>
      </c>
      <c r="H229" s="429"/>
      <c r="I229" s="430"/>
    </row>
    <row r="230" spans="1:9" s="58" customFormat="1" ht="27.6" customHeight="1" x14ac:dyDescent="0.3">
      <c r="C230" s="249" t="s">
        <v>1053</v>
      </c>
      <c r="D230" s="260"/>
      <c r="E230" s="260"/>
      <c r="F230" s="250"/>
      <c r="G230" s="133" t="str">
        <f>_xlfn.CONCAT(_xlfn.XLOOKUP("[S06_InstallationsVerificationReportChecksDetail1][2][PercentageShare]",Submission!$O:$O,Submission!$H:$N,""))</f>
        <v>1</v>
      </c>
      <c r="H230" s="429"/>
      <c r="I230" s="430"/>
    </row>
    <row r="231" spans="1:9" s="58" customFormat="1" ht="27.6" customHeight="1" x14ac:dyDescent="0.3">
      <c r="C231" s="249" t="s">
        <v>1054</v>
      </c>
      <c r="D231" s="260"/>
      <c r="E231" s="260"/>
      <c r="F231" s="250"/>
      <c r="G231" s="133" t="str">
        <f>_xlfn.CONCAT(_xlfn.XLOOKUP("[S06_InstallationsVerificationReportChecksDetail1][3][PercentageShare]",Submission!$O:$O,Submission!$H:$N,""))</f>
        <v>1</v>
      </c>
      <c r="H231" s="429"/>
      <c r="I231" s="430"/>
    </row>
    <row r="232" spans="1:9" s="58" customFormat="1" ht="27.6" customHeight="1" x14ac:dyDescent="0.3">
      <c r="C232" s="249" t="s">
        <v>1055</v>
      </c>
      <c r="D232" s="260"/>
      <c r="E232" s="260"/>
      <c r="F232" s="250"/>
      <c r="G232" s="133" t="str">
        <f>_xlfn.CONCAT(_xlfn.XLOOKUP("[S06_InstallationsVerificationReportChecksDetail1][4][PercentageShare]",Submission!$O:$O,Submission!$H:$N,""))</f>
        <v>0</v>
      </c>
      <c r="H232" s="258" t="str">
        <f>_xlfn.CONCAT(_xlfn.XLOOKUP("[S06_InstallationsVerificationReportChecksDetail1][4][FurtherInformation]",Submission!$O:$O,Submission!$H:$N,""))</f>
        <v/>
      </c>
      <c r="I232" s="259"/>
    </row>
    <row r="233" spans="1:9" s="58" customFormat="1" ht="57.6" customHeight="1" x14ac:dyDescent="0.3">
      <c r="C233" s="249" t="s">
        <v>1056</v>
      </c>
      <c r="D233" s="260"/>
      <c r="E233" s="260"/>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 of installations</v>
      </c>
      <c r="I233" s="130" t="str">
        <f>_xlfn.CONCAT(_xlfn.XLOOKUP("[S06_InstallationsVerificationReportChecksDetail1][5][FurtherInformation]",Submission!$O:$O,Submission!$H:$N,""))</f>
        <v/>
      </c>
    </row>
    <row r="234" spans="1:9" s="58" customFormat="1" ht="27.6" customHeight="1" x14ac:dyDescent="0.3">
      <c r="C234" s="249" t="s">
        <v>1057</v>
      </c>
      <c r="D234" s="260"/>
      <c r="E234" s="260"/>
      <c r="F234" s="250"/>
      <c r="G234" s="135" t="str">
        <f>_xlfn.CONCAT(_xlfn.XLOOKUP("[S06_InstallationsVerificationReportChecksDetail2][1][NumberOfReports]",Submission!$O:$O,Submission!$H:$N,""))</f>
        <v>0</v>
      </c>
      <c r="H234" s="429"/>
      <c r="I234" s="430"/>
    </row>
    <row r="235" spans="1:9" s="58" customFormat="1" ht="27.6" customHeight="1" x14ac:dyDescent="0.3">
      <c r="C235" s="249" t="s">
        <v>1058</v>
      </c>
      <c r="D235" s="260"/>
      <c r="E235" s="260"/>
      <c r="F235" s="250"/>
      <c r="G235" s="135" t="str">
        <f>_xlfn.CONCAT(_xlfn.XLOOKUP("[S06_InstallationsVerificationReportChecksDetail2][2][NumberOfReports]",Submission!$O:$O,Submission!$H:$N,""))</f>
        <v>0</v>
      </c>
      <c r="H235" s="258" t="str">
        <f>_xlfn.CONCAT(_xlfn.XLOOKUP("[S06_InstallationsVerificationReportChecksDetail2][2][FurtherInformation]",Submission!$O:$O,Submission!$H:$N,""))</f>
        <v/>
      </c>
      <c r="I235" s="259"/>
    </row>
    <row r="236" spans="1:9" s="58" customFormat="1" ht="27.6" customHeight="1" x14ac:dyDescent="0.3">
      <c r="C236" s="249" t="s">
        <v>1059</v>
      </c>
      <c r="D236" s="260"/>
      <c r="E236" s="260"/>
      <c r="F236" s="250"/>
      <c r="G236" s="261" t="str">
        <f>_xlfn.CONCAT(_xlfn.XLOOKUP("[S06_InstallationsVerificationReportChecksDetail3][1][ActionsTaken]",Submission!$O:$O,Submission!$H:$N,""))</f>
        <v/>
      </c>
      <c r="H236" s="356"/>
      <c r="I236" s="263"/>
    </row>
    <row r="237" spans="1:9" s="58" customFormat="1" ht="27.6" customHeight="1" x14ac:dyDescent="0.3">
      <c r="C237" s="249" t="s">
        <v>1060</v>
      </c>
      <c r="D237" s="260"/>
      <c r="E237" s="260"/>
      <c r="F237" s="250"/>
      <c r="G237" s="261" t="str">
        <f>_xlfn.CONCAT(_xlfn.XLOOKUP("[S06_InstallationsVerificationReportChecksDetail3][2][ActionsTaken]",Submission!$O:$O,Submission!$H:$N,""))</f>
        <v/>
      </c>
      <c r="H237" s="356"/>
      <c r="I237" s="263"/>
    </row>
    <row r="238" spans="1:9" ht="15.9" customHeight="1" x14ac:dyDescent="0.3">
      <c r="A238" s="13"/>
      <c r="C238" s="400" t="s">
        <v>1061</v>
      </c>
      <c r="D238" s="401"/>
      <c r="E238" s="401"/>
      <c r="F238" s="401"/>
      <c r="G238" s="401"/>
      <c r="H238" s="401"/>
      <c r="I238" s="401"/>
    </row>
    <row r="239" spans="1:9" ht="15.9" customHeight="1" x14ac:dyDescent="0.3"/>
    <row r="240" spans="1:9" ht="17.100000000000001" customHeight="1" x14ac:dyDescent="0.3">
      <c r="A240" s="12" t="s">
        <v>387</v>
      </c>
      <c r="B240" s="341" t="s">
        <v>1062</v>
      </c>
      <c r="C240" s="311"/>
      <c r="D240" s="311"/>
      <c r="E240" s="311"/>
      <c r="F240" s="311"/>
      <c r="G240" s="311"/>
      <c r="H240" s="348"/>
      <c r="I240" s="41" t="str">
        <f>_xlfn.CONCAT(_xlfn.XLOOKUP("[InstallationVisitsWaivedHighEmitters][0][InstallationVisitsWaivedHighEmitters]",Submission!$O:$O,Submission!$H:$N,""))</f>
        <v>No</v>
      </c>
    </row>
    <row r="241" spans="1:9" ht="18.600000000000001" customHeight="1" x14ac:dyDescent="0.3">
      <c r="A241" s="12"/>
      <c r="B241" s="278" t="s">
        <v>1063</v>
      </c>
      <c r="C241" s="279"/>
      <c r="D241" s="279"/>
      <c r="E241" s="279"/>
      <c r="F241" s="279"/>
      <c r="G241" s="279"/>
      <c r="H241" s="279"/>
      <c r="I241" s="279"/>
    </row>
    <row r="242" spans="1:9" ht="32.4" customHeight="1" x14ac:dyDescent="0.3">
      <c r="C242" s="317" t="s">
        <v>1064</v>
      </c>
      <c r="D242" s="337"/>
      <c r="E242" s="317" t="s">
        <v>879</v>
      </c>
      <c r="F242" s="318"/>
      <c r="G242" s="319"/>
      <c r="H242" s="317" t="s">
        <v>1045</v>
      </c>
      <c r="I242" s="319"/>
    </row>
    <row r="243" spans="1:9" ht="15.9" customHeight="1" x14ac:dyDescent="0.3">
      <c r="C243" s="422" t="str">
        <f>_xlfn.CONCAT(_xlfn.XLOOKUP("[S06_InstallationsVisitsWaivedHighEmittersDetail][1][ConditionForWaiving]",Submission!$O:$O,Submission!$H:$N,""))</f>
        <v/>
      </c>
      <c r="D243" s="424"/>
      <c r="E243" s="277" t="str">
        <f>_xlfn.CONCAT(_xlfn.XLOOKUP("[S06_InstallationsVisitsWaivedHighEmittersDetail][1][AnnexIActivity]",Submission!$O:$O,Submission!$H:$N,""))</f>
        <v/>
      </c>
      <c r="F243" s="356"/>
      <c r="G243" s="263"/>
      <c r="H243" s="338" t="str">
        <f>_xlfn.CONCAT(_xlfn.XLOOKUP("[S06_InstallationsVisitsWaivedHighEmittersDetail][1][NumberOfInstallations]",Submission!$O:$O,Submission!$H:$N,""))</f>
        <v/>
      </c>
      <c r="I243" s="340"/>
    </row>
    <row r="244" spans="1:9" ht="15.9" customHeight="1" x14ac:dyDescent="0.3">
      <c r="A244" s="13"/>
      <c r="C244" s="422" t="str">
        <f>_xlfn.CONCAT(_xlfn.XLOOKUP("[S06_InstallationsVisitsWaivedHighEmittersDetail][2][ConditionForWaiving]",Submission!$O:$O,Submission!$H:$N,""))</f>
        <v/>
      </c>
      <c r="D244" s="424"/>
      <c r="E244" s="277" t="str">
        <f>_xlfn.CONCAT(_xlfn.XLOOKUP("[S06_InstallationsVisitsWaivedHighEmittersDetail][2][AnnexIActivity]",Submission!$O:$O,Submission!$H:$N,""))</f>
        <v/>
      </c>
      <c r="F244" s="356"/>
      <c r="G244" s="263"/>
      <c r="H244" s="338" t="str">
        <f>_xlfn.CONCAT(_xlfn.XLOOKUP("[S06_InstallationsVisitsWaivedHighEmittersDetail][2][NumberOfInstallations]",Submission!$O:$O,Submission!$H:$N,""))</f>
        <v/>
      </c>
      <c r="I244" s="340"/>
    </row>
    <row r="245" spans="1:9" ht="15.9" customHeight="1" x14ac:dyDescent="0.3">
      <c r="A245" s="13"/>
      <c r="C245" s="422" t="str">
        <f>_xlfn.CONCAT(_xlfn.XLOOKUP("[S06_InstallationsVisitsWaivedHighEmittersDetail][3][ConditionForWaiving]",Submission!$O:$O,Submission!$H:$N,""))</f>
        <v/>
      </c>
      <c r="D245" s="424"/>
      <c r="E245" s="277" t="str">
        <f>_xlfn.CONCAT(_xlfn.XLOOKUP("[S06_InstallationsVisitsWaivedHighEmittersDetail][3][AnnexIActivity]",Submission!$O:$O,Submission!$H:$N,""))</f>
        <v/>
      </c>
      <c r="F245" s="356"/>
      <c r="G245" s="263"/>
      <c r="H245" s="443" t="str">
        <f>_xlfn.CONCAT(_xlfn.XLOOKUP("[S06_InstallationsVisitsWaivedHighEmittersDetail][3][NumberOfInstallations]",Submission!$O:$O,Submission!$H:$N,""))</f>
        <v/>
      </c>
      <c r="I245" s="444"/>
    </row>
    <row r="246" spans="1:9" ht="15.9" customHeight="1" x14ac:dyDescent="0.3">
      <c r="A246" s="13"/>
      <c r="C246" s="422" t="str">
        <f>_xlfn.CONCAT(_xlfn.XLOOKUP("[S06_InstallationsVisitsWaivedHighEmittersDetail][4][ConditionForWaiving]",Submission!$O:$O,Submission!$H:$N,""))</f>
        <v/>
      </c>
      <c r="D246" s="424"/>
      <c r="E246" s="277" t="str">
        <f>_xlfn.CONCAT(_xlfn.XLOOKUP("[S06_InstallationsVisitsWaivedHighEmittersDetail][4][AnnexIActivity]",Submission!$O:$O,Submission!$H:$N,""))</f>
        <v/>
      </c>
      <c r="F246" s="356"/>
      <c r="G246" s="263"/>
      <c r="H246" s="338" t="str">
        <f>_xlfn.CONCAT(_xlfn.XLOOKUP("[S06_InstallationsVisitsWaivedHighEmittersDetail][4][NumberOfInstallations]",Submission!$O:$O,Submission!$H:$N,""))</f>
        <v/>
      </c>
      <c r="I246" s="340"/>
    </row>
    <row r="247" spans="1:9" ht="15.9" hidden="1" customHeight="1" outlineLevel="1" x14ac:dyDescent="0.3">
      <c r="A247" s="13"/>
      <c r="C247" s="422" t="str">
        <f>_xlfn.CONCAT(_xlfn.XLOOKUP("[S06_InstallationsVisitsWaivedHighEmittersDetail][5][ConditionForWaiving]",Submission!$O:$O,Submission!$H:$N,""))</f>
        <v/>
      </c>
      <c r="D247" s="424"/>
      <c r="E247" s="277" t="str">
        <f>_xlfn.CONCAT(_xlfn.XLOOKUP("[S06_InstallationsVisitsWaivedHighEmittersDetail][5][AnnexIActivity]",Submission!$O:$O,Submission!$H:$N,""))</f>
        <v/>
      </c>
      <c r="F247" s="356"/>
      <c r="G247" s="263"/>
      <c r="H247" s="443" t="str">
        <f>_xlfn.CONCAT(_xlfn.XLOOKUP("[S06_InstallationsVisitsWaivedHighEmittersDetail][5][NumberOfInstallations]",Submission!$O:$O,Submission!$H:$N,""))</f>
        <v/>
      </c>
      <c r="I247" s="444"/>
    </row>
    <row r="248" spans="1:9" ht="15.9" hidden="1" customHeight="1" outlineLevel="1" x14ac:dyDescent="0.3">
      <c r="C248" s="422" t="str">
        <f>_xlfn.CONCAT(_xlfn.XLOOKUP("[S06_InstallationsVisitsWaivedHighEmittersDetail][6][ConditionForWaiving]",Submission!$O:$O,Submission!$H:$N,""))</f>
        <v/>
      </c>
      <c r="D248" s="424"/>
      <c r="E248" s="277" t="str">
        <f>_xlfn.CONCAT(_xlfn.XLOOKUP("[S06_InstallationsVisitsWaivedHighEmittersDetail][6][AnnexIActivity]",Submission!$O:$O,Submission!$H:$N,""))</f>
        <v/>
      </c>
      <c r="F248" s="356"/>
      <c r="G248" s="263"/>
      <c r="H248" s="338" t="str">
        <f>_xlfn.CONCAT(_xlfn.XLOOKUP("[S06_InstallationsVisitsWaivedHighEmittersDetail][6][NumberOfInstallations]",Submission!$O:$O,Submission!$H:$N,""))</f>
        <v/>
      </c>
      <c r="I248" s="340"/>
    </row>
    <row r="249" spans="1:9" ht="15.9" hidden="1" customHeight="1" outlineLevel="1" x14ac:dyDescent="0.3">
      <c r="A249" s="13"/>
      <c r="C249" s="422" t="str">
        <f>_xlfn.CONCAT(_xlfn.XLOOKUP("[S06_InstallationsVisitsWaivedHighEmittersDetail][7][ConditionForWaiving]",Submission!$O:$O,Submission!$H:$N,""))</f>
        <v/>
      </c>
      <c r="D249" s="424"/>
      <c r="E249" s="277" t="str">
        <f>_xlfn.CONCAT(_xlfn.XLOOKUP("[S06_InstallationsVisitsWaivedHighEmittersDetail][7][AnnexIActivity]",Submission!$O:$O,Submission!$H:$N,""))</f>
        <v/>
      </c>
      <c r="F249" s="356"/>
      <c r="G249" s="263"/>
      <c r="H249" s="338" t="str">
        <f>_xlfn.CONCAT(_xlfn.XLOOKUP("[S06_InstallationsVisitsWaivedHighEmittersDetail][7][NumberOfInstallations]",Submission!$O:$O,Submission!$H:$N,""))</f>
        <v/>
      </c>
      <c r="I249" s="340"/>
    </row>
    <row r="250" spans="1:9" ht="15.9" hidden="1" customHeight="1" outlineLevel="1" x14ac:dyDescent="0.3">
      <c r="A250" s="13"/>
      <c r="C250" s="422" t="str">
        <f>_xlfn.CONCAT(_xlfn.XLOOKUP("[S06_InstallationsVisitsWaivedHighEmittersDetail][8][ConditionForWaiving]",Submission!$O:$O,Submission!$H:$N,""))</f>
        <v/>
      </c>
      <c r="D250" s="424"/>
      <c r="E250" s="277" t="str">
        <f>_xlfn.CONCAT(_xlfn.XLOOKUP("[S06_InstallationsVisitsWaivedHighEmittersDetail][8][AnnexIActivity]",Submission!$O:$O,Submission!$H:$N,""))</f>
        <v/>
      </c>
      <c r="F250" s="356"/>
      <c r="G250" s="263"/>
      <c r="H250" s="443" t="str">
        <f>_xlfn.CONCAT(_xlfn.XLOOKUP("[S06_InstallationsVisitsWaivedHighEmittersDetail][8][NumberOfInstallations]",Submission!$O:$O,Submission!$H:$N,""))</f>
        <v/>
      </c>
      <c r="I250" s="444"/>
    </row>
    <row r="251" spans="1:9" ht="15.9" hidden="1" customHeight="1" outlineLevel="1" x14ac:dyDescent="0.3">
      <c r="A251" s="13"/>
      <c r="C251" s="422" t="str">
        <f>_xlfn.CONCAT(_xlfn.XLOOKUP("[S06_InstallationsVisitsWaivedHighEmittersDetail][9][ConditionForWaiving]",Submission!$O:$O,Submission!$H:$N,""))</f>
        <v/>
      </c>
      <c r="D251" s="424"/>
      <c r="E251" s="277" t="str">
        <f>_xlfn.CONCAT(_xlfn.XLOOKUP("[S06_InstallationsVisitsWaivedHighEmittersDetail][9][AnnexIActivity]",Submission!$O:$O,Submission!$H:$N,""))</f>
        <v/>
      </c>
      <c r="F251" s="356"/>
      <c r="G251" s="263"/>
      <c r="H251" s="338" t="str">
        <f>_xlfn.CONCAT(_xlfn.XLOOKUP("[S06_InstallationsVisitsWaivedHighEmittersDetail][9][NumberOfInstallations]",Submission!$O:$O,Submission!$H:$N,""))</f>
        <v/>
      </c>
      <c r="I251" s="340"/>
    </row>
    <row r="252" spans="1:9" ht="15.9" hidden="1" customHeight="1" outlineLevel="1" x14ac:dyDescent="0.3">
      <c r="A252" s="13"/>
      <c r="C252" s="422" t="str">
        <f>_xlfn.CONCAT(_xlfn.XLOOKUP("[S06_InstallationsVisitsWaivedHighEmittersDetail][10][ConditionForWaiving]",Submission!$O:$O,Submission!$H:$N,""))</f>
        <v/>
      </c>
      <c r="D252" s="424"/>
      <c r="E252" s="277" t="str">
        <f>_xlfn.CONCAT(_xlfn.XLOOKUP("[S06_InstallationsVisitsWaivedHighEmittersDetail][10][AnnexIActivity]",Submission!$O:$O,Submission!$H:$N,""))</f>
        <v/>
      </c>
      <c r="F252" s="356"/>
      <c r="G252" s="263"/>
      <c r="H252" s="443" t="str">
        <f>_xlfn.CONCAT(_xlfn.XLOOKUP("[S06_InstallationsVisitsWaivedHighEmittersDetail][10][NumberOfInstallations]",Submission!$O:$O,Submission!$H:$N,""))</f>
        <v/>
      </c>
      <c r="I252" s="444"/>
    </row>
    <row r="253" spans="1:9" ht="15.9" hidden="1" customHeight="1" outlineLevel="1" x14ac:dyDescent="0.3">
      <c r="C253" s="422" t="str">
        <f>_xlfn.CONCAT(_xlfn.XLOOKUP("[S06_InstallationsVisitsWaivedHighEmittersDetail][11][ConditionForWaiving]",Submission!$O:$O,Submission!$H:$N,""))</f>
        <v/>
      </c>
      <c r="D253" s="424"/>
      <c r="E253" s="277" t="str">
        <f>_xlfn.CONCAT(_xlfn.XLOOKUP("[S06_InstallationsVisitsWaivedHighEmittersDetail][11][AnnexIActivity]",Submission!$O:$O,Submission!$H:$N,""))</f>
        <v/>
      </c>
      <c r="F253" s="356"/>
      <c r="G253" s="263"/>
      <c r="H253" s="338" t="str">
        <f>_xlfn.CONCAT(_xlfn.XLOOKUP("[S06_InstallationsVisitsWaivedHighEmittersDetail][11][NumberOfInstallations]",Submission!$O:$O,Submission!$H:$N,""))</f>
        <v/>
      </c>
      <c r="I253" s="340"/>
    </row>
    <row r="254" spans="1:9" ht="15.9" hidden="1" customHeight="1" outlineLevel="1" x14ac:dyDescent="0.3">
      <c r="A254" s="13"/>
      <c r="C254" s="422" t="str">
        <f>_xlfn.CONCAT(_xlfn.XLOOKUP("[S06_InstallationsVisitsWaivedHighEmittersDetail][12][ConditionForWaiving]",Submission!$O:$O,Submission!$H:$N,""))</f>
        <v/>
      </c>
      <c r="D254" s="424"/>
      <c r="E254" s="277" t="str">
        <f>_xlfn.CONCAT(_xlfn.XLOOKUP("[S06_InstallationsVisitsWaivedHighEmittersDetail][12][AnnexIActivity]",Submission!$O:$O,Submission!$H:$N,""))</f>
        <v/>
      </c>
      <c r="F254" s="356"/>
      <c r="G254" s="263"/>
      <c r="H254" s="338" t="str">
        <f>_xlfn.CONCAT(_xlfn.XLOOKUP("[S06_InstallationsVisitsWaivedHighEmittersDetail][12][NumberOfInstallations]",Submission!$O:$O,Submission!$H:$N,""))</f>
        <v/>
      </c>
      <c r="I254" s="340"/>
    </row>
    <row r="255" spans="1:9" ht="15.9" hidden="1" customHeight="1" outlineLevel="1" x14ac:dyDescent="0.3">
      <c r="A255" s="13"/>
      <c r="C255" s="422" t="str">
        <f>_xlfn.CONCAT(_xlfn.XLOOKUP("[S06_InstallationsVisitsWaivedHighEmittersDetail][13][ConditionForWaiving]",Submission!$O:$O,Submission!$H:$N,""))</f>
        <v/>
      </c>
      <c r="D255" s="424"/>
      <c r="E255" s="277" t="str">
        <f>_xlfn.CONCAT(_xlfn.XLOOKUP("[S06_InstallationsVisitsWaivedHighEmittersDetail][13][AnnexIActivity]",Submission!$O:$O,Submission!$H:$N,""))</f>
        <v/>
      </c>
      <c r="F255" s="356"/>
      <c r="G255" s="263"/>
      <c r="H255" s="443" t="str">
        <f>_xlfn.CONCAT(_xlfn.XLOOKUP("[S06_InstallationsVisitsWaivedHighEmittersDetail][13][NumberOfInstallations]",Submission!$O:$O,Submission!$H:$N,""))</f>
        <v/>
      </c>
      <c r="I255" s="444"/>
    </row>
    <row r="256" spans="1:9" ht="15.9" hidden="1" customHeight="1" outlineLevel="1" x14ac:dyDescent="0.3">
      <c r="A256" s="13"/>
      <c r="C256" s="422" t="str">
        <f>_xlfn.CONCAT(_xlfn.XLOOKUP("[S06_InstallationsVisitsWaivedHighEmittersDetail][14][ConditionForWaiving]",Submission!$O:$O,Submission!$H:$N,""))</f>
        <v/>
      </c>
      <c r="D256" s="424"/>
      <c r="E256" s="277" t="str">
        <f>_xlfn.CONCAT(_xlfn.XLOOKUP("[S06_InstallationsVisitsWaivedHighEmittersDetail][14][AnnexIActivity]",Submission!$O:$O,Submission!$H:$N,""))</f>
        <v/>
      </c>
      <c r="F256" s="356"/>
      <c r="G256" s="263"/>
      <c r="H256" s="338" t="str">
        <f>_xlfn.CONCAT(_xlfn.XLOOKUP("[S06_InstallationsVisitsWaivedHighEmittersDetail][14][NumberOfInstallations]",Submission!$O:$O,Submission!$H:$N,""))</f>
        <v/>
      </c>
      <c r="I256" s="340"/>
    </row>
    <row r="257" spans="1:9" ht="15.9" hidden="1" customHeight="1" outlineLevel="1" x14ac:dyDescent="0.3">
      <c r="A257" s="13"/>
      <c r="C257" s="422" t="str">
        <f>_xlfn.CONCAT(_xlfn.XLOOKUP("[S06_InstallationsVisitsWaivedHighEmittersDetail][15][ConditionForWaiving]",Submission!$O:$O,Submission!$H:$N,""))</f>
        <v/>
      </c>
      <c r="D257" s="424"/>
      <c r="E257" s="277" t="str">
        <f>_xlfn.CONCAT(_xlfn.XLOOKUP("[S06_InstallationsVisitsWaivedHighEmittersDetail][15][AnnexIActivity]",Submission!$O:$O,Submission!$H:$N,""))</f>
        <v/>
      </c>
      <c r="F257" s="356"/>
      <c r="G257" s="263"/>
      <c r="H257" s="443" t="str">
        <f>_xlfn.CONCAT(_xlfn.XLOOKUP("[S06_InstallationsVisitsWaivedHighEmittersDetail][15][NumberOfInstallations]",Submission!$O:$O,Submission!$H:$N,""))</f>
        <v/>
      </c>
      <c r="I257" s="444"/>
    </row>
    <row r="258" spans="1:9" ht="15.9" hidden="1" customHeight="1" outlineLevel="1" x14ac:dyDescent="0.3">
      <c r="C258" s="422" t="str">
        <f>_xlfn.CONCAT(_xlfn.XLOOKUP("[S06_InstallationsVisitsWaivedHighEmittersDetail][16][ConditionForWaiving]",Submission!$O:$O,Submission!$H:$N,""))</f>
        <v/>
      </c>
      <c r="D258" s="424"/>
      <c r="E258" s="277" t="str">
        <f>_xlfn.CONCAT(_xlfn.XLOOKUP("[S06_InstallationsVisitsWaivedHighEmittersDetail][16][AnnexIActivity]",Submission!$O:$O,Submission!$H:$N,""))</f>
        <v/>
      </c>
      <c r="F258" s="356"/>
      <c r="G258" s="263"/>
      <c r="H258" s="338" t="str">
        <f>_xlfn.CONCAT(_xlfn.XLOOKUP("[S06_InstallationsVisitsWaivedHighEmittersDetail][16][NumberOfInstallations]",Submission!$O:$O,Submission!$H:$N,""))</f>
        <v/>
      </c>
      <c r="I258" s="340"/>
    </row>
    <row r="259" spans="1:9" ht="15.9" hidden="1" customHeight="1" outlineLevel="1" x14ac:dyDescent="0.3">
      <c r="A259" s="13"/>
      <c r="C259" s="422" t="str">
        <f>_xlfn.CONCAT(_xlfn.XLOOKUP("[S06_InstallationsVisitsWaivedHighEmittersDetail][17][ConditionForWaiving]",Submission!$O:$O,Submission!$H:$N,""))</f>
        <v/>
      </c>
      <c r="D259" s="424"/>
      <c r="E259" s="277" t="str">
        <f>_xlfn.CONCAT(_xlfn.XLOOKUP("[S06_InstallationsVisitsWaivedHighEmittersDetail][17][AnnexIActivity]",Submission!$O:$O,Submission!$H:$N,""))</f>
        <v/>
      </c>
      <c r="F259" s="356"/>
      <c r="G259" s="263"/>
      <c r="H259" s="338" t="str">
        <f>_xlfn.CONCAT(_xlfn.XLOOKUP("[S06_InstallationsVisitsWaivedHighEmittersDetail][17][NumberOfInstallations]",Submission!$O:$O,Submission!$H:$N,""))</f>
        <v/>
      </c>
      <c r="I259" s="340"/>
    </row>
    <row r="260" spans="1:9" ht="15.9" hidden="1" customHeight="1" outlineLevel="1" x14ac:dyDescent="0.3">
      <c r="A260" s="13"/>
      <c r="C260" s="422" t="str">
        <f>_xlfn.CONCAT(_xlfn.XLOOKUP("[S06_InstallationsVisitsWaivedHighEmittersDetail][18][ConditionForWaiving]",Submission!$O:$O,Submission!$H:$N,""))</f>
        <v/>
      </c>
      <c r="D260" s="424"/>
      <c r="E260" s="277" t="str">
        <f>_xlfn.CONCAT(_xlfn.XLOOKUP("[S06_InstallationsVisitsWaivedHighEmittersDetail][18][AnnexIActivity]",Submission!$O:$O,Submission!$H:$N,""))</f>
        <v/>
      </c>
      <c r="F260" s="356"/>
      <c r="G260" s="263"/>
      <c r="H260" s="443" t="str">
        <f>_xlfn.CONCAT(_xlfn.XLOOKUP("[S06_InstallationsVisitsWaivedHighEmittersDetail][18][NumberOfInstallations]",Submission!$O:$O,Submission!$H:$N,""))</f>
        <v/>
      </c>
      <c r="I260" s="444"/>
    </row>
    <row r="261" spans="1:9" ht="15.9" hidden="1" customHeight="1" outlineLevel="1" x14ac:dyDescent="0.3">
      <c r="A261" s="13"/>
      <c r="C261" s="422" t="str">
        <f>_xlfn.CONCAT(_xlfn.XLOOKUP("[S06_InstallationsVisitsWaivedHighEmittersDetail][19][ConditionForWaiving]",Submission!$O:$O,Submission!$H:$N,""))</f>
        <v/>
      </c>
      <c r="D261" s="424"/>
      <c r="E261" s="277" t="str">
        <f>_xlfn.CONCAT(_xlfn.XLOOKUP("[S06_InstallationsVisitsWaivedHighEmittersDetail][19][AnnexIActivity]",Submission!$O:$O,Submission!$H:$N,""))</f>
        <v/>
      </c>
      <c r="F261" s="356"/>
      <c r="G261" s="263"/>
      <c r="H261" s="338" t="str">
        <f>_xlfn.CONCAT(_xlfn.XLOOKUP("[S06_InstallationsVisitsWaivedHighEmittersDetail][19][NumberOfInstallations]",Submission!$O:$O,Submission!$H:$N,""))</f>
        <v/>
      </c>
      <c r="I261" s="340"/>
    </row>
    <row r="262" spans="1:9" ht="15.9" hidden="1" customHeight="1" outlineLevel="1" x14ac:dyDescent="0.3">
      <c r="A262" s="13"/>
      <c r="C262" s="422" t="str">
        <f>_xlfn.CONCAT(_xlfn.XLOOKUP("[S06_InstallationsVisitsWaivedHighEmittersDetail][20][ConditionForWaiving]",Submission!$O:$O,Submission!$H:$N,""))</f>
        <v/>
      </c>
      <c r="D262" s="424"/>
      <c r="E262" s="277" t="str">
        <f>_xlfn.CONCAT(_xlfn.XLOOKUP("[S06_InstallationsVisitsWaivedHighEmittersDetail][20][AnnexIActivity]",Submission!$O:$O,Submission!$H:$N,""))</f>
        <v/>
      </c>
      <c r="F262" s="356"/>
      <c r="G262" s="263"/>
      <c r="H262" s="443" t="str">
        <f>_xlfn.CONCAT(_xlfn.XLOOKUP("[S06_InstallationsVisitsWaivedHighEmittersDetail][20][NumberOfInstallations]",Submission!$O:$O,Submission!$H:$N,""))</f>
        <v/>
      </c>
      <c r="I262" s="444"/>
    </row>
    <row r="263" spans="1:9" ht="15.9" customHeight="1" collapsed="1" x14ac:dyDescent="0.3">
      <c r="A263" s="13"/>
      <c r="B263" s="26" t="s">
        <v>1000</v>
      </c>
      <c r="C263" s="19"/>
      <c r="D263" s="11"/>
      <c r="E263" s="11"/>
      <c r="F263" s="11"/>
      <c r="G263" s="11"/>
      <c r="H263" s="11"/>
    </row>
    <row r="264" spans="1:9" ht="15.9" customHeight="1" x14ac:dyDescent="0.3">
      <c r="A264" s="13"/>
      <c r="C264" s="282" t="s">
        <v>1065</v>
      </c>
      <c r="D264" s="283"/>
      <c r="E264" s="283"/>
      <c r="F264" s="283"/>
      <c r="G264" s="283"/>
      <c r="H264" s="283"/>
      <c r="I264" s="283"/>
    </row>
    <row r="265" spans="1:9" ht="15.9" customHeight="1" x14ac:dyDescent="0.3">
      <c r="A265" s="13"/>
    </row>
    <row r="266" spans="1:9" ht="15.9" customHeight="1" x14ac:dyDescent="0.3">
      <c r="A266" s="13"/>
      <c r="B266" s="341" t="s">
        <v>1066</v>
      </c>
      <c r="C266" s="311"/>
      <c r="D266" s="311"/>
      <c r="E266" s="311"/>
      <c r="F266" s="311"/>
      <c r="G266" s="311"/>
      <c r="H266" s="348"/>
      <c r="I266" s="41" t="str">
        <f>_xlfn.CONCAT(_xlfn.XLOOKUP("[InstallationsVisitsWaivedLowEmitters][0][InstallationsVisitsWaivedLowEmitters]",Submission!$O:$O,Submission!$H:$N,""))</f>
        <v>Yes</v>
      </c>
    </row>
    <row r="267" spans="1:9" ht="18.600000000000001" customHeight="1" x14ac:dyDescent="0.3">
      <c r="B267" s="341" t="s">
        <v>1067</v>
      </c>
      <c r="C267" s="311"/>
      <c r="D267" s="311"/>
      <c r="E267" s="311"/>
      <c r="F267" s="311"/>
      <c r="G267" s="311"/>
      <c r="H267" s="311"/>
      <c r="I267" s="311"/>
    </row>
    <row r="268" spans="1:9" ht="15.9" customHeight="1" x14ac:dyDescent="0.3">
      <c r="B268" s="11"/>
      <c r="C268" s="320" t="s">
        <v>1068</v>
      </c>
      <c r="D268" s="373"/>
      <c r="E268" s="373"/>
      <c r="F268" s="373"/>
      <c r="G268" s="321"/>
      <c r="H268" s="354" t="str">
        <f>_xlfn.CONCAT(_xlfn.XLOOKUP("[InstallationsVisitsWaivedLowEmittersDetail][0][InstallationsVisitsWaivedLowEmittersDetail]",Submission!$O:$O,Submission!$H:$N,""))</f>
        <v>13</v>
      </c>
      <c r="I268" s="355"/>
    </row>
    <row r="269" spans="1:9" ht="15.9" customHeight="1" x14ac:dyDescent="0.3">
      <c r="B269" s="11"/>
      <c r="C269" s="121"/>
      <c r="D269" s="122"/>
      <c r="E269" s="122"/>
      <c r="F269" s="122"/>
      <c r="G269" s="122"/>
      <c r="H269" s="121"/>
      <c r="I269" s="122"/>
    </row>
    <row r="270" spans="1:9" ht="17.100000000000001" customHeight="1" x14ac:dyDescent="0.3">
      <c r="A270" s="12" t="s">
        <v>397</v>
      </c>
      <c r="B270" s="341" t="s">
        <v>1069</v>
      </c>
      <c r="C270" s="311"/>
      <c r="D270" s="311"/>
      <c r="E270" s="311"/>
      <c r="F270" s="311"/>
      <c r="G270" s="311"/>
      <c r="H270" s="348"/>
      <c r="I270" s="41" t="str">
        <f>_xlfn.CONCAT(_xlfn.XLOOKUP("[VirtualVisitsInstallations][0][VirtualVisitsInstallations]",Submission!$O:$O,Submission!$H:$N,""))</f>
        <v>Yes</v>
      </c>
    </row>
    <row r="271" spans="1:9" ht="15.9" customHeight="1" x14ac:dyDescent="0.3">
      <c r="A271" s="12"/>
      <c r="B271" s="278" t="s">
        <v>1070</v>
      </c>
      <c r="C271" s="279"/>
      <c r="D271" s="279"/>
      <c r="E271" s="279"/>
      <c r="F271" s="279"/>
      <c r="G271" s="279"/>
      <c r="H271" s="279"/>
      <c r="I271" s="279"/>
    </row>
    <row r="272" spans="1:9" ht="16.2" customHeight="1" x14ac:dyDescent="0.3">
      <c r="A272" s="12"/>
      <c r="B272" s="15" t="s">
        <v>8</v>
      </c>
      <c r="C272" s="414" t="s">
        <v>1071</v>
      </c>
      <c r="D272" s="414"/>
      <c r="E272" s="414"/>
      <c r="F272" s="414"/>
      <c r="G272" s="414"/>
      <c r="H272" s="414"/>
      <c r="I272" s="414"/>
    </row>
    <row r="273" spans="1:9" ht="16.2" customHeight="1" x14ac:dyDescent="0.3">
      <c r="A273" s="12"/>
      <c r="B273" s="15" t="s">
        <v>8</v>
      </c>
      <c r="C273" s="414" t="s">
        <v>1072</v>
      </c>
      <c r="D273" s="414"/>
      <c r="E273" s="414"/>
      <c r="F273" s="414"/>
      <c r="G273" s="414"/>
      <c r="H273" s="414"/>
      <c r="I273" s="414"/>
    </row>
    <row r="274" spans="1:9" ht="16.2" customHeight="1" x14ac:dyDescent="0.3">
      <c r="A274" s="12"/>
      <c r="B274" s="15" t="s">
        <v>8</v>
      </c>
      <c r="C274" s="415" t="s">
        <v>1073</v>
      </c>
      <c r="D274" s="415"/>
      <c r="E274" s="415"/>
      <c r="F274" s="415"/>
      <c r="G274" s="415"/>
      <c r="H274" s="415"/>
      <c r="I274" s="415"/>
    </row>
    <row r="275" spans="1:9" ht="31.2" customHeight="1" x14ac:dyDescent="0.3">
      <c r="A275" s="12"/>
      <c r="B275" s="15"/>
      <c r="C275" s="46" t="s">
        <v>1074</v>
      </c>
      <c r="D275" s="320" t="s">
        <v>1075</v>
      </c>
      <c r="E275" s="332"/>
      <c r="F275" s="320" t="s">
        <v>1076</v>
      </c>
      <c r="G275" s="332"/>
      <c r="H275" s="320" t="s">
        <v>1077</v>
      </c>
      <c r="I275" s="332"/>
    </row>
    <row r="276" spans="1:9" ht="25.2" customHeight="1" x14ac:dyDescent="0.3">
      <c r="C276" s="72" t="str">
        <f>_xlfn.CONCAT(_xlfn.XLOOKUP("[S06_VirtualVisitsInstallationsDetails][1][TypeForceMajeur]",Submission!$O:$O,Submission!$H:$N,""))</f>
        <v>COVID-19</v>
      </c>
      <c r="D276" s="447" t="str">
        <f>_xlfn.CONCAT(_xlfn.XLOOKUP("[S06_VirtualVisitsInstallationsDetails][1][NumberOfInstallationsVV]",Submission!$O:$O,Submission!$H:$N,""))</f>
        <v>52</v>
      </c>
      <c r="E276" s="448"/>
      <c r="F276" s="261" t="str">
        <f>_xlfn.CONCAT(_xlfn.XLOOKUP("[S06_VirtualVisitsInstallationsDetails][1][AuthorityApproval]",Submission!$O:$O,Submission!$H:$N,""))</f>
        <v>Generic authorisation under Article 34a(4) of Commission Regulation 2018/2067</v>
      </c>
      <c r="G276" s="263"/>
      <c r="H276" s="261" t="str">
        <f>_xlfn.CONCAT(_xlfn.XLOOKUP("[S06_VirtualVisitsInstallationsDetails][1][ConfirmationConditionsMet]",Submission!$O:$O,Submission!$H:$N,""))</f>
        <v xml:space="preserve">BSI Group Polska uzyskało w dniu 04.02.2021 upoważnienie MKiŚ do przeprowadzania wirtualnych wizyt w obiektach bez konieczności indywidualnego zatwierdzenia, o którym mowa w art. 34a ust. 3 rozporządzenia 2018/2067. </v>
      </c>
      <c r="I276" s="263"/>
    </row>
    <row r="277" spans="1:9" ht="25.2" customHeight="1" x14ac:dyDescent="0.3">
      <c r="C277" s="72" t="str">
        <f>_xlfn.CONCAT(_xlfn.XLOOKUP("[S06_VirtualVisitsInstallationsDetails][2][TypeForceMajeur]",Submission!$O:$O,Submission!$H:$N,""))</f>
        <v/>
      </c>
      <c r="D277" s="447" t="str">
        <f>_xlfn.CONCAT(_xlfn.XLOOKUP("[S06_VirtualVisitsInstallationsDetails][2][NumberOfInstallationsVV]",Submission!$O:$O,Submission!$H:$N,""))</f>
        <v/>
      </c>
      <c r="E277" s="448"/>
      <c r="F277" s="261" t="str">
        <f>_xlfn.CONCAT(_xlfn.XLOOKUP("[S06_VirtualVisitsInstallationsDetails][2][AuthorityApproval]",Submission!$O:$O,Submission!$H:$N,""))</f>
        <v/>
      </c>
      <c r="G277" s="263"/>
      <c r="H277" s="261" t="str">
        <f>_xlfn.CONCAT(_xlfn.XLOOKUP("[S06_VirtualVisitsInstallationsDetails][2][ConfirmationConditionsMet]",Submission!$O:$O,Submission!$H:$N,""))</f>
        <v/>
      </c>
      <c r="I277" s="263"/>
    </row>
    <row r="278" spans="1:9" ht="25.2" customHeight="1" x14ac:dyDescent="0.3">
      <c r="C278" s="72" t="str">
        <f>_xlfn.CONCAT(_xlfn.XLOOKUP("[S06_VirtualVisitsInstallationsDetails][3][TypeForceMajeur]",Submission!$O:$O,Submission!$H:$N,""))</f>
        <v/>
      </c>
      <c r="D278" s="447" t="str">
        <f>_xlfn.CONCAT(_xlfn.XLOOKUP("[S06_VirtualVisitsInstallationsDetails][3][NumberOfInstallationsVV]",Submission!$O:$O,Submission!$H:$N,""))</f>
        <v/>
      </c>
      <c r="E278" s="448"/>
      <c r="F278" s="261" t="str">
        <f>_xlfn.CONCAT(_xlfn.XLOOKUP("[S06_VirtualVisitsInstallationsDetails][3][AuthorityApproval]",Submission!$O:$O,Submission!$H:$N,""))</f>
        <v/>
      </c>
      <c r="G278" s="263"/>
      <c r="H278" s="261" t="str">
        <f>_xlfn.CONCAT(_xlfn.XLOOKUP("[S06_VirtualVisitsInstallationsDetails][3][ConfirmationConditionsMet]",Submission!$O:$O,Submission!$H:$N,""))</f>
        <v/>
      </c>
      <c r="I278" s="263"/>
    </row>
    <row r="279" spans="1:9" ht="25.2" customHeight="1" x14ac:dyDescent="0.3">
      <c r="C279" s="72" t="str">
        <f>_xlfn.CONCAT(_xlfn.XLOOKUP("[S06_VirtualVisitsInstallationsDetails][4][TypeForceMajeur]",Submission!$O:$O,Submission!$H:$N,""))</f>
        <v/>
      </c>
      <c r="D279" s="447" t="str">
        <f>_xlfn.CONCAT(_xlfn.XLOOKUP("[S06_VirtualVisitsInstallationsDetails][4][NumberOfInstallationsVV]",Submission!$O:$O,Submission!$H:$N,""))</f>
        <v/>
      </c>
      <c r="E279" s="448"/>
      <c r="F279" s="261" t="str">
        <f>_xlfn.CONCAT(_xlfn.XLOOKUP("[S06_VirtualVisitsInstallationsDetails][4][AuthorityApproval]",Submission!$O:$O,Submission!$H:$N,""))</f>
        <v/>
      </c>
      <c r="G279" s="263"/>
      <c r="H279" s="261" t="str">
        <f>_xlfn.CONCAT(_xlfn.XLOOKUP("[S06_VirtualVisitsInstallationsDetails][4][ConfirmationConditionsMet]",Submission!$O:$O,Submission!$H:$N,""))</f>
        <v/>
      </c>
      <c r="I279" s="263"/>
    </row>
    <row r="280" spans="1:9" ht="25.2" hidden="1" customHeight="1" outlineLevel="1" x14ac:dyDescent="0.3">
      <c r="C280" s="72" t="str">
        <f>_xlfn.CONCAT(_xlfn.XLOOKUP("[S06_VirtualVisitsInstallationsDetails][5][TypeForceMajeur]",Submission!$O:$O,Submission!$H:$N,""))</f>
        <v/>
      </c>
      <c r="D280" s="447" t="str">
        <f>_xlfn.CONCAT(_xlfn.XLOOKUP("[S06_VirtualVisitsInstallationsDetails][5][NumberOfInstallationsVV]",Submission!$O:$O,Submission!$H:$N,""))</f>
        <v/>
      </c>
      <c r="E280" s="448"/>
      <c r="F280" s="261" t="str">
        <f>_xlfn.CONCAT(_xlfn.XLOOKUP("[S06_VirtualVisitsInstallationsDetails][5][AuthorityApproval]",Submission!$O:$O,Submission!$H:$N,""))</f>
        <v/>
      </c>
      <c r="G280" s="263"/>
      <c r="H280" s="261" t="str">
        <f>_xlfn.CONCAT(_xlfn.XLOOKUP("[S06_VirtualVisitsInstallationsDetails][5][ConfirmationConditionsMet]",Submission!$O:$O,Submission!$H:$N,""))</f>
        <v/>
      </c>
      <c r="I280" s="263"/>
    </row>
    <row r="281" spans="1:9" ht="25.2" hidden="1" customHeight="1" outlineLevel="1" x14ac:dyDescent="0.3">
      <c r="C281" s="72" t="str">
        <f>_xlfn.CONCAT(_xlfn.XLOOKUP("[S06_VirtualVisitsInstallationsDetails][6][TypeForceMajeur]",Submission!$O:$O,Submission!$H:$N,""))</f>
        <v/>
      </c>
      <c r="D281" s="447" t="str">
        <f>_xlfn.CONCAT(_xlfn.XLOOKUP("[S06_VirtualVisitsInstallationsDetails][6][NumberOfInstallationsVV]",Submission!$O:$O,Submission!$H:$N,""))</f>
        <v/>
      </c>
      <c r="E281" s="448"/>
      <c r="F281" s="261" t="str">
        <f>_xlfn.CONCAT(_xlfn.XLOOKUP("[S06_VirtualVisitsInstallationsDetails][6][AuthorityApproval]",Submission!$O:$O,Submission!$H:$N,""))</f>
        <v/>
      </c>
      <c r="G281" s="263"/>
      <c r="H281" s="261" t="str">
        <f>_xlfn.CONCAT(_xlfn.XLOOKUP("[S06_VirtualVisitsInstallationsDetails][6][ConfirmationConditionsMet]",Submission!$O:$O,Submission!$H:$N,""))</f>
        <v/>
      </c>
      <c r="I281" s="263"/>
    </row>
    <row r="282" spans="1:9" ht="25.2" hidden="1" customHeight="1" outlineLevel="1" x14ac:dyDescent="0.3">
      <c r="C282" s="72" t="str">
        <f>_xlfn.CONCAT(_xlfn.XLOOKUP("[S06_VirtualVisitsInstallationsDetails][7][TypeForceMajeur]",Submission!$O:$O,Submission!$H:$N,""))</f>
        <v/>
      </c>
      <c r="D282" s="447" t="str">
        <f>_xlfn.CONCAT(_xlfn.XLOOKUP("[S06_VirtualVisitsInstallationsDetails][7][NumberOfInstallationsVV]",Submission!$O:$O,Submission!$H:$N,""))</f>
        <v/>
      </c>
      <c r="E282" s="448"/>
      <c r="F282" s="261" t="str">
        <f>_xlfn.CONCAT(_xlfn.XLOOKUP("[S06_VirtualVisitsInstallationsDetails][7][AuthorityApproval]",Submission!$O:$O,Submission!$H:$N,""))</f>
        <v/>
      </c>
      <c r="G282" s="263"/>
      <c r="H282" s="261" t="str">
        <f>_xlfn.CONCAT(_xlfn.XLOOKUP("[S06_VirtualVisitsInstallationsDetails][7][ConfirmationConditionsMet]",Submission!$O:$O,Submission!$H:$N,""))</f>
        <v/>
      </c>
      <c r="I282" s="263"/>
    </row>
    <row r="283" spans="1:9" ht="25.2" hidden="1" customHeight="1" outlineLevel="1" x14ac:dyDescent="0.3">
      <c r="C283" s="72" t="str">
        <f>_xlfn.CONCAT(_xlfn.XLOOKUP("[S06_VirtualVisitsInstallationsDetails][8][TypeForceMajeur]",Submission!$O:$O,Submission!$H:$N,""))</f>
        <v/>
      </c>
      <c r="D283" s="447" t="str">
        <f>_xlfn.CONCAT(_xlfn.XLOOKUP("[S06_VirtualVisitsInstallationsDetails][8][NumberOfInstallationsVV]",Submission!$O:$O,Submission!$H:$N,""))</f>
        <v/>
      </c>
      <c r="E283" s="448"/>
      <c r="F283" s="261" t="str">
        <f>_xlfn.CONCAT(_xlfn.XLOOKUP("[S06_VirtualVisitsInstallationsDetails][8][AuthorityApproval]",Submission!$O:$O,Submission!$H:$N,""))</f>
        <v/>
      </c>
      <c r="G283" s="263"/>
      <c r="H283" s="261" t="str">
        <f>_xlfn.CONCAT(_xlfn.XLOOKUP("[S06_VirtualVisitsInstallationsDetails][8][ConfirmationConditionsMet]",Submission!$O:$O,Submission!$H:$N,""))</f>
        <v/>
      </c>
      <c r="I283" s="263"/>
    </row>
    <row r="284" spans="1:9" ht="25.2" hidden="1" customHeight="1" outlineLevel="1" x14ac:dyDescent="0.3">
      <c r="C284" s="72" t="str">
        <f>_xlfn.CONCAT(_xlfn.XLOOKUP("[S06_VirtualVisitsInstallationsDetails][9][TypeForceMajeur]",Submission!$O:$O,Submission!$H:$N,""))</f>
        <v/>
      </c>
      <c r="D284" s="447" t="str">
        <f>_xlfn.CONCAT(_xlfn.XLOOKUP("[S06_VirtualVisitsInstallationsDetails][9][NumberOfInstallationsVV]",Submission!$O:$O,Submission!$H:$N,""))</f>
        <v/>
      </c>
      <c r="E284" s="448"/>
      <c r="F284" s="261" t="str">
        <f>_xlfn.CONCAT(_xlfn.XLOOKUP("[S06_VirtualVisitsInstallationsDetails][9][AuthorityApproval]",Submission!$O:$O,Submission!$H:$N,""))</f>
        <v/>
      </c>
      <c r="G284" s="263"/>
      <c r="H284" s="261" t="str">
        <f>_xlfn.CONCAT(_xlfn.XLOOKUP("[S06_VirtualVisitsInstallationsDetails][9][ConfirmationConditionsMet]",Submission!$O:$O,Submission!$H:$N,""))</f>
        <v/>
      </c>
      <c r="I284" s="263"/>
    </row>
    <row r="285" spans="1:9" ht="25.2" hidden="1" customHeight="1" outlineLevel="1" x14ac:dyDescent="0.3">
      <c r="C285" s="72" t="str">
        <f>_xlfn.CONCAT(_xlfn.XLOOKUP("[S06_VirtualVisitsInstallationsDetails][10][TypeForceMajeur]",Submission!$O:$O,Submission!$H:$N,""))</f>
        <v/>
      </c>
      <c r="D285" s="447" t="str">
        <f>_xlfn.CONCAT(_xlfn.XLOOKUP("[S06_VirtualVisitsInstallationsDetails][10][NumberOfInstallationsVV]",Submission!$O:$O,Submission!$H:$N,""))</f>
        <v/>
      </c>
      <c r="E285" s="448"/>
      <c r="F285" s="261" t="str">
        <f>_xlfn.CONCAT(_xlfn.XLOOKUP("[S06_VirtualVisitsInstallationsDetails][10][AuthorityApproval]",Submission!$O:$O,Submission!$H:$N,""))</f>
        <v/>
      </c>
      <c r="G285" s="263"/>
      <c r="H285" s="261" t="str">
        <f>_xlfn.CONCAT(_xlfn.XLOOKUP("[S06_VirtualVisitsInstallationsDetails][10][ConfirmationConditionsMet]",Submission!$O:$O,Submission!$H:$N,""))</f>
        <v/>
      </c>
      <c r="I285" s="263"/>
    </row>
    <row r="286" spans="1:9" ht="25.2" hidden="1" customHeight="1" outlineLevel="1" x14ac:dyDescent="0.3">
      <c r="C286" s="72" t="str">
        <f>_xlfn.CONCAT(_xlfn.XLOOKUP("[S06_VirtualVisitsInstallationsDetails][11][TypeForceMajeur]",Submission!$O:$O,Submission!$H:$N,""))</f>
        <v/>
      </c>
      <c r="D286" s="447" t="str">
        <f>_xlfn.CONCAT(_xlfn.XLOOKUP("[S06_VirtualVisitsInstallationsDetails][11][NumberOfInstallationsVV]",Submission!$O:$O,Submission!$H:$N,""))</f>
        <v/>
      </c>
      <c r="E286" s="448"/>
      <c r="F286" s="261" t="str">
        <f>_xlfn.CONCAT(_xlfn.XLOOKUP("[S06_VirtualVisitsInstallationsDetails][11][AuthorityApproval]",Submission!$O:$O,Submission!$H:$N,""))</f>
        <v/>
      </c>
      <c r="G286" s="263"/>
      <c r="H286" s="261" t="str">
        <f>_xlfn.CONCAT(_xlfn.XLOOKUP("[S06_VirtualVisitsInstallationsDetails][11][ConfirmationConditionsMet]",Submission!$O:$O,Submission!$H:$N,""))</f>
        <v/>
      </c>
      <c r="I286" s="263"/>
    </row>
    <row r="287" spans="1:9" ht="25.2" hidden="1" customHeight="1" outlineLevel="1" x14ac:dyDescent="0.3">
      <c r="C287" s="72" t="str">
        <f>_xlfn.CONCAT(_xlfn.XLOOKUP("[S06_VirtualVisitsInstallationsDetails][12][TypeForceMajeur]",Submission!$O:$O,Submission!$H:$N,""))</f>
        <v/>
      </c>
      <c r="D287" s="447" t="str">
        <f>_xlfn.CONCAT(_xlfn.XLOOKUP("[S06_VirtualVisitsInstallationsDetails][12][NumberOfInstallationsVV]",Submission!$O:$O,Submission!$H:$N,""))</f>
        <v/>
      </c>
      <c r="E287" s="448"/>
      <c r="F287" s="261" t="str">
        <f>_xlfn.CONCAT(_xlfn.XLOOKUP("[S06_VirtualVisitsInstallationsDetails][12][AuthorityApproval]",Submission!$O:$O,Submission!$H:$N,""))</f>
        <v/>
      </c>
      <c r="G287" s="263"/>
      <c r="H287" s="261" t="str">
        <f>_xlfn.CONCAT(_xlfn.XLOOKUP("[S06_VirtualVisitsInstallationsDetails][12][ConfirmationConditionsMet]",Submission!$O:$O,Submission!$H:$N,""))</f>
        <v/>
      </c>
      <c r="I287" s="263"/>
    </row>
    <row r="288" spans="1:9" ht="25.2" hidden="1" customHeight="1" outlineLevel="1" x14ac:dyDescent="0.3">
      <c r="C288" s="72" t="str">
        <f>_xlfn.CONCAT(_xlfn.XLOOKUP("[S06_VirtualVisitsInstallationsDetails][13][TypeForceMajeur]",Submission!$O:$O,Submission!$H:$N,""))</f>
        <v/>
      </c>
      <c r="D288" s="447" t="str">
        <f>_xlfn.CONCAT(_xlfn.XLOOKUP("[S06_VirtualVisitsInstallationsDetails][13][NumberOfInstallationsVV]",Submission!$O:$O,Submission!$H:$N,""))</f>
        <v/>
      </c>
      <c r="E288" s="448"/>
      <c r="F288" s="261" t="str">
        <f>_xlfn.CONCAT(_xlfn.XLOOKUP("[S06_VirtualVisitsInstallationsDetails][13][AuthorityApproval]",Submission!$O:$O,Submission!$H:$N,""))</f>
        <v/>
      </c>
      <c r="G288" s="263"/>
      <c r="H288" s="261" t="str">
        <f>_xlfn.CONCAT(_xlfn.XLOOKUP("[S06_VirtualVisitsInstallationsDetails][13][ConfirmationConditionsMet]",Submission!$O:$O,Submission!$H:$N,""))</f>
        <v/>
      </c>
      <c r="I288" s="263"/>
    </row>
    <row r="289" spans="1:11" ht="15.9" customHeight="1" collapsed="1" x14ac:dyDescent="0.3">
      <c r="A289" s="13"/>
      <c r="B289" s="26" t="s">
        <v>1000</v>
      </c>
      <c r="C289" s="19"/>
      <c r="D289" s="11"/>
      <c r="E289" s="11"/>
      <c r="F289" s="11"/>
      <c r="G289" s="11"/>
      <c r="H289" s="11"/>
    </row>
    <row r="290" spans="1:11" ht="15.9" customHeight="1" x14ac:dyDescent="0.3">
      <c r="A290" s="13"/>
      <c r="B290" s="449" t="s">
        <v>1078</v>
      </c>
      <c r="C290" s="450"/>
      <c r="D290" s="450"/>
      <c r="E290" s="450"/>
      <c r="F290" s="450"/>
      <c r="G290" s="450"/>
      <c r="H290" s="450"/>
      <c r="I290" s="450"/>
    </row>
    <row r="291" spans="1:11" ht="15.9" customHeight="1" x14ac:dyDescent="0.3">
      <c r="B291" s="22"/>
      <c r="C291" s="24"/>
      <c r="D291" s="24"/>
      <c r="E291" s="24"/>
      <c r="F291" s="24"/>
      <c r="G291" s="24"/>
      <c r="H291" s="24"/>
      <c r="I291" s="24"/>
    </row>
    <row r="292" spans="1:11" ht="18.899999999999999" customHeight="1" x14ac:dyDescent="0.35">
      <c r="A292" s="85" t="s">
        <v>1079</v>
      </c>
      <c r="B292" s="313" t="s">
        <v>1080</v>
      </c>
      <c r="C292" s="313"/>
      <c r="D292" s="313"/>
      <c r="E292" s="313"/>
      <c r="F292" s="313"/>
      <c r="G292" s="313"/>
      <c r="H292" s="313"/>
      <c r="I292" s="314"/>
    </row>
    <row r="293" spans="1:11" ht="33" customHeight="1" x14ac:dyDescent="0.3">
      <c r="A293" s="12" t="s">
        <v>407</v>
      </c>
      <c r="B293" s="315" t="s">
        <v>1081</v>
      </c>
      <c r="C293" s="315"/>
      <c r="D293" s="315"/>
      <c r="E293" s="315"/>
      <c r="F293" s="315"/>
      <c r="G293" s="315"/>
      <c r="H293" s="315"/>
      <c r="I293" s="315"/>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nd</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82" t="s">
        <v>1087</v>
      </c>
      <c r="D317" s="283"/>
      <c r="E317" s="283"/>
      <c r="F317" s="283"/>
      <c r="G317" s="283"/>
      <c r="H317" s="283"/>
      <c r="I317" s="283"/>
    </row>
    <row r="318" spans="1:9" s="11" customFormat="1" ht="46.5" customHeight="1" x14ac:dyDescent="0.3">
      <c r="C318" s="361" t="s">
        <v>1088</v>
      </c>
      <c r="D318" s="362"/>
      <c r="E318" s="362"/>
      <c r="F318" s="362"/>
      <c r="G318" s="362"/>
      <c r="H318" s="362"/>
      <c r="I318" s="362"/>
    </row>
    <row r="319" spans="1:9" s="11" customFormat="1" ht="26.1" customHeight="1" x14ac:dyDescent="0.3">
      <c r="C319" s="361" t="s">
        <v>1089</v>
      </c>
      <c r="D319" s="362"/>
      <c r="E319" s="362"/>
      <c r="F319" s="362"/>
      <c r="G319" s="362"/>
      <c r="H319" s="362"/>
      <c r="I319" s="362"/>
    </row>
    <row r="320" spans="1:9" s="11" customFormat="1" ht="16.95" customHeight="1" x14ac:dyDescent="0.3">
      <c r="C320" s="19"/>
      <c r="D320" s="31"/>
      <c r="E320" s="31"/>
      <c r="F320" s="31"/>
      <c r="G320" s="31"/>
      <c r="H320" s="31"/>
      <c r="I320" s="31"/>
    </row>
    <row r="321" spans="1:9" s="11" customFormat="1" ht="18" customHeight="1" x14ac:dyDescent="0.3">
      <c r="C321" s="310" t="s">
        <v>1090</v>
      </c>
      <c r="D321" s="310"/>
      <c r="E321" s="310"/>
      <c r="F321" s="310"/>
      <c r="G321" s="310"/>
      <c r="H321" s="310"/>
      <c r="I321" s="310"/>
    </row>
    <row r="322" spans="1:9" ht="15.9" customHeight="1" x14ac:dyDescent="0.3">
      <c r="C322" s="317" t="s">
        <v>1037</v>
      </c>
      <c r="D322" s="318"/>
      <c r="E322" s="318"/>
      <c r="F322" s="318"/>
      <c r="G322" s="319"/>
      <c r="H322" s="441" t="s">
        <v>99</v>
      </c>
      <c r="I322" s="442"/>
    </row>
    <row r="323" spans="1:9" ht="15.9" customHeight="1" x14ac:dyDescent="0.3">
      <c r="C323" s="249" t="s">
        <v>1038</v>
      </c>
      <c r="D323" s="260"/>
      <c r="E323" s="260"/>
      <c r="F323" s="260"/>
      <c r="G323" s="250"/>
      <c r="H323" s="354" t="str">
        <f>_xlfn.CONCAT(_xlfn.XLOOKUP("[S06_NegativeOpinionAircraft][1][CountNegativeOpinions]",Submission!$O:$O,Submission!$H:$N,""))</f>
        <v>1</v>
      </c>
      <c r="I323" s="364"/>
    </row>
    <row r="324" spans="1:9" x14ac:dyDescent="0.3">
      <c r="C324" s="249" t="s">
        <v>1091</v>
      </c>
      <c r="D324" s="260"/>
      <c r="E324" s="260"/>
      <c r="F324" s="260"/>
      <c r="G324" s="250"/>
      <c r="H324" s="354" t="str">
        <f>_xlfn.CONCAT(_xlfn.XLOOKUP("[S06_NegativeOpinionAircraft][2][CountNegativeOpinions]",Submission!$O:$O,Submission!$H:$N,""))</f>
        <v/>
      </c>
      <c r="I324" s="364"/>
    </row>
    <row r="325" spans="1:9" ht="15.9" customHeight="1" x14ac:dyDescent="0.3">
      <c r="C325" s="249" t="s">
        <v>1040</v>
      </c>
      <c r="D325" s="260"/>
      <c r="E325" s="260"/>
      <c r="F325" s="260"/>
      <c r="G325" s="250"/>
      <c r="H325" s="354" t="str">
        <f>_xlfn.CONCAT(_xlfn.XLOOKUP("[S06_NegativeOpinionAircraft][3][CountNegativeOpinions]",Submission!$O:$O,Submission!$H:$N,""))</f>
        <v/>
      </c>
      <c r="I325" s="364"/>
    </row>
    <row r="326" spans="1:9" ht="18" customHeight="1" x14ac:dyDescent="0.3">
      <c r="C326" s="249" t="s">
        <v>1041</v>
      </c>
      <c r="D326" s="260"/>
      <c r="E326" s="260"/>
      <c r="F326" s="260"/>
      <c r="G326" s="250"/>
      <c r="H326" s="354" t="str">
        <f>_xlfn.CONCAT(_xlfn.XLOOKUP("[S06_NegativeOpinionAircraft][4][CountNegativeOpinions]",Submission!$O:$O,Submission!$H:$N,""))</f>
        <v/>
      </c>
      <c r="I326" s="364"/>
    </row>
    <row r="327" spans="1:9" s="11" customFormat="1" ht="14.4" x14ac:dyDescent="0.3">
      <c r="C327" s="20"/>
      <c r="D327" s="24"/>
      <c r="E327" s="24"/>
      <c r="F327" s="24"/>
      <c r="G327" s="24"/>
      <c r="H327" s="24"/>
      <c r="I327" s="24"/>
    </row>
    <row r="328" spans="1:9" ht="32.1" customHeight="1" x14ac:dyDescent="0.3">
      <c r="A328" s="12" t="s">
        <v>412</v>
      </c>
      <c r="B328" s="341" t="s">
        <v>1092</v>
      </c>
      <c r="C328" s="311"/>
      <c r="D328" s="311"/>
      <c r="E328" s="311"/>
      <c r="F328" s="311"/>
      <c r="G328" s="311"/>
      <c r="H328" s="348"/>
      <c r="I328" s="41" t="str">
        <f>_xlfn.CONCAT(_xlfn.XLOOKUP("[AircraftOperatorsVerificationReportIssues][0][AircraftOperatorsVerificationReportIssues]",Submission!$O:$O,Submission!$H:$N,""))</f>
        <v>No</v>
      </c>
    </row>
    <row r="329" spans="1:9" ht="16.2" customHeight="1" x14ac:dyDescent="0.3">
      <c r="A329" s="12"/>
      <c r="B329" s="278" t="s">
        <v>1093</v>
      </c>
      <c r="C329" s="279"/>
      <c r="D329" s="279"/>
      <c r="E329" s="279"/>
      <c r="F329" s="279"/>
      <c r="G329" s="279"/>
      <c r="H329" s="279"/>
      <c r="I329" s="279"/>
    </row>
    <row r="330" spans="1:9" ht="15.6" customHeight="1" x14ac:dyDescent="0.3">
      <c r="A330" s="12"/>
      <c r="B330" s="22"/>
      <c r="C330" s="437" t="s">
        <v>1094</v>
      </c>
      <c r="D330" s="437"/>
      <c r="E330" s="437"/>
      <c r="F330" s="437"/>
      <c r="G330" s="437"/>
      <c r="H330" s="437"/>
      <c r="I330" s="437"/>
    </row>
    <row r="331" spans="1:9" ht="43.95" customHeight="1" x14ac:dyDescent="0.3">
      <c r="A331" s="12"/>
      <c r="B331" s="23"/>
      <c r="C331" s="317" t="s">
        <v>1044</v>
      </c>
      <c r="D331" s="336"/>
      <c r="E331" s="337"/>
      <c r="F331" s="51" t="s">
        <v>945</v>
      </c>
      <c r="G331" s="51" t="s">
        <v>1046</v>
      </c>
      <c r="H331" s="317" t="s">
        <v>1047</v>
      </c>
      <c r="I331" s="337"/>
    </row>
    <row r="332" spans="1:9" ht="15.9" customHeight="1" x14ac:dyDescent="0.3">
      <c r="A332" s="12"/>
      <c r="B332" s="23"/>
      <c r="C332" s="422" t="str">
        <f>_xlfn.CONCAT(_xlfn.XLOOKUP("[S06_AircraftOperatorsVerificationReportIssuesEmissions][1][TypeOfIssue]",Submission!$O:$O,Submission!$H:$N,""))</f>
        <v/>
      </c>
      <c r="D332" s="423"/>
      <c r="E332" s="42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45" t="str">
        <f>_xlfn.CONCAT(_xlfn.XLOOKUP("[S06_AircraftOperatorsVerificationReportIssuesEmissions][1][ShareOfReportsConservativeEstimate]",Submission!$O:$O,Submission!$H:$N,""))</f>
        <v/>
      </c>
      <c r="I332" s="446"/>
    </row>
    <row r="333" spans="1:9" ht="15.9" customHeight="1" x14ac:dyDescent="0.3">
      <c r="A333" s="12"/>
      <c r="B333" s="23"/>
      <c r="C333" s="422" t="str">
        <f>_xlfn.CONCAT(_xlfn.XLOOKUP("[S06_AircraftOperatorsVerificationReportIssuesEmissions][2][TypeOfIssue]",Submission!$O:$O,Submission!$H:$N,""))</f>
        <v/>
      </c>
      <c r="D333" s="423"/>
      <c r="E333" s="42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5" t="str">
        <f>_xlfn.CONCAT(_xlfn.XLOOKUP("[S06_AircraftOperatorsVerificationReportIssuesEmissions][2][ShareOfReportsConservativeEstimate]",Submission!$O:$O,Submission!$H:$N,""))</f>
        <v/>
      </c>
      <c r="I333" s="446"/>
    </row>
    <row r="334" spans="1:9" ht="15.9" hidden="1" customHeight="1" outlineLevel="1" x14ac:dyDescent="0.3">
      <c r="A334" s="12"/>
      <c r="B334" s="23"/>
      <c r="C334" s="422" t="str">
        <f>_xlfn.CONCAT(_xlfn.XLOOKUP("[S06_AircraftOperatorsVerificationReportIssuesEmissions][3][TypeOfIssue]",Submission!$O:$O,Submission!$H:$N,""))</f>
        <v/>
      </c>
      <c r="D334" s="423"/>
      <c r="E334" s="42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5" t="str">
        <f>_xlfn.CONCAT(_xlfn.XLOOKUP("[S06_AircraftOperatorsVerificationReportIssuesEmissions][3][ShareOfReportsConservativeEstimate]",Submission!$O:$O,Submission!$H:$N,""))</f>
        <v/>
      </c>
      <c r="I334" s="446"/>
    </row>
    <row r="335" spans="1:9" ht="15.9" hidden="1" customHeight="1" outlineLevel="1" x14ac:dyDescent="0.3">
      <c r="A335" s="12"/>
      <c r="B335" s="23"/>
      <c r="C335" s="422" t="str">
        <f>_xlfn.CONCAT(_xlfn.XLOOKUP("[S06_AircraftOperatorsVerificationReportIssuesEmissions][4][TypeOfIssue]",Submission!$O:$O,Submission!$H:$N,""))</f>
        <v/>
      </c>
      <c r="D335" s="423"/>
      <c r="E335" s="42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5" t="str">
        <f>_xlfn.CONCAT(_xlfn.XLOOKUP("[S06_AircraftOperatorsVerificationReportIssuesEmissions][4][ShareOfReportsConservativeEstimate]",Submission!$O:$O,Submission!$H:$N,""))</f>
        <v/>
      </c>
      <c r="I335" s="446"/>
    </row>
    <row r="336" spans="1:9" ht="15.9" customHeight="1" collapsed="1" x14ac:dyDescent="0.3">
      <c r="A336" s="12"/>
      <c r="B336" s="26" t="s">
        <v>1000</v>
      </c>
      <c r="C336" s="19"/>
      <c r="D336" s="11"/>
      <c r="E336" s="11"/>
      <c r="F336" s="11"/>
      <c r="G336" s="11"/>
      <c r="H336" s="11"/>
    </row>
    <row r="337" spans="1:9" ht="27" customHeight="1" x14ac:dyDescent="0.3">
      <c r="A337" s="12"/>
      <c r="C337" s="282" t="s">
        <v>1095</v>
      </c>
      <c r="D337" s="283"/>
      <c r="E337" s="283"/>
      <c r="F337" s="283"/>
      <c r="G337" s="283"/>
      <c r="H337" s="283"/>
      <c r="I337" s="283"/>
    </row>
    <row r="338" spans="1:9" ht="15.9" customHeight="1" x14ac:dyDescent="0.3">
      <c r="A338" s="12"/>
      <c r="C338" s="20"/>
      <c r="D338" s="24"/>
      <c r="E338" s="24"/>
      <c r="F338" s="24"/>
      <c r="G338" s="24"/>
      <c r="H338" s="24"/>
      <c r="I338" s="24"/>
    </row>
    <row r="339" spans="1:9" ht="15.9" customHeight="1" x14ac:dyDescent="0.3">
      <c r="A339" s="12"/>
      <c r="C339" s="437" t="s">
        <v>1096</v>
      </c>
      <c r="D339" s="437"/>
      <c r="E339" s="437"/>
      <c r="F339" s="437"/>
      <c r="G339" s="437"/>
      <c r="H339" s="437"/>
      <c r="I339" s="437"/>
    </row>
    <row r="340" spans="1:9" ht="15.9" customHeight="1" x14ac:dyDescent="0.3">
      <c r="A340" s="12"/>
      <c r="B340" s="23"/>
      <c r="C340" s="317" t="s">
        <v>1044</v>
      </c>
      <c r="D340" s="336"/>
      <c r="E340" s="337"/>
      <c r="F340" s="51" t="s">
        <v>945</v>
      </c>
      <c r="G340" s="438" t="s">
        <v>1046</v>
      </c>
      <c r="H340" s="439"/>
      <c r="I340" s="440"/>
    </row>
    <row r="341" spans="1:9" ht="15.9" customHeight="1" x14ac:dyDescent="0.3">
      <c r="A341" s="12"/>
      <c r="B341" s="23"/>
      <c r="C341" s="422" t="str">
        <f>_xlfn.CONCAT(_xlfn.XLOOKUP("[S06_AircraftOperatorsVerificationReportIssuesTKM][1][TypeOfIssue]",Submission!$O:$O,Submission!$H:$N,""))</f>
        <v/>
      </c>
      <c r="D341" s="423"/>
      <c r="E341" s="424"/>
      <c r="F341" s="132" t="str">
        <f>_xlfn.CONCAT(_xlfn.XLOOKUP("[S06_AircraftOperatorsVerificationReportIssuesTKM][1][NumberOfAircraftOperators]",Submission!$O:$O,Submission!$H:$N,""))</f>
        <v/>
      </c>
      <c r="G341" s="338" t="str">
        <f>_xlfn.CONCAT(_xlfn.XLOOKUP("[S06_AircraftOperatorsVerificationReportIssuesTKM][1][NumberOfIssues]",Submission!$O:$O,Submission!$H:$N,""))</f>
        <v/>
      </c>
      <c r="H341" s="339"/>
      <c r="I341" s="340"/>
    </row>
    <row r="342" spans="1:9" ht="15.9" customHeight="1" x14ac:dyDescent="0.3">
      <c r="A342" s="12"/>
      <c r="B342" s="23"/>
      <c r="C342" s="422" t="str">
        <f>_xlfn.CONCAT(_xlfn.XLOOKUP("[S06_AircraftOperatorsVerificationReportIssuesTKM][2][TypeOfIssue]",Submission!$O:$O,Submission!$H:$N,""))</f>
        <v/>
      </c>
      <c r="D342" s="423"/>
      <c r="E342" s="424"/>
      <c r="F342" s="132" t="str">
        <f>_xlfn.CONCAT(_xlfn.XLOOKUP("[S06_AircraftOperatorsVerificationReportIssuesTKM][2][NumberOfAircraftOperators]",Submission!$O:$O,Submission!$H:$N,""))</f>
        <v/>
      </c>
      <c r="G342" s="338" t="str">
        <f>_xlfn.CONCAT(_xlfn.XLOOKUP("[S06_AircraftOperatorsVerificationReportIssuesTKM][2][NumberOfIssues]",Submission!$O:$O,Submission!$H:$N,""))</f>
        <v/>
      </c>
      <c r="H342" s="339"/>
      <c r="I342" s="340"/>
    </row>
    <row r="343" spans="1:9" ht="15.9" hidden="1" customHeight="1" outlineLevel="1" x14ac:dyDescent="0.3">
      <c r="A343" s="12"/>
      <c r="B343" s="23"/>
      <c r="C343" s="422" t="str">
        <f>_xlfn.CONCAT(_xlfn.XLOOKUP("[S06_AircraftOperatorsVerificationReportIssuesTKM][3][TypeOfIssue]",Submission!$O:$O,Submission!$H:$N,""))</f>
        <v/>
      </c>
      <c r="D343" s="423"/>
      <c r="E343" s="424"/>
      <c r="F343" s="132" t="str">
        <f>_xlfn.CONCAT(_xlfn.XLOOKUP("[S06_AircraftOperatorsVerificationReportIssuesTKM][3][NumberOfAircraftOperators]",Submission!$O:$O,Submission!$H:$N,""))</f>
        <v/>
      </c>
      <c r="G343" s="338" t="str">
        <f>_xlfn.CONCAT(_xlfn.XLOOKUP("[S06_AircraftOperatorsVerificationReportIssuesTKM][3][NumberOfIssues]",Submission!$O:$O,Submission!$H:$N,""))</f>
        <v/>
      </c>
      <c r="H343" s="339"/>
      <c r="I343" s="340"/>
    </row>
    <row r="344" spans="1:9" ht="15.9" hidden="1" customHeight="1" outlineLevel="1" x14ac:dyDescent="0.3">
      <c r="A344" s="12"/>
      <c r="B344" s="23"/>
      <c r="C344" s="422" t="str">
        <f>_xlfn.CONCAT(_xlfn.XLOOKUP("[S06_AircraftOperatorsVerificationReportIssuesTKM][4][TypeOfIssue]",Submission!$O:$O,Submission!$H:$N,""))</f>
        <v/>
      </c>
      <c r="D344" s="423"/>
      <c r="E344" s="424"/>
      <c r="F344" s="132" t="str">
        <f>_xlfn.CONCAT(_xlfn.XLOOKUP("[S06_AircraftOperatorsVerificationReportIssuesTKM][4][NumberOfAircraftOperators]",Submission!$O:$O,Submission!$H:$N,""))</f>
        <v/>
      </c>
      <c r="G344" s="338" t="str">
        <f>_xlfn.CONCAT(_xlfn.XLOOKUP("[S06_AircraftOperatorsVerificationReportIssuesTKM][4][NumberOfIssues]",Submission!$O:$O,Submission!$H:$N,""))</f>
        <v/>
      </c>
      <c r="H344" s="339"/>
      <c r="I344" s="340"/>
    </row>
    <row r="345" spans="1:9" ht="15.9" customHeight="1" collapsed="1" x14ac:dyDescent="0.3">
      <c r="A345" s="12"/>
      <c r="B345" s="26" t="s">
        <v>1000</v>
      </c>
      <c r="C345" s="19"/>
      <c r="D345" s="11"/>
      <c r="E345" s="11"/>
      <c r="F345" s="11"/>
      <c r="G345" s="11"/>
      <c r="H345" s="11"/>
    </row>
    <row r="346" spans="1:9" ht="27" customHeight="1" x14ac:dyDescent="0.3">
      <c r="A346" s="12"/>
      <c r="C346" s="282" t="s">
        <v>1095</v>
      </c>
      <c r="D346" s="283"/>
      <c r="E346" s="283"/>
      <c r="F346" s="283"/>
      <c r="G346" s="283"/>
      <c r="H346" s="283"/>
      <c r="I346" s="283"/>
    </row>
    <row r="347" spans="1:9" ht="15.9" customHeight="1" x14ac:dyDescent="0.3">
      <c r="A347" s="12"/>
      <c r="B347" s="23"/>
      <c r="D347" s="11"/>
      <c r="E347" s="11"/>
      <c r="F347" s="11"/>
    </row>
    <row r="348" spans="1:9" ht="15.9" customHeight="1" x14ac:dyDescent="0.3">
      <c r="A348" s="12" t="s">
        <v>417</v>
      </c>
      <c r="B348" s="341" t="s">
        <v>1049</v>
      </c>
      <c r="C348" s="311"/>
      <c r="D348" s="311"/>
      <c r="E348" s="311"/>
      <c r="F348" s="311"/>
      <c r="G348" s="311"/>
      <c r="H348" s="348"/>
      <c r="I348" s="41" t="str">
        <f>_xlfn.CONCAT(_xlfn.XLOOKUP("[AircraftOperatorsVerificationReportChecks][0][AircraftOperatorsVerificationReportChecks]",Submission!$O:$O,Submission!$H:$N,""))</f>
        <v>Yes</v>
      </c>
    </row>
    <row r="349" spans="1:9" ht="15.9" customHeight="1" x14ac:dyDescent="0.3">
      <c r="A349" s="12"/>
      <c r="B349" s="278" t="s">
        <v>1097</v>
      </c>
      <c r="C349" s="279"/>
      <c r="D349" s="279"/>
      <c r="E349" s="279"/>
      <c r="F349" s="279"/>
      <c r="G349" s="279"/>
      <c r="H349" s="279"/>
      <c r="I349" s="279"/>
    </row>
    <row r="350" spans="1:9" ht="15.9" customHeight="1" x14ac:dyDescent="0.3">
      <c r="A350" s="12"/>
      <c r="B350" s="22"/>
      <c r="C350" s="437" t="s">
        <v>1098</v>
      </c>
      <c r="D350" s="437"/>
      <c r="E350" s="437"/>
      <c r="F350" s="437"/>
      <c r="G350" s="437"/>
      <c r="H350" s="437"/>
      <c r="I350" s="437"/>
    </row>
    <row r="351" spans="1:9" ht="15.9" customHeight="1" x14ac:dyDescent="0.3">
      <c r="A351" s="12"/>
      <c r="C351" s="320" t="s">
        <v>1099</v>
      </c>
      <c r="D351" s="331"/>
      <c r="E351" s="331"/>
      <c r="F351" s="331"/>
      <c r="G351" s="331"/>
      <c r="H351" s="331"/>
      <c r="I351" s="332"/>
    </row>
    <row r="352" spans="1:9" s="79" customFormat="1" ht="30" customHeight="1" x14ac:dyDescent="0.3">
      <c r="A352" s="131"/>
      <c r="C352" s="249" t="s">
        <v>1052</v>
      </c>
      <c r="D352" s="275"/>
      <c r="E352" s="275"/>
      <c r="F352" s="276"/>
      <c r="G352" s="138" t="str">
        <f>_xlfn.CONCAT(_xlfn.XLOOKUP("[S06_AircraftOperatorsVerificationEmissionReportChecks1][1][PercentageShare]",Submission!$O:$O,Submission!$H:$N,""))</f>
        <v>1</v>
      </c>
      <c r="H352" s="429"/>
      <c r="I352" s="430"/>
    </row>
    <row r="353" spans="1:9" s="79" customFormat="1" ht="30" customHeight="1" x14ac:dyDescent="0.3">
      <c r="A353" s="131"/>
      <c r="C353" s="249" t="s">
        <v>1053</v>
      </c>
      <c r="D353" s="275"/>
      <c r="E353" s="275"/>
      <c r="F353" s="276"/>
      <c r="G353" s="138" t="str">
        <f>_xlfn.CONCAT(_xlfn.XLOOKUP("[S06_AircraftOperatorsVerificationEmissionReportChecks1][2][PercentageShare]",Submission!$O:$O,Submission!$H:$N,""))</f>
        <v>1</v>
      </c>
      <c r="H353" s="429"/>
      <c r="I353" s="430"/>
    </row>
    <row r="354" spans="1:9" s="79" customFormat="1" ht="30" customHeight="1" x14ac:dyDescent="0.3">
      <c r="A354" s="131"/>
      <c r="C354" s="249" t="s">
        <v>1055</v>
      </c>
      <c r="D354" s="275"/>
      <c r="E354" s="275"/>
      <c r="F354" s="276"/>
      <c r="G354" s="138" t="str">
        <f>_xlfn.CONCAT(_xlfn.XLOOKUP("[S06_AircraftOperatorsVerificationEmissionReportChecks1][3][PercentageShare]",Submission!$O:$O,Submission!$H:$N,""))</f>
        <v>0</v>
      </c>
      <c r="H354" s="258" t="str">
        <f>_xlfn.CONCAT(_xlfn.XLOOKUP("[S06_AircraftOperatorsVerificationEmissionReportChecks1][3][FurtherInformation]",Submission!$O:$O,Submission!$H:$N,""))</f>
        <v>Brak danych niezbędnych do kontroli krzyżowej</v>
      </c>
      <c r="I354" s="259"/>
    </row>
    <row r="355" spans="1:9" s="79" customFormat="1" ht="43.2" customHeight="1" x14ac:dyDescent="0.3">
      <c r="A355" s="131"/>
      <c r="C355" s="249" t="s">
        <v>1100</v>
      </c>
      <c r="D355" s="275"/>
      <c r="E355" s="275"/>
      <c r="F355" s="276"/>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of aircraft operators</v>
      </c>
      <c r="I355" s="130" t="str">
        <f>_xlfn.CONCAT(_xlfn.XLOOKUP("[S06_AircraftOperatorsVerificationEmissionReportChecks1][4][FurtherInformation]",Submission!$O:$O,Submission!$H:$N,""))</f>
        <v>Szczegółowej analizie poddano wyłącznie wykaz połączeń przedstawiony w zakładce Załącznik (punkt 11 raportu rocznego).</v>
      </c>
    </row>
    <row r="356" spans="1:9" s="79" customFormat="1" ht="30" customHeight="1" x14ac:dyDescent="0.3">
      <c r="A356" s="131"/>
      <c r="C356" s="249" t="s">
        <v>1101</v>
      </c>
      <c r="D356" s="275"/>
      <c r="E356" s="275"/>
      <c r="F356" s="276"/>
      <c r="G356" s="139" t="str">
        <f>_xlfn.CONCAT(_xlfn.XLOOKUP("[S06_AircraftOperatorsVerificationEmissionReportChecks2][1][NumberOfReports]",Submission!$O:$O,Submission!$H:$N,""))</f>
        <v>0</v>
      </c>
      <c r="H356" s="429"/>
      <c r="I356" s="430"/>
    </row>
    <row r="357" spans="1:9" s="79" customFormat="1" ht="30" customHeight="1" x14ac:dyDescent="0.3">
      <c r="A357" s="131"/>
      <c r="C357" s="249" t="s">
        <v>1102</v>
      </c>
      <c r="D357" s="275"/>
      <c r="E357" s="275"/>
      <c r="F357" s="276"/>
      <c r="G357" s="139" t="str">
        <f>_xlfn.CONCAT(_xlfn.XLOOKUP("[S06_AircraftOperatorsVerificationEmissionReportChecks2][2][NumberOfReports]",Submission!$O:$O,Submission!$H:$N,""))</f>
        <v>0</v>
      </c>
      <c r="H357" s="258" t="str">
        <f>_xlfn.CONCAT(_xlfn.XLOOKUP("[S06_AircraftOperatorsVerificationEmissionReportChecks2][2][FurtherInformation]",Submission!$O:$O,Submission!$H:$N,""))</f>
        <v/>
      </c>
      <c r="I357" s="259"/>
    </row>
    <row r="358" spans="1:9" s="79" customFormat="1" ht="30" customHeight="1" x14ac:dyDescent="0.3">
      <c r="A358" s="131"/>
      <c r="C358" s="249" t="s">
        <v>1059</v>
      </c>
      <c r="D358" s="275"/>
      <c r="E358" s="275"/>
      <c r="F358" s="276"/>
      <c r="G358" s="261" t="str">
        <f>_xlfn.CONCAT(_xlfn.XLOOKUP("[S06_AircraftOperatorsVerificationEmissionReportChecks3][1][ActionsTaken]",Submission!$O:$O,Submission!$H:$N,""))</f>
        <v>nd</v>
      </c>
      <c r="H358" s="356"/>
      <c r="I358" s="263"/>
    </row>
    <row r="359" spans="1:9" s="79" customFormat="1" ht="30" customHeight="1" x14ac:dyDescent="0.3">
      <c r="A359" s="131"/>
      <c r="C359" s="249" t="s">
        <v>1060</v>
      </c>
      <c r="D359" s="275"/>
      <c r="E359" s="275"/>
      <c r="F359" s="276"/>
      <c r="G359" s="261" t="str">
        <f>_xlfn.CONCAT(_xlfn.XLOOKUP("[S06_AircraftOperatorsVerificationEmissionReportChecks3][2][ActionsTaken]",Submission!$O:$O,Submission!$H:$N,""))</f>
        <v>nd</v>
      </c>
      <c r="H359" s="356"/>
      <c r="I359" s="263"/>
    </row>
    <row r="360" spans="1:9" ht="15.9" customHeight="1" x14ac:dyDescent="0.3">
      <c r="A360" s="12"/>
      <c r="C360" s="400" t="s">
        <v>1103</v>
      </c>
      <c r="D360" s="400"/>
      <c r="E360" s="400"/>
      <c r="F360" s="400"/>
      <c r="G360" s="400"/>
      <c r="H360" s="400"/>
      <c r="I360" s="400"/>
    </row>
    <row r="361" spans="1:9" ht="9.75" customHeight="1" x14ac:dyDescent="0.3">
      <c r="A361" s="13"/>
      <c r="C361" s="11"/>
      <c r="D361" s="11"/>
      <c r="E361" s="11"/>
      <c r="F361" s="11"/>
      <c r="G361" s="11"/>
      <c r="H361" s="11"/>
      <c r="I361" s="11"/>
    </row>
    <row r="362" spans="1:9" ht="15.9" customHeight="1" x14ac:dyDescent="0.3">
      <c r="A362" s="12"/>
      <c r="B362" s="22"/>
      <c r="C362" s="437" t="s">
        <v>1104</v>
      </c>
      <c r="D362" s="437"/>
      <c r="E362" s="437"/>
      <c r="F362" s="437"/>
      <c r="G362" s="437"/>
      <c r="H362" s="437"/>
      <c r="I362" s="437"/>
    </row>
    <row r="363" spans="1:9" ht="15.9" customHeight="1" x14ac:dyDescent="0.3">
      <c r="A363" s="12"/>
      <c r="C363" s="320" t="s">
        <v>1105</v>
      </c>
      <c r="D363" s="373"/>
      <c r="E363" s="373"/>
      <c r="F363" s="373"/>
      <c r="G363" s="373"/>
      <c r="H363" s="373"/>
      <c r="I363" s="321"/>
    </row>
    <row r="364" spans="1:9" s="58" customFormat="1" ht="29.4" customHeight="1" x14ac:dyDescent="0.3">
      <c r="A364" s="57"/>
      <c r="C364" s="249" t="s">
        <v>1106</v>
      </c>
      <c r="D364" s="275"/>
      <c r="E364" s="275"/>
      <c r="F364" s="276"/>
      <c r="G364" s="138" t="str">
        <f>_xlfn.CONCAT(_xlfn.XLOOKUP("[S06_AircraftOperatorsVerificationTKMReportChecks1][1][PercentageShare]",Submission!$O:$O,Submission!$H:$N,""))</f>
        <v>0</v>
      </c>
      <c r="H364" s="429"/>
      <c r="I364" s="430"/>
    </row>
    <row r="365" spans="1:9" s="58" customFormat="1" ht="29.4" customHeight="1" x14ac:dyDescent="0.3">
      <c r="A365" s="57"/>
      <c r="C365" s="249" t="s">
        <v>1107</v>
      </c>
      <c r="D365" s="275"/>
      <c r="E365" s="275"/>
      <c r="F365" s="276"/>
      <c r="G365" s="138" t="str">
        <f>_xlfn.CONCAT(_xlfn.XLOOKUP("[S06_AircraftOperatorsVerificationTKMReportChecks1][2][PercentageShare]",Submission!$O:$O,Submission!$H:$N,""))</f>
        <v>0</v>
      </c>
      <c r="H365" s="429"/>
      <c r="I365" s="430"/>
    </row>
    <row r="366" spans="1:9" s="58" customFormat="1" ht="29.4" customHeight="1" x14ac:dyDescent="0.3">
      <c r="A366" s="57"/>
      <c r="C366" s="249" t="s">
        <v>1108</v>
      </c>
      <c r="D366" s="275"/>
      <c r="E366" s="275"/>
      <c r="F366" s="276"/>
      <c r="G366" s="138" t="str">
        <f>_xlfn.CONCAT(_xlfn.XLOOKUP("[S06_AircraftOperatorsVerificationTKMReportChecks1][3][PercentageShare]",Submission!$O:$O,Submission!$H:$N,""))</f>
        <v>0</v>
      </c>
      <c r="H366" s="258" t="str">
        <f>_xlfn.CONCAT(_xlfn.XLOOKUP("[S06_AircraftOperatorsVerificationTKMReportChecks1][3][FurtherInformation]",Submission!$O:$O,Submission!$H:$N,""))</f>
        <v/>
      </c>
      <c r="I366" s="259"/>
    </row>
    <row r="367" spans="1:9" s="58" customFormat="1" ht="48" customHeight="1" x14ac:dyDescent="0.3">
      <c r="A367" s="57"/>
      <c r="C367" s="249" t="s">
        <v>1109</v>
      </c>
      <c r="D367" s="275"/>
      <c r="E367" s="275"/>
      <c r="F367" s="276"/>
      <c r="G367" s="138" t="str">
        <f>_xlfn.CONCAT(_xlfn.XLOOKUP("[S06_AircraftOperatorsVerificationTKMReportChecks1][4][PercentageShare]",Submission!$O:$O,Submission!$H:$N,""))</f>
        <v>0</v>
      </c>
      <c r="H367" s="129" t="str">
        <f>_xlfn.CONCAT(_xlfn.XLOOKUP("[S06_AircraftOperatorsVerificationTKMReportChecks1][4][SelectingCriteria]",Submission!$O:$O,Submission!$H:$N,""))</f>
        <v>% of aircraft operators</v>
      </c>
      <c r="I367" s="130" t="str">
        <f>_xlfn.CONCAT(_xlfn.XLOOKUP("[S06_AircraftOperatorsVerificationTKMReportChecks1][4][FurtherInformation]",Submission!$O:$O,Submission!$H:$N,""))</f>
        <v/>
      </c>
    </row>
    <row r="368" spans="1:9" s="58" customFormat="1" ht="29.4" customHeight="1" x14ac:dyDescent="0.3">
      <c r="A368" s="57"/>
      <c r="C368" s="249" t="s">
        <v>1110</v>
      </c>
      <c r="D368" s="275"/>
      <c r="E368" s="275"/>
      <c r="F368" s="276"/>
      <c r="G368" s="139" t="str">
        <f>_xlfn.CONCAT(_xlfn.XLOOKUP("[S06_AircraftOperatorsVerificationTKMReportChecks2][1][NumberOfReports]",Submission!$O:$O,Submission!$H:$N,""))</f>
        <v>0</v>
      </c>
      <c r="H368" s="429"/>
      <c r="I368" s="430"/>
    </row>
    <row r="369" spans="1:11" s="58" customFormat="1" ht="29.4" customHeight="1" x14ac:dyDescent="0.3">
      <c r="A369" s="57"/>
      <c r="C369" s="249" t="s">
        <v>1111</v>
      </c>
      <c r="D369" s="275"/>
      <c r="E369" s="275"/>
      <c r="F369" s="276"/>
      <c r="G369" s="139" t="str">
        <f>_xlfn.CONCAT(_xlfn.XLOOKUP("[S06_AircraftOperatorsVerificationTKMReportChecks2][2][NumberOfReports]",Submission!$O:$O,Submission!$H:$N,""))</f>
        <v>0</v>
      </c>
      <c r="H369" s="258" t="str">
        <f>_xlfn.CONCAT(_xlfn.XLOOKUP("[S06_AircraftOperatorsVerificationTKMReportChecks2][2][FurtherInformation]",Submission!$O:$O,Submission!$H:$N,""))</f>
        <v/>
      </c>
      <c r="I369" s="259"/>
    </row>
    <row r="370" spans="1:11" s="58" customFormat="1" ht="29.4" customHeight="1" x14ac:dyDescent="0.3">
      <c r="A370" s="57"/>
      <c r="C370" s="249" t="s">
        <v>1112</v>
      </c>
      <c r="D370" s="275"/>
      <c r="E370" s="275"/>
      <c r="F370" s="276"/>
      <c r="G370" s="261" t="str">
        <f>_xlfn.CONCAT(_xlfn.XLOOKUP("[S06_AircraftOperatorsVerificationTKMReportChecks3][1][ActionsTaken]",Submission!$O:$O,Submission!$H:$N,""))</f>
        <v>nd</v>
      </c>
      <c r="H370" s="356"/>
      <c r="I370" s="263"/>
    </row>
    <row r="371" spans="1:11" ht="15.9" customHeight="1" x14ac:dyDescent="0.3">
      <c r="A371" s="12"/>
      <c r="C371" s="400" t="s">
        <v>1113</v>
      </c>
      <c r="D371" s="401"/>
      <c r="E371" s="401"/>
      <c r="F371" s="401"/>
      <c r="G371" s="401"/>
      <c r="H371" s="401"/>
      <c r="I371" s="401"/>
    </row>
    <row r="372" spans="1:11" ht="15.9" customHeight="1" x14ac:dyDescent="0.3">
      <c r="A372" s="13"/>
      <c r="C372" s="29"/>
      <c r="D372" s="29"/>
      <c r="E372" s="11"/>
      <c r="F372" s="11"/>
    </row>
    <row r="373" spans="1:11" ht="15.9" customHeight="1" x14ac:dyDescent="0.3">
      <c r="A373" s="12" t="s">
        <v>423</v>
      </c>
      <c r="B373" s="341" t="s">
        <v>1114</v>
      </c>
      <c r="C373" s="311"/>
      <c r="D373" s="311"/>
      <c r="E373" s="311"/>
      <c r="F373" s="311"/>
      <c r="G373" s="311"/>
      <c r="H373" s="348"/>
      <c r="I373" s="41" t="str">
        <f>_xlfn.CONCAT(_xlfn.XLOOKUP("[AircraftOperatorsVisitsWaivedLowEmitters][0][AircraftOperatorsVisitsWaivedLowEmitters]",Submission!$O:$O,Submission!$H:$N,""))</f>
        <v>Yes</v>
      </c>
    </row>
    <row r="374" spans="1:11" ht="18.600000000000001" customHeight="1" x14ac:dyDescent="0.3">
      <c r="B374" s="341" t="s">
        <v>1115</v>
      </c>
      <c r="C374" s="311"/>
      <c r="D374" s="311"/>
      <c r="E374" s="311"/>
      <c r="F374" s="311"/>
      <c r="G374" s="311"/>
      <c r="H374" s="311"/>
      <c r="I374" s="311"/>
    </row>
    <row r="375" spans="1:11" ht="15.9" customHeight="1" x14ac:dyDescent="0.3">
      <c r="B375" s="11"/>
      <c r="C375" s="425" t="s">
        <v>1116</v>
      </c>
      <c r="D375" s="426"/>
      <c r="E375" s="426"/>
      <c r="F375" s="426"/>
      <c r="G375" s="426"/>
      <c r="H375" s="427" t="str">
        <f>_xlfn.CONCAT(_xlfn.XLOOKUP("[AircraftOperatorsVisitsWaivedLowEmittersDetail][0][AircraftOperatorsVisitsWaivedLowEmittersDetail]",Submission!$O:$O,Submission!$H:$N,""))</f>
        <v>2</v>
      </c>
      <c r="I375" s="428"/>
    </row>
    <row r="377" spans="1:11" ht="15.9" customHeight="1" x14ac:dyDescent="0.3">
      <c r="A377" s="12" t="s">
        <v>428</v>
      </c>
      <c r="B377" s="341" t="s">
        <v>1069</v>
      </c>
      <c r="C377" s="311"/>
      <c r="D377" s="311"/>
      <c r="E377" s="311"/>
      <c r="F377" s="311"/>
      <c r="G377" s="311"/>
      <c r="H377" s="348"/>
      <c r="I377" s="41" t="str">
        <f>_xlfn.CONCAT(_xlfn.XLOOKUP("[VirtualVisitsAircraft][0][VirtualVisitsAircraft]",Submission!$O:$O,Submission!$H:$N,""))</f>
        <v>Yes</v>
      </c>
    </row>
    <row r="378" spans="1:11" ht="15.9" customHeight="1" x14ac:dyDescent="0.3">
      <c r="B378" s="341" t="s">
        <v>1070</v>
      </c>
      <c r="C378" s="311"/>
      <c r="D378" s="311"/>
      <c r="E378" s="311"/>
      <c r="F378" s="311"/>
      <c r="G378" s="311"/>
      <c r="H378" s="311"/>
      <c r="I378" s="311"/>
    </row>
    <row r="379" spans="1:11" ht="15.9" customHeight="1" x14ac:dyDescent="0.3">
      <c r="B379" s="15" t="s">
        <v>8</v>
      </c>
      <c r="C379" s="342" t="s">
        <v>1117</v>
      </c>
      <c r="D379" s="342"/>
      <c r="E379" s="342"/>
      <c r="F379" s="342"/>
      <c r="G379" s="342"/>
      <c r="H379" s="342"/>
      <c r="I379" s="342"/>
    </row>
    <row r="380" spans="1:11" ht="15.9" customHeight="1" x14ac:dyDescent="0.3">
      <c r="B380" s="15" t="s">
        <v>8</v>
      </c>
      <c r="C380" s="342" t="s">
        <v>1072</v>
      </c>
      <c r="D380" s="342"/>
      <c r="E380" s="342"/>
      <c r="F380" s="342"/>
      <c r="G380" s="342"/>
      <c r="H380" s="342"/>
      <c r="I380" s="342"/>
      <c r="K380" s="178"/>
    </row>
    <row r="381" spans="1:11" ht="15.9" customHeight="1" x14ac:dyDescent="0.3">
      <c r="B381" s="15" t="s">
        <v>8</v>
      </c>
      <c r="C381" s="330" t="s">
        <v>1073</v>
      </c>
      <c r="D381" s="330"/>
      <c r="E381" s="330"/>
      <c r="F381" s="330"/>
      <c r="G381" s="330"/>
      <c r="H381" s="330"/>
      <c r="I381" s="330"/>
    </row>
    <row r="382" spans="1:11" ht="31.2" customHeight="1" x14ac:dyDescent="0.3">
      <c r="A382" s="12"/>
      <c r="B382" s="15"/>
      <c r="C382" s="46" t="s">
        <v>1074</v>
      </c>
      <c r="D382" s="320" t="s">
        <v>1118</v>
      </c>
      <c r="E382" s="332"/>
      <c r="F382" s="320" t="s">
        <v>1076</v>
      </c>
      <c r="G382" s="332"/>
      <c r="H382" s="320" t="s">
        <v>1077</v>
      </c>
      <c r="I382" s="332"/>
    </row>
    <row r="383" spans="1:11" ht="25.2" customHeight="1" x14ac:dyDescent="0.3">
      <c r="C383" s="72" t="str">
        <f>_xlfn.CONCAT(_xlfn.XLOOKUP("[S06_VirtualVisitsAircraftDetails][1][TypeForceMajeur]",Submission!$O:$O,Submission!$H:$N,""))</f>
        <v>Obostrzenia COVID19.</v>
      </c>
      <c r="D383" s="354" t="str">
        <f>_xlfn.CONCAT(_xlfn.XLOOKUP("[S06_VirtualVisitsAircraftDetails][1][NumberOfAirOperatorsVV]",Submission!$O:$O,Submission!$H:$N,""))</f>
        <v>5</v>
      </c>
      <c r="E383" s="364"/>
      <c r="F383" s="261" t="str">
        <f>_xlfn.CONCAT(_xlfn.XLOOKUP("[S06_VirtualVisitsAircraftDetails][1][AuthorityApproval]",Submission!$O:$O,Submission!$H:$N,""))</f>
        <v>Generic authorisation under Article 34a(4) of Commission Regulation 2018/2067</v>
      </c>
      <c r="G383" s="263"/>
      <c r="H383" s="261" t="str">
        <f>_xlfn.CONCAT(_xlfn.XLOOKUP("[S06_VirtualVisitsAircraftDetails][1][ConfirmationConditionsMet]",Submission!$O:$O,Submission!$H:$N,""))</f>
        <v>Tak</v>
      </c>
      <c r="I383" s="263"/>
    </row>
    <row r="384" spans="1:11" ht="25.2" customHeight="1" x14ac:dyDescent="0.3">
      <c r="C384" s="72" t="str">
        <f>_xlfn.CONCAT(_xlfn.XLOOKUP("[S06_VirtualVisitsAircraftDetails][2][TypeForceMajeur]",Submission!$O:$O,Submission!$H:$N,""))</f>
        <v/>
      </c>
      <c r="D384" s="354" t="str">
        <f>_xlfn.CONCAT(_xlfn.XLOOKUP("[S06_VirtualVisitsAircraftDetails][2][NumberOfAirOperatorsVV]",Submission!$O:$O,Submission!$H:$N,""))</f>
        <v/>
      </c>
      <c r="E384" s="364"/>
      <c r="F384" s="261" t="str">
        <f>_xlfn.CONCAT(_xlfn.XLOOKUP("[S06_VirtualVisitsAircraftDetails][2][AuthorityApproval]",Submission!$O:$O,Submission!$H:$N,""))</f>
        <v/>
      </c>
      <c r="G384" s="263"/>
      <c r="H384" s="261" t="str">
        <f>_xlfn.CONCAT(_xlfn.XLOOKUP("[S06_VirtualVisitsAircraftDetails][2][ConfirmationConditionsMet]",Submission!$O:$O,Submission!$H:$N,""))</f>
        <v/>
      </c>
      <c r="I384" s="263"/>
    </row>
    <row r="385" spans="1:9" ht="25.2" customHeight="1" x14ac:dyDescent="0.3">
      <c r="C385" s="72" t="str">
        <f>_xlfn.CONCAT(_xlfn.XLOOKUP("[S06_VirtualVisitsAircraftDetails][3][TypeForceMajeur]",Submission!$O:$O,Submission!$H:$N,""))</f>
        <v/>
      </c>
      <c r="D385" s="354" t="str">
        <f>_xlfn.CONCAT(_xlfn.XLOOKUP("[S06_VirtualVisitsAircraftDetails][3][NumberOfAirOperatorsVV]",Submission!$O:$O,Submission!$H:$N,""))</f>
        <v/>
      </c>
      <c r="E385" s="364"/>
      <c r="F385" s="261" t="str">
        <f>_xlfn.CONCAT(_xlfn.XLOOKUP("[S06_VirtualVisitsAircraftDetails][3][AuthorityApproval]",Submission!$O:$O,Submission!$H:$N,""))</f>
        <v/>
      </c>
      <c r="G385" s="263"/>
      <c r="H385" s="261" t="str">
        <f>_xlfn.CONCAT(_xlfn.XLOOKUP("[S06_VirtualVisitsAircraftDetails][3][ConfirmationConditionsMet]",Submission!$O:$O,Submission!$H:$N,""))</f>
        <v/>
      </c>
      <c r="I385" s="263"/>
    </row>
    <row r="386" spans="1:9" ht="25.2" customHeight="1" x14ac:dyDescent="0.3">
      <c r="C386" s="72" t="str">
        <f>_xlfn.CONCAT(_xlfn.XLOOKUP("[S06_VirtualVisitsAircraftDetails][4][TypeForceMajeur]",Submission!$O:$O,Submission!$H:$N,""))</f>
        <v/>
      </c>
      <c r="D386" s="354" t="str">
        <f>_xlfn.CONCAT(_xlfn.XLOOKUP("[S06_VirtualVisitsAircraftDetails][4][NumberOfAirOperatorsVV]",Submission!$O:$O,Submission!$H:$N,""))</f>
        <v/>
      </c>
      <c r="E386" s="364"/>
      <c r="F386" s="261" t="str">
        <f>_xlfn.CONCAT(_xlfn.XLOOKUP("[S06_VirtualVisitsAircraftDetails][4][AuthorityApproval]",Submission!$O:$O,Submission!$H:$N,""))</f>
        <v/>
      </c>
      <c r="G386" s="263"/>
      <c r="H386" s="261" t="str">
        <f>_xlfn.CONCAT(_xlfn.XLOOKUP("[S06_VirtualVisitsAircraftDetails][4][ConfirmationConditionsMet]",Submission!$O:$O,Submission!$H:$N,""))</f>
        <v/>
      </c>
      <c r="I386" s="263"/>
    </row>
    <row r="387" spans="1:9" ht="25.2" hidden="1" customHeight="1" outlineLevel="1" x14ac:dyDescent="0.3">
      <c r="C387" s="72" t="str">
        <f>_xlfn.CONCAT(_xlfn.XLOOKUP("[S06_VirtualVisitsAircraftDetails][5][TypeForceMajeur]",Submission!$O:$O,Submission!$H:$N,""))</f>
        <v/>
      </c>
      <c r="D387" s="354" t="str">
        <f>_xlfn.CONCAT(_xlfn.XLOOKUP("[S06_VirtualVisitsAircraftDetails][5][NumberOfAirOperatorsVV]",Submission!$O:$O,Submission!$H:$N,""))</f>
        <v/>
      </c>
      <c r="E387" s="364"/>
      <c r="F387" s="261" t="str">
        <f>_xlfn.CONCAT(_xlfn.XLOOKUP("[S06_VirtualVisitsAircraftDetails][5][AuthorityApproval]",Submission!$O:$O,Submission!$H:$N,""))</f>
        <v/>
      </c>
      <c r="G387" s="263"/>
      <c r="H387" s="261" t="str">
        <f>_xlfn.CONCAT(_xlfn.XLOOKUP("[S06_VirtualVisitsAircraftDetails][5][ConfirmationConditionsMet]",Submission!$O:$O,Submission!$H:$N,""))</f>
        <v/>
      </c>
      <c r="I387" s="263"/>
    </row>
    <row r="388" spans="1:9" ht="25.2" hidden="1" customHeight="1" outlineLevel="1" x14ac:dyDescent="0.3">
      <c r="C388" s="72" t="str">
        <f>_xlfn.CONCAT(_xlfn.XLOOKUP("[S06_VirtualVisitsAircraftDetails][6][TypeForceMajeur]",Submission!$O:$O,Submission!$H:$N,""))</f>
        <v/>
      </c>
      <c r="D388" s="354" t="str">
        <f>_xlfn.CONCAT(_xlfn.XLOOKUP("[S06_VirtualVisitsAircraftDetails][6][NumberOfAirOperatorsVV]",Submission!$O:$O,Submission!$H:$N,""))</f>
        <v/>
      </c>
      <c r="E388" s="364"/>
      <c r="F388" s="261" t="str">
        <f>_xlfn.CONCAT(_xlfn.XLOOKUP("[S06_VirtualVisitsAircraftDetails][6][AuthorityApproval]",Submission!$O:$O,Submission!$H:$N,""))</f>
        <v/>
      </c>
      <c r="G388" s="263"/>
      <c r="H388" s="261" t="str">
        <f>_xlfn.CONCAT(_xlfn.XLOOKUP("[S06_VirtualVisitsAircraftDetails][6][ConfirmationConditionsMet]",Submission!$O:$O,Submission!$H:$N,""))</f>
        <v/>
      </c>
      <c r="I388" s="263"/>
    </row>
    <row r="389" spans="1:9" ht="25.2" hidden="1" customHeight="1" outlineLevel="1" x14ac:dyDescent="0.3">
      <c r="C389" s="72" t="str">
        <f>_xlfn.CONCAT(_xlfn.XLOOKUP("[S06_VirtualVisitsAircraftDetails][7][TypeForceMajeur]",Submission!$O:$O,Submission!$H:$N,""))</f>
        <v/>
      </c>
      <c r="D389" s="354" t="str">
        <f>_xlfn.CONCAT(_xlfn.XLOOKUP("[S06_VirtualVisitsAircraftDetails][7][NumberOfAirOperatorsVV]",Submission!$O:$O,Submission!$H:$N,""))</f>
        <v/>
      </c>
      <c r="E389" s="364"/>
      <c r="F389" s="261" t="str">
        <f>_xlfn.CONCAT(_xlfn.XLOOKUP("[S06_VirtualVisitsAircraftDetails][7][AuthorityApproval]",Submission!$O:$O,Submission!$H:$N,""))</f>
        <v/>
      </c>
      <c r="G389" s="263"/>
      <c r="H389" s="261" t="str">
        <f>_xlfn.CONCAT(_xlfn.XLOOKUP("[S06_VirtualVisitsAircraftDetails][7][ConfirmationConditionsMet]",Submission!$O:$O,Submission!$H:$N,""))</f>
        <v/>
      </c>
      <c r="I389" s="263"/>
    </row>
    <row r="390" spans="1:9" ht="25.2" hidden="1" customHeight="1" outlineLevel="1" x14ac:dyDescent="0.3">
      <c r="C390" s="72" t="str">
        <f>_xlfn.CONCAT(_xlfn.XLOOKUP("[S06_VirtualVisitsAircraftDetails][8][TypeForceMajeur]",Submission!$O:$O,Submission!$H:$N,""))</f>
        <v/>
      </c>
      <c r="D390" s="354" t="str">
        <f>_xlfn.CONCAT(_xlfn.XLOOKUP("[S06_VirtualVisitsAircraftDetails][8][NumberOfAirOperatorsVV]",Submission!$O:$O,Submission!$H:$N,""))</f>
        <v/>
      </c>
      <c r="E390" s="364"/>
      <c r="F390" s="261" t="str">
        <f>_xlfn.CONCAT(_xlfn.XLOOKUP("[S06_VirtualVisitsAircraftDetails][8][AuthorityApproval]",Submission!$O:$O,Submission!$H:$N,""))</f>
        <v/>
      </c>
      <c r="G390" s="263"/>
      <c r="H390" s="261" t="str">
        <f>_xlfn.CONCAT(_xlfn.XLOOKUP("[S06_VirtualVisitsAircraftDetails][8][ConfirmationConditionsMet]",Submission!$O:$O,Submission!$H:$N,""))</f>
        <v/>
      </c>
      <c r="I390" s="263"/>
    </row>
    <row r="391" spans="1:9" ht="25.2" hidden="1" customHeight="1" outlineLevel="1" x14ac:dyDescent="0.3">
      <c r="C391" s="72" t="str">
        <f>_xlfn.CONCAT(_xlfn.XLOOKUP("[S06_VirtualVisitsAircraftDetails][9][TypeForceMajeur]",Submission!$O:$O,Submission!$H:$N,""))</f>
        <v/>
      </c>
      <c r="D391" s="354" t="str">
        <f>_xlfn.CONCAT(_xlfn.XLOOKUP("[S06_VirtualVisitsAircraftDetails][9][NumberOfAirOperatorsVV]",Submission!$O:$O,Submission!$H:$N,""))</f>
        <v/>
      </c>
      <c r="E391" s="364"/>
      <c r="F391" s="261" t="str">
        <f>_xlfn.CONCAT(_xlfn.XLOOKUP("[S06_VirtualVisitsAircraftDetails][9][AuthorityApproval]",Submission!$O:$O,Submission!$H:$N,""))</f>
        <v/>
      </c>
      <c r="G391" s="263"/>
      <c r="H391" s="261" t="str">
        <f>_xlfn.CONCAT(_xlfn.XLOOKUP("[S06_VirtualVisitsAircraftDetails][9][ConfirmationConditionsMet]",Submission!$O:$O,Submission!$H:$N,""))</f>
        <v/>
      </c>
      <c r="I391" s="263"/>
    </row>
    <row r="392" spans="1:9" ht="25.2" hidden="1" customHeight="1" outlineLevel="1" x14ac:dyDescent="0.3">
      <c r="C392" s="72" t="str">
        <f>_xlfn.CONCAT(_xlfn.XLOOKUP("[S06_VirtualVisitsAircraftDetails][10][TypeForceMajeur]",Submission!$O:$O,Submission!$H:$N,""))</f>
        <v/>
      </c>
      <c r="D392" s="354" t="str">
        <f>_xlfn.CONCAT(_xlfn.XLOOKUP("[S06_VirtualVisitsAircraftDetails][10][NumberOfAirOperatorsVV]",Submission!$O:$O,Submission!$H:$N,""))</f>
        <v/>
      </c>
      <c r="E392" s="364"/>
      <c r="F392" s="261" t="str">
        <f>_xlfn.CONCAT(_xlfn.XLOOKUP("[S06_VirtualVisitsAircraftDetails][10][AuthorityApproval]",Submission!$O:$O,Submission!$H:$N,""))</f>
        <v/>
      </c>
      <c r="G392" s="263"/>
      <c r="H392" s="261" t="str">
        <f>_xlfn.CONCAT(_xlfn.XLOOKUP("[S06_VirtualVisitsAircraftDetails][10][ConfirmationConditionsMet]",Submission!$O:$O,Submission!$H:$N,""))</f>
        <v/>
      </c>
      <c r="I392" s="263"/>
    </row>
    <row r="393" spans="1:9" ht="25.2" hidden="1" customHeight="1" outlineLevel="1" x14ac:dyDescent="0.3">
      <c r="C393" s="72" t="str">
        <f>_xlfn.CONCAT(_xlfn.XLOOKUP("[S06_VirtualVisitsAircraftDetails][11][TypeForceMajeur]",Submission!$O:$O,Submission!$H:$N,""))</f>
        <v/>
      </c>
      <c r="D393" s="354" t="str">
        <f>_xlfn.CONCAT(_xlfn.XLOOKUP("[S06_VirtualVisitsAircraftDetails][11][NumberOfAirOperatorsVV]",Submission!$O:$O,Submission!$H:$N,""))</f>
        <v/>
      </c>
      <c r="E393" s="364"/>
      <c r="F393" s="261" t="str">
        <f>_xlfn.CONCAT(_xlfn.XLOOKUP("[S06_VirtualVisitsAircraftDetails][11][AuthorityApproval]",Submission!$O:$O,Submission!$H:$N,""))</f>
        <v/>
      </c>
      <c r="G393" s="263"/>
      <c r="H393" s="261" t="str">
        <f>_xlfn.CONCAT(_xlfn.XLOOKUP("[S06_VirtualVisitsAircraftDetails][11][ConfirmationConditionsMet]",Submission!$O:$O,Submission!$H:$N,""))</f>
        <v/>
      </c>
      <c r="I393" s="263"/>
    </row>
    <row r="394" spans="1:9" ht="25.2" hidden="1" customHeight="1" outlineLevel="1" x14ac:dyDescent="0.3">
      <c r="C394" s="72" t="str">
        <f>_xlfn.CONCAT(_xlfn.XLOOKUP("[S06_VirtualVisitsAircraftDetails][12][TypeForceMajeur]",Submission!$O:$O,Submission!$H:$N,""))</f>
        <v/>
      </c>
      <c r="D394" s="354" t="str">
        <f>_xlfn.CONCAT(_xlfn.XLOOKUP("[S06_VirtualVisitsAircraftDetails][12][NumberOfAirOperatorsVV]",Submission!$O:$O,Submission!$H:$N,""))</f>
        <v/>
      </c>
      <c r="E394" s="364"/>
      <c r="F394" s="261" t="str">
        <f>_xlfn.CONCAT(_xlfn.XLOOKUP("[S06_VirtualVisitsAircraftDetails][12][AuthorityApproval]",Submission!$O:$O,Submission!$H:$N,""))</f>
        <v/>
      </c>
      <c r="G394" s="263"/>
      <c r="H394" s="261" t="str">
        <f>_xlfn.CONCAT(_xlfn.XLOOKUP("[S06_VirtualVisitsAircraftDetails][12][ConfirmationConditionsMet]",Submission!$O:$O,Submission!$H:$N,""))</f>
        <v/>
      </c>
      <c r="I394" s="263"/>
    </row>
    <row r="395" spans="1:9" ht="15.9" customHeight="1" collapsed="1" x14ac:dyDescent="0.3">
      <c r="A395" s="13"/>
      <c r="B395" s="26" t="s">
        <v>1000</v>
      </c>
      <c r="C395" s="19"/>
      <c r="D395" s="11"/>
      <c r="E395" s="11"/>
      <c r="F395" s="11"/>
      <c r="G395" s="11"/>
      <c r="H395" s="11"/>
    </row>
    <row r="396" spans="1:9" ht="15.9" customHeight="1" x14ac:dyDescent="0.3">
      <c r="A396" s="13"/>
      <c r="B396" s="421" t="s">
        <v>1078</v>
      </c>
      <c r="C396" s="421"/>
      <c r="D396" s="421"/>
      <c r="E396" s="421"/>
      <c r="F396" s="421"/>
      <c r="G396" s="421"/>
      <c r="H396" s="421"/>
      <c r="I396" s="421"/>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2023-05-30T00:04:50Z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